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A125DE03-1723-1447-AC15-72D08F2FDD7B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4" l="1"/>
  <c r="P36" i="14"/>
  <c r="L34" i="14"/>
  <c r="L33" i="14"/>
  <c r="L32" i="14"/>
  <c r="J7" i="14"/>
  <c r="P7" i="14"/>
  <c r="J8" i="14"/>
  <c r="P8" i="14"/>
  <c r="P10" i="14"/>
  <c r="J2" i="14"/>
  <c r="P2" i="14"/>
  <c r="P3" i="14"/>
  <c r="P4" i="14"/>
  <c r="P6" i="14"/>
  <c r="P25" i="14"/>
  <c r="P11" i="14"/>
  <c r="P12" i="14"/>
  <c r="P13" i="14"/>
  <c r="P14" i="14"/>
  <c r="J15" i="14"/>
  <c r="P15" i="14"/>
  <c r="J16" i="14"/>
  <c r="P16" i="14"/>
  <c r="J17" i="14"/>
  <c r="P17" i="14"/>
  <c r="J18" i="14"/>
  <c r="P18" i="14"/>
  <c r="J19" i="14"/>
  <c r="P19" i="14"/>
  <c r="J20" i="14"/>
  <c r="P20" i="14"/>
  <c r="J21" i="14"/>
  <c r="P21" i="14"/>
  <c r="J22" i="14"/>
  <c r="P22" i="14"/>
  <c r="J23" i="14"/>
  <c r="P23" i="14"/>
  <c r="J24" i="14"/>
  <c r="P24" i="14"/>
  <c r="P26" i="14"/>
  <c r="P27" i="14"/>
  <c r="P28" i="14"/>
  <c r="P30" i="14"/>
  <c r="K20" i="14"/>
  <c r="I20" i="14"/>
  <c r="H20" i="14"/>
  <c r="G20" i="14"/>
  <c r="K19" i="14"/>
  <c r="Q19" i="14"/>
  <c r="R19" i="14"/>
  <c r="Q20" i="14"/>
  <c r="R20" i="14"/>
  <c r="K22" i="14"/>
  <c r="Q22" i="14"/>
  <c r="R22" i="14"/>
  <c r="I19" i="14"/>
  <c r="H19" i="14"/>
  <c r="G19" i="14"/>
  <c r="K7" i="14"/>
  <c r="Q7" i="14"/>
  <c r="R7" i="14"/>
  <c r="I7" i="14"/>
  <c r="H7" i="14"/>
  <c r="G7" i="14"/>
  <c r="K2" i="14"/>
  <c r="Q2" i="14"/>
  <c r="R2" i="14"/>
  <c r="I2" i="14"/>
  <c r="H2" i="14"/>
  <c r="G2" i="14"/>
  <c r="Q15" i="14"/>
  <c r="R15" i="14"/>
  <c r="Q17" i="14"/>
  <c r="R17" i="14"/>
  <c r="J32" i="14"/>
  <c r="P32" i="14"/>
  <c r="L31" i="14"/>
  <c r="J31" i="14"/>
  <c r="P31" i="14"/>
  <c r="J33" i="14"/>
  <c r="P33" i="14"/>
  <c r="J34" i="14"/>
  <c r="P34" i="14"/>
  <c r="K21" i="14"/>
  <c r="Q21" i="14"/>
  <c r="R21" i="14"/>
  <c r="I21" i="14"/>
  <c r="H21" i="14"/>
  <c r="G21" i="14"/>
  <c r="Q23" i="14"/>
  <c r="R23" i="14"/>
  <c r="Q14" i="14"/>
  <c r="R14" i="14"/>
  <c r="P39" i="14"/>
  <c r="P41" i="14"/>
  <c r="Q18" i="14"/>
  <c r="R18" i="14"/>
  <c r="K31" i="14"/>
  <c r="Q31" i="14"/>
  <c r="K32" i="14"/>
  <c r="Q32" i="14"/>
  <c r="K33" i="14"/>
  <c r="Q33" i="14"/>
  <c r="K34" i="14"/>
  <c r="Q34" i="14"/>
  <c r="Q36" i="14"/>
  <c r="K11" i="14"/>
  <c r="Q11" i="14"/>
  <c r="K12" i="14"/>
  <c r="Q12" i="14"/>
  <c r="K13" i="14"/>
  <c r="Q13" i="14"/>
  <c r="K16" i="14"/>
  <c r="Q16" i="14"/>
  <c r="Q24" i="14"/>
  <c r="Q25" i="14"/>
  <c r="Q26" i="14"/>
  <c r="Q27" i="14"/>
  <c r="Q28" i="14"/>
  <c r="Q30" i="14"/>
  <c r="K8" i="14"/>
  <c r="Q8" i="14"/>
  <c r="Q10" i="14"/>
  <c r="K3" i="14"/>
  <c r="Q3" i="14"/>
  <c r="K4" i="14"/>
  <c r="Q4" i="14"/>
  <c r="Q6" i="14"/>
  <c r="Q38" i="14"/>
  <c r="G12" i="14"/>
  <c r="R12" i="14"/>
  <c r="R27" i="14"/>
  <c r="R24" i="14"/>
  <c r="R3" i="14"/>
  <c r="G3" i="14"/>
  <c r="H8" i="14"/>
  <c r="I31" i="14"/>
  <c r="H31" i="14"/>
  <c r="G31" i="14"/>
  <c r="I34" i="14"/>
  <c r="H34" i="14"/>
  <c r="G34" i="14"/>
  <c r="I33" i="14"/>
  <c r="H33" i="14"/>
  <c r="G33" i="14"/>
  <c r="C13" i="15"/>
  <c r="R28" i="14"/>
  <c r="R25" i="14"/>
  <c r="R26" i="14"/>
  <c r="I32" i="14"/>
  <c r="H32" i="14"/>
  <c r="G3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G4" i="14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H22" i="14"/>
  <c r="Q39" i="14"/>
  <c r="R33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9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6" i="14"/>
  <c r="I22" i="14"/>
  <c r="G22" i="14"/>
  <c r="G13" i="14"/>
  <c r="G11" i="14"/>
  <c r="I8" i="14"/>
  <c r="G8" i="14"/>
  <c r="Q86" i="23"/>
  <c r="Q85" i="23"/>
  <c r="Q84" i="23"/>
  <c r="C16" i="15"/>
  <c r="C15" i="15"/>
  <c r="E16" i="15"/>
  <c r="E15" i="15"/>
  <c r="E14" i="15"/>
  <c r="E13" i="15"/>
  <c r="C12" i="15"/>
  <c r="E12" i="15"/>
  <c r="C11" i="15"/>
  <c r="E11" i="15"/>
  <c r="R11" i="14"/>
  <c r="R16" i="14"/>
  <c r="R13" i="14"/>
  <c r="R8" i="14"/>
  <c r="C14" i="15"/>
  <c r="E17" i="15"/>
  <c r="C17" i="15"/>
  <c r="R30" i="14"/>
  <c r="R10" i="14"/>
  <c r="R32" i="14"/>
  <c r="G20" i="15"/>
  <c r="R34" i="14"/>
  <c r="E18" i="15"/>
  <c r="C10" i="15"/>
  <c r="R4" i="14"/>
  <c r="E10" i="15"/>
  <c r="C18" i="15"/>
  <c r="R6" i="14"/>
  <c r="R31" i="14"/>
  <c r="G13" i="15"/>
  <c r="R36" i="14"/>
  <c r="C21" i="15"/>
  <c r="D10" i="15"/>
  <c r="D12" i="15"/>
  <c r="Q41" i="14"/>
  <c r="R41" i="14"/>
  <c r="R38" i="14"/>
  <c r="G14" i="15"/>
  <c r="G17" i="15"/>
  <c r="G18" i="15"/>
  <c r="G15" i="15"/>
  <c r="G16" i="15"/>
  <c r="G11" i="15"/>
  <c r="G10" i="15"/>
  <c r="G12" i="15"/>
  <c r="Q42" i="14"/>
  <c r="E22" i="15"/>
  <c r="Q44" i="14"/>
  <c r="Q43" i="14"/>
  <c r="E21" i="15"/>
  <c r="F20" i="15"/>
  <c r="C22" i="15"/>
  <c r="D20" i="15"/>
  <c r="P44" i="14"/>
  <c r="P43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42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<sst xmlns="http://schemas.openxmlformats.org/spreadsheetml/2006/main" count="8141" uniqueCount="3040">
  <si>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</si>
  <si>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</si>
  <si>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</si>
  <si>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</si>
  <si>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</si>
  <si>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</si>
  <si>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</si>
  <si>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</si>
  <si>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</si>
  <si>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</si>
  <si>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</si>
  <si>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</si>
  <si>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</si>
  <si>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</si>
  <si>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</si>
  <si>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</si>
  <si>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</si>
  <si>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</si>
  <si>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</si>
  <si>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</si>
  <si>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</si>
  <si>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</si>
  <si>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</si>
  <si>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</si>
  <si>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</si>
  <si>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</si>
  <si>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</si>
  <si>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</si>
  <si>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</si>
  <si>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</si>
  <si>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</si>
  <si>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</si>
  <si>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</si>
  <si>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</si>
  <si>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</si>
  <si>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</si>
  <si>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</si>
  <si>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</si>
  <si>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</si>
  <si>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</si>
  <si>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</si>
  <si>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</si>
  <si>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</si>
  <si>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</si>
  <si>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</si>
  <si>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</si>
  <si>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</si>
  <si>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</si>
  <si>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</si>
  <si>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</si>
  <si>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</si>
  <si>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</si>
  <si>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</si>
  <si>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</si>
  <si>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</si>
  <si>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</si>
  <si>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</si>
  <si>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</si>
  <si>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</si>
  <si>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</si>
  <si>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</si>
  <si>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</si>
  <si>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</si>
  <si>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</si>
  <si>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</si>
  <si>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</si>
  <si>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</si>
  <si>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</si>
  <si>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</si>
  <si>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</si>
  <si>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</si>
  <si>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</si>
  <si>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</si>
  <si>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</si>
  <si>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</si>
  <si>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</si>
  <si>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</si>
  <si>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</si>
  <si>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</si>
  <si>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</si>
  <si>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</si>
  <si>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</si>
  <si>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</si>
  <si>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</si>
  <si>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</si>
  <si>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</si>
  <si>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</si>
  <si>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</si>
  <si>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</si>
  <si>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</si>
  <si>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</si>
  <si>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</si>
  <si>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</si>
  <si>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</si>
  <si>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</si>
  <si>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</si>
  <si>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</si>
  <si>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</si>
  <si>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</si>
  <si>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</si>
  <si>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</si>
  <si>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</si>
  <si>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</si>
  <si>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</si>
  <si>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</si>
  <si>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</si>
  <si>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</si>
  <si>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</si>
  <si>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</si>
  <si>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</si>
  <si>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</si>
  <si>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</si>
  <si>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</si>
  <si>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</si>
  <si>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</si>
  <si>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</si>
  <si>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</si>
  <si>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</si>
  <si>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</si>
  <si>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</si>
  <si>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</si>
  <si>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</si>
  <si>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</si>
  <si>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</si>
  <si>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</si>
  <si>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</si>
  <si>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</si>
  <si>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</si>
  <si>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</si>
  <si>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</si>
  <si>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</si>
  <si>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</si>
  <si>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</si>
  <si>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</si>
  <si>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</si>
  <si>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</si>
  <si>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</si>
  <si>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</si>
  <si>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</si>
  <si>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</si>
  <si>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</si>
  <si>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</si>
  <si>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</si>
  <si>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</si>
  <si>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</si>
  <si>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</si>
  <si>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</si>
  <si>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</si>
  <si>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</si>
  <si>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</si>
  <si>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</si>
  <si>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</si>
  <si>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</si>
  <si>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</si>
  <si>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</si>
  <si>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</si>
  <si>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</si>
  <si>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</si>
  <si>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</si>
  <si>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</si>
  <si>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</si>
  <si>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</si>
  <si>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</si>
  <si>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</si>
  <si>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</si>
  <si>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</si>
  <si>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</si>
  <si>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</si>
  <si>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</si>
  <si>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</si>
  <si>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</si>
  <si>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</si>
  <si>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</si>
  <si>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</si>
  <si>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</si>
  <si>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</si>
  <si>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</si>
  <si>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</si>
  <si>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</si>
  <si>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</si>
  <si>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</si>
  <si>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</si>
  <si>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</si>
  <si>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</si>
  <si>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</si>
  <si>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</si>
  <si>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</si>
  <si>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</si>
  <si>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</si>
  <si>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</si>
  <si>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</si>
  <si>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</si>
  <si>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</si>
  <si>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</si>
  <si>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</si>
  <si>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</si>
  <si>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</si>
  <si>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</si>
  <si>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</si>
  <si>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</si>
  <si>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</si>
  <si>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</si>
  <si>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</si>
  <si>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</si>
  <si>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</si>
  <si>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</si>
  <si>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</si>
  <si>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</si>
  <si>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</si>
  <si>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</si>
  <si>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</si>
  <si>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</si>
  <si>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</si>
  <si>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</si>
  <si>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</si>
  <si>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</si>
  <si>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</si>
  <si>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</si>
  <si>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</si>
  <si>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</si>
  <si>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</si>
  <si>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</si>
  <si>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</si>
  <si>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</si>
  <si>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</si>
  <si>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</si>
  <si>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</si>
  <si>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</si>
  <si>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</si>
  <si>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</si>
  <si>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</si>
  <si>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</si>
  <si>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</si>
  <si>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</si>
  <si>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</si>
  <si>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</si>
  <si>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</si>
  <si>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</si>
  <si>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</si>
  <si>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</si>
  <si>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</si>
  <si>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</si>
  <si>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</si>
  <si>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</si>
  <si>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</si>
  <si>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</si>
  <si>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</si>
  <si>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</si>
  <si>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</si>
  <si>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</si>
  <si>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</si>
  <si>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</si>
  <si>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</si>
  <si>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</si>
  <si>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</si>
  <si>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</si>
  <si>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</si>
  <si>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</si>
  <si>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</si>
  <si>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</si>
  <si>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</si>
  <si>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</si>
  <si>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</si>
  <si>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</si>
  <si>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</si>
  <si>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</si>
  <si>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</si>
  <si>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</si>
  <si>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</si>
  <si>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</si>
  <si>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</si>
  <si>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</si>
  <si>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</si>
  <si>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</si>
  <si>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</si>
  <si>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</si>
  <si>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</si>
  <si>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</si>
  <si>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</si>
  <si>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</si>
  <si>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</si>
  <si>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</si>
  <si>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</si>
  <si>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</si>
  <si>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</si>
  <si>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</si>
  <si>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</si>
  <si>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</si>
  <si>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</si>
  <si>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</si>
  <si>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</si>
  <si>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</si>
  <si>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</si>
  <si>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</si>
  <si>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</si>
  <si>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</si>
  <si>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</si>
  <si>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</si>
  <si>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</si>
  <si>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</si>
  <si>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</si>
  <si>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</si>
  <si>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</si>
  <si>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</si>
  <si>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</si>
  <si>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</si>
  <si>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</si>
  <si>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</si>
  <si>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</si>
  <si>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</si>
  <si>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</si>
  <si>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</si>
  <si>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</si>
  <si>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</si>
  <si>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</si>
  <si>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</si>
  <si>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</si>
  <si>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</si>
  <si>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</si>
  <si>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</si>
  <si>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</si>
  <si>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</si>
  <si>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</si>
  <si>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</si>
  <si>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</si>
  <si>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</si>
  <si>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</si>
  <si>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</si>
  <si>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</si>
  <si>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</si>
  <si>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</si>
  <si>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</si>
  <si>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</si>
  <si>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</si>
  <si>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</si>
  <si>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</si>
  <si>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</si>
  <si>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</si>
  <si>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</si>
  <si>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</si>
  <si>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</si>
  <si>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</si>
  <si>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</si>
  <si>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</si>
  <si>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</si>
  <si>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</si>
  <si>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</si>
  <si>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</si>
  <si>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</si>
  <si>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</si>
  <si>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</si>
  <si>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</si>
  <si>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</si>
  <si>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</si>
  <si>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</si>
  <si>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</si>
  <si>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</si>
  <si>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</si>
  <si>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</si>
  <si>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</si>
  <si>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</si>
  <si>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</si>
  <si>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</si>
  <si>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</si>
  <si>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</si>
  <si>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</si>
  <si>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</si>
  <si>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</si>
  <si>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</si>
  <si>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</si>
  <si>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</si>
  <si>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</si>
  <si>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</si>
  <si>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</si>
  <si>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</si>
  <si>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</si>
  <si>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</si>
  <si>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</si>
  <si>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</si>
  <si>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</si>
  <si>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</si>
  <si>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</si>
  <si>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</si>
  <si>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</si>
  <si>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</si>
  <si>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</si>
  <si>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</si>
  <si>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</si>
  <si>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</si>
  <si>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</si>
  <si>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</si>
  <si>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</si>
  <si>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</si>
  <si>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</si>
  <si>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</si>
  <si>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</si>
  <si>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</si>
  <si>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</si>
  <si>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</si>
  <si>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</si>
  <si>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</si>
  <si>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</si>
  <si>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</si>
  <si>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</si>
  <si>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</si>
  <si>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</si>
  <si>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</si>
  <si>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</si>
  <si>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</si>
  <si>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</si>
  <si>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</si>
  <si>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</si>
  <si>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</si>
  <si>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</si>
  <si>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</si>
  <si>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</si>
  <si>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</si>
  <si>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</si>
  <si>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</si>
  <si>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</si>
  <si>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</si>
  <si>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</si>
  <si>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</si>
  <si>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</si>
  <si>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</si>
  <si>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</si>
  <si>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</si>
  <si>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</si>
  <si>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</si>
  <si>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</si>
  <si>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</si>
  <si>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</si>
  <si>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</si>
  <si>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</si>
  <si>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</si>
  <si>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</si>
  <si>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</si>
  <si>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</si>
  <si>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</si>
  <si>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</si>
  <si>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</si>
  <si>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</si>
  <si>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</si>
  <si>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</si>
  <si>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</si>
  <si>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</si>
  <si>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</si>
  <si>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</si>
  <si>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</si>
  <si>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</si>
  <si>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</si>
  <si>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</si>
  <si>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</si>
  <si>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</si>
  <si>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</si>
  <si>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</si>
  <si>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</si>
  <si>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</si>
  <si>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</si>
  <si>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</si>
  <si>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</si>
  <si>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</si>
  <si>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</si>
  <si>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</si>
  <si>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</si>
  <si>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</si>
  <si>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</si>
  <si>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</si>
  <si>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</si>
  <si>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</si>
  <si>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</si>
  <si>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</si>
  <si>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</si>
  <si>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</si>
  <si>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</si>
  <si>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</si>
  <si>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</si>
  <si>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</si>
  <si>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</si>
  <si>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</si>
  <si>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</si>
  <si>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</si>
  <si>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</si>
  <si>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</si>
  <si>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</si>
  <si>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</si>
  <si>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</si>
  <si>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</si>
  <si>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</si>
  <si>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</si>
  <si>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</si>
  <si>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</si>
  <si>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</si>
  <si>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</si>
  <si>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</si>
  <si>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</si>
  <si>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</si>
  <si>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</si>
  <si>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</si>
  <si>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</si>
  <si>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</si>
  <si>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</si>
  <si>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</si>
  <si>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</si>
  <si>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</si>
  <si>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</si>
  <si>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</si>
  <si>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</si>
  <si>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</si>
  <si>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</si>
  <si>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</si>
  <si>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</si>
  <si>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</si>
  <si>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</si>
  <si>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</si>
  <si>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</si>
  <si>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</si>
  <si>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</si>
  <si>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</si>
  <si>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</si>
  <si>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</si>
  <si>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</si>
  <si>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</si>
  <si>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</si>
  <si>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</si>
  <si>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</si>
  <si>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</si>
  <si>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</si>
  <si>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</si>
  <si>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</si>
  <si>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</si>
  <si>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</si>
  <si>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</si>
  <si>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</si>
  <si>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</si>
  <si>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</si>
  <si>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</si>
  <si>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</si>
  <si>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</si>
  <si>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</si>
  <si>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</si>
  <si>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</si>
  <si>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</si>
  <si>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</si>
  <si>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</si>
  <si>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</si>
  <si>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</si>
  <si>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</si>
  <si>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</si>
  <si>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</si>
  <si>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</si>
  <si>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</si>
  <si>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</si>
  <si>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</si>
  <si>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</si>
  <si>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</si>
  <si>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</si>
  <si>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</si>
  <si>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</si>
  <si>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</si>
  <si>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</si>
  <si>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</si>
  <si>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</si>
  <si>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</si>
  <si>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</si>
  <si>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</si>
  <si>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</si>
  <si>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</si>
  <si>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</si>
  <si>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</si>
  <si>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</si>
  <si>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</si>
  <si>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</si>
  <si>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</si>
  <si>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</si>
  <si>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</si>
  <si>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</si>
  <si>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</si>
  <si>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</si>
  <si>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</si>
  <si>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</si>
  <si>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</si>
  <si>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</si>
  <si>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</si>
  <si>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</si>
  <si>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</si>
  <si>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</si>
  <si>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</si>
  <si>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</si>
  <si>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</si>
  <si>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</si>
  <si>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</si>
  <si>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</si>
  <si>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</si>
  <si>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</si>
  <si>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</si>
  <si>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</si>
  <si>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</si>
  <si>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</si>
  <si>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</si>
  <si>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</si>
  <si>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</si>
  <si>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</si>
  <si>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</si>
  <si>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</si>
  <si>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</si>
  <si>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</si>
  <si>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</si>
  <si>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</si>
  <si>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</si>
  <si>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</si>
  <si>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</si>
  <si>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</si>
  <si>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</si>
  <si>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</si>
  <si>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</si>
  <si>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</si>
  <si>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</si>
  <si>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</si>
  <si>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</si>
  <si>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</si>
  <si>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</si>
  <si>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</si>
  <si>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</si>
  <si>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</si>
  <si>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</si>
  <si>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</si>
  <si>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</si>
  <si>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</si>
  <si>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</si>
  <si>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</si>
  <si>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</si>
  <si>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</si>
  <si>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</si>
  <si>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</si>
  <si>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</si>
  <si>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</si>
  <si>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</si>
  <si>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</si>
  <si>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</si>
  <si>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</si>
  <si>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</si>
  <si>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</si>
  <si>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</si>
  <si>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</si>
  <si>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</si>
  <si>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</si>
  <si>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</si>
  <si>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</si>
  <si>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</si>
  <si>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</si>
  <si>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</si>
  <si>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</si>
  <si>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</si>
  <si>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</si>
  <si>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</si>
  <si>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</si>
  <si>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</si>
  <si>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</si>
  <si>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</si>
  <si>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</si>
  <si>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</si>
  <si>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</si>
  <si>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</si>
  <si>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</si>
  <si>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</si>
  <si>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</si>
  <si>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</si>
  <si>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</si>
  <si>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</si>
  <si>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</si>
  <si>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</si>
  <si>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</si>
  <si>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</si>
  <si>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</si>
  <si>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</si>
  <si>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</si>
  <si>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</si>
  <si>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</si>
  <si>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</si>
  <si>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</si>
  <si>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</si>
  <si>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</si>
  <si>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</si>
  <si>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</si>
  <si>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</si>
  <si>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</si>
  <si>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</si>
  <si>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</si>
  <si>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</si>
  <si>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</si>
  <si>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</si>
  <si>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</si>
  <si>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</si>
  <si>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</si>
  <si>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</si>
  <si>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</si>
  <si>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</si>
  <si>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</si>
  <si>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</si>
  <si>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</si>
  <si>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</si>
  <si>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</si>
  <si>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</si>
  <si>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</si>
  <si>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</si>
  <si>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</si>
  <si>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</si>
  <si>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</si>
  <si>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</si>
  <si>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</si>
  <si>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</si>
  <si>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</si>
  <si>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</si>
  <si>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</si>
  <si>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</si>
  <si>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</si>
  <si>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</si>
  <si>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</si>
  <si>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</si>
  <si>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</si>
  <si>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</si>
  <si>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</si>
  <si>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</si>
  <si>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</si>
  <si>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</si>
  <si>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</si>
  <si>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</si>
  <si>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</si>
  <si>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</si>
  <si>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</si>
  <si>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</si>
  <si>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</si>
  <si>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</si>
  <si>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</si>
  <si>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</si>
  <si>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</si>
  <si>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</si>
  <si>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</si>
  <si>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</si>
  <si>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</si>
  <si>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</si>
  <si>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</si>
  <si>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</si>
  <si>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</si>
  <si>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</si>
  <si>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</si>
  <si>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</si>
  <si>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</si>
  <si>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</si>
  <si>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</si>
  <si>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</si>
  <si>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</si>
  <si>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</si>
  <si>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</si>
  <si>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</si>
  <si>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</si>
  <si>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</si>
  <si>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</si>
  <si>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</si>
  <si>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</si>
  <si>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</si>
  <si>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</si>
  <si>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</si>
  <si>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</si>
  <si>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</si>
  <si>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</si>
  <si>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</si>
  <si>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</si>
  <si>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</si>
  <si>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</si>
  <si>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</si>
  <si>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</si>
  <si>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</si>
  <si>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</si>
  <si>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</si>
  <si>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</si>
  <si>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</si>
  <si>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</si>
  <si>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</si>
  <si>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</si>
  <si>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</si>
  <si>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</si>
  <si>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</si>
  <si>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</si>
  <si>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</si>
  <si>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</si>
  <si>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</si>
  <si>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</si>
  <si>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</si>
  <si>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</si>
  <si>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</si>
  <si>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</si>
  <si>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</si>
  <si>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</si>
  <si>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</si>
  <si>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</si>
  <si>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</si>
  <si>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</si>
  <si>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</si>
  <si>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</si>
  <si>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</si>
  <si>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</si>
  <si>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</si>
  <si>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</si>
  <si>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</si>
  <si>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</si>
  <si>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</si>
  <si>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</si>
  <si>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</si>
  <si>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</si>
  <si>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</si>
  <si>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</si>
  <si>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</si>
  <si>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</si>
  <si>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</si>
  <si>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</si>
  <si>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</si>
  <si>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</si>
  <si>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</si>
  <si>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</si>
  <si>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</si>
  <si>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</si>
  <si>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</si>
  <si>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</si>
  <si>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</si>
  <si>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</si>
  <si>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</si>
  <si>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</si>
  <si>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</si>
  <si>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</si>
  <si>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</si>
  <si>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</si>
  <si>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</si>
  <si>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</si>
  <si>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</si>
  <si>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</si>
  <si>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</si>
  <si>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</si>
  <si>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</si>
  <si>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</si>
  <si>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</si>
  <si>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</si>
  <si>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</si>
  <si>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</si>
  <si>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</si>
  <si>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</si>
  <si>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</si>
  <si>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</si>
  <si>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</si>
  <si>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</si>
  <si>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</si>
  <si>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</si>
  <si>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</si>
  <si>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</si>
  <si>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</si>
  <si>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</si>
  <si>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</si>
  <si>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</si>
  <si>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</si>
  <si>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</si>
  <si>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</si>
  <si>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</si>
  <si>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</si>
  <si>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</si>
  <si>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</si>
  <si>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</si>
  <si>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</si>
  <si>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</si>
  <si>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</si>
  <si>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</si>
  <si>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</si>
  <si>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</si>
  <si>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</si>
  <si>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</si>
  <si>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</si>
  <si>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</si>
  <si>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</si>
  <si>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</si>
  <si>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</si>
  <si>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</si>
  <si>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</si>
  <si>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</si>
  <si>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</si>
  <si>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</si>
  <si>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</si>
  <si>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</si>
  <si>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</si>
  <si>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</si>
  <si>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</si>
  <si>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</si>
  <si>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</si>
  <si>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</si>
  <si>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</si>
  <si>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</si>
  <si>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</si>
  <si>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</si>
  <si>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</si>
  <si>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</si>
  <si>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</si>
  <si>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</si>
  <si>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</si>
  <si>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</si>
  <si>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</si>
  <si>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</si>
  <si>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</si>
  <si>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</si>
  <si>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</si>
  <si>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</si>
  <si>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</si>
  <si>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</si>
  <si>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</si>
  <si>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</si>
  <si>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</si>
  <si>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</si>
  <si>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</si>
  <si>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</si>
  <si>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</si>
  <si>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</si>
  <si>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</si>
  <si>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</si>
  <si>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</si>
  <si>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</si>
  <si>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</si>
  <si>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</si>
  <si>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</si>
  <si>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</si>
  <si>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</si>
  <si>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</si>
  <si>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</si>
  <si>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</si>
  <si>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</si>
  <si>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</si>
  <si>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</si>
  <si>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</si>
  <si>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</si>
  <si>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</si>
  <si>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</si>
  <si>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</si>
  <si>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</si>
  <si>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</si>
  <si>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</si>
  <si>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</si>
  <si>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</si>
  <si>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</si>
  <si>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</si>
  <si>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</si>
  <si>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</si>
  <si>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</si>
  <si>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</si>
  <si>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</si>
  <si>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</si>
  <si>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</si>
  <si>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</si>
  <si>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</si>
  <si>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</si>
  <si>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</si>
  <si>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</si>
  <si>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</si>
  <si>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</si>
  <si>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</si>
  <si>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</si>
  <si>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</si>
  <si>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</si>
  <si>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</si>
  <si>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</si>
  <si>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</si>
  <si>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</si>
  <si>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</si>
  <si>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</si>
  <si>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</si>
  <si>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</si>
  <si>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</si>
  <si>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</si>
  <si>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</si>
  <si>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</si>
  <si>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</si>
  <si>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</si>
  <si>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</si>
  <si>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</si>
  <si>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</si>
  <si>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</si>
  <si>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</si>
  <si>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</si>
  <si>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</si>
  <si>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</si>
  <si>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</si>
  <si>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</si>
  <si>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</si>
  <si>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</si>
  <si>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</si>
  <si>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</si>
  <si>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</si>
  <si>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</si>
  <si>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</si>
  <si>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</si>
  <si>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</si>
  <si>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</si>
  <si>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</si>
  <si>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</si>
  <si>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</si>
  <si>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</si>
  <si>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</si>
  <si>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</si>
  <si>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</si>
  <si>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</si>
  <si>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</si>
  <si>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</si>
  <si>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</si>
  <si>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</si>
  <si>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</si>
  <si>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</si>
  <si>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</si>
  <si>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</si>
  <si>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</si>
  <si>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</si>
  <si>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</si>
  <si>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</si>
  <si>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</si>
  <si>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</si>
  <si>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</si>
  <si>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</si>
  <si>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</si>
  <si>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</si>
  <si>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</si>
  <si>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</si>
  <si>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</si>
  <si>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</si>
  <si>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</si>
  <si>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</si>
  <si>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</si>
  <si>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</si>
  <si>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</si>
  <si>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</si>
  <si>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</si>
  <si>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</si>
  <si>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</si>
  <si>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</si>
  <si>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</si>
  <si>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</si>
  <si>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</si>
  <si>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</si>
  <si>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</si>
  <si>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</si>
  <si>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</si>
  <si>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</si>
  <si>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</si>
  <si>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</si>
  <si>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</si>
  <si>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</si>
  <si>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</si>
  <si>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</si>
  <si>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</si>
  <si>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</si>
  <si>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</si>
  <si>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</si>
  <si>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</si>
  <si>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</si>
  <si>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</si>
  <si>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</si>
  <si>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</si>
  <si>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</si>
  <si>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</si>
  <si>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</si>
  <si>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</si>
  <si>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</si>
  <si>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</si>
  <si>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</si>
  <si>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</si>
  <si>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</si>
  <si>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</si>
  <si>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</si>
  <si>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</si>
  <si>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</si>
  <si>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</si>
  <si>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</si>
  <si>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</si>
  <si>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</si>
  <si>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</si>
  <si>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</si>
  <si>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</si>
  <si>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</si>
  <si>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</si>
  <si>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</si>
  <si>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</si>
  <si>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</si>
  <si>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</si>
  <si>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</si>
  <si>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</si>
  <si>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</si>
  <si>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</si>
  <si>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</si>
  <si>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</si>
  <si>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</si>
  <si>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</si>
  <si>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</si>
  <si>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</si>
  <si>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</si>
  <si>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</si>
  <si>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</si>
  <si>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</si>
  <si>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</si>
  <si>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</si>
  <si>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</si>
  <si>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</si>
  <si>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</si>
  <si>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</si>
  <si>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</si>
  <si>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</si>
  <si>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</si>
  <si>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</si>
  <si>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</si>
  <si>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</si>
  <si>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</si>
  <si>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</si>
  <si>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</si>
  <si>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</si>
  <si>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</si>
  <si>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</si>
  <si>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</si>
  <si>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</si>
  <si>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</si>
  <si>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</si>
  <si>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</si>
  <si>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</si>
  <si>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</si>
  <si>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</si>
  <si>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</si>
  <si>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</si>
  <si>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</si>
  <si>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</si>
  <si>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</si>
  <si>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</si>
  <si>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</si>
  <si>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</si>
  <si>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</si>
  <si>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</si>
  <si>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</si>
  <si>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</si>
  <si>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</si>
  <si>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</si>
  <si>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</si>
  <si>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</si>
  <si>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</si>
  <si>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</si>
  <si>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</si>
  <si>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</si>
  <si>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</si>
  <si>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</si>
  <si>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</si>
  <si>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</si>
  <si>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</si>
  <si>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</si>
  <si>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</si>
  <si>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</si>
  <si>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</si>
  <si>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</si>
  <si>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</si>
  <si>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</si>
  <si>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</si>
  <si>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</si>
  <si>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</si>
  <si>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</si>
  <si>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</si>
  <si>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</si>
  <si>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</si>
  <si>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</si>
  <si>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</si>
  <si>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</si>
  <si>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</si>
  <si>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</si>
  <si>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</si>
  <si>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</si>
  <si>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</si>
  <si>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</si>
  <si>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</si>
  <si>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</si>
  <si>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</si>
  <si>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</si>
  <si>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</si>
  <si>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</si>
  <si>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</si>
  <si>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</si>
  <si>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</si>
  <si>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</si>
  <si>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</si>
  <si>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</si>
  <si>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</si>
  <si>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</si>
  <si>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</si>
  <si>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</si>
  <si>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</si>
  <si>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</si>
  <si>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</si>
  <si>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</si>
  <si>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</si>
  <si>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</si>
  <si>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</si>
  <si>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</si>
  <si>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</si>
  <si>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</si>
  <si>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</si>
  <si>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</si>
  <si>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</si>
  <si>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</si>
  <si>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</si>
  <si>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</si>
  <si>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</si>
  <si>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</si>
  <si>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</si>
  <si>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</si>
  <si>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</si>
  <si>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</si>
  <si>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</si>
  <si>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</si>
  <si>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</si>
  <si>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</si>
  <si>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</si>
  <si>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</si>
  <si>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</si>
  <si>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</si>
  <si>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</si>
  <si>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</si>
  <si>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</si>
  <si>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</si>
  <si>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</si>
  <si>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</si>
  <si>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</si>
  <si>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</si>
  <si>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</si>
  <si>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</si>
  <si>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</si>
  <si>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</si>
  <si>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</si>
  <si>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</si>
  <si>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</si>
  <si>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</si>
  <si>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</si>
  <si>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</si>
  <si>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</si>
  <si>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</si>
  <si>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</si>
  <si>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</si>
  <si>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</si>
  <si>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</si>
  <si>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</si>
  <si>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</si>
  <si>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</si>
  <si>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</si>
  <si>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</si>
  <si>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</si>
  <si>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</si>
  <si>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</si>
  <si>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</si>
  <si>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</si>
  <si>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</si>
  <si>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</si>
  <si>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</si>
  <si>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</si>
  <si>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</si>
  <si>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</si>
  <si>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</si>
  <si>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</si>
  <si>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</si>
  <si>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</si>
  <si>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</si>
  <si>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</si>
  <si>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</si>
  <si>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</si>
  <si>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</si>
  <si>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</si>
  <si>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</si>
  <si>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</si>
  <si>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</si>
  <si>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</si>
  <si>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</si>
  <si>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</si>
  <si>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</si>
  <si>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</si>
  <si>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</si>
  <si>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</si>
  <si>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</si>
  <si>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</si>
  <si>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</si>
  <si>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</si>
  <si>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</si>
  <si>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</si>
  <si>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</si>
  <si>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</si>
  <si>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</si>
  <si>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</si>
  <si>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</si>
  <si>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</si>
  <si>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</si>
  <si>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</si>
  <si>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</si>
  <si>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</si>
  <si>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</si>
  <si>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</si>
  <si>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</si>
  <si>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</si>
  <si>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</si>
  <si>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</si>
  <si>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</si>
  <si>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</si>
  <si>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</si>
  <si>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</si>
  <si>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</si>
  <si>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</si>
  <si>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</si>
  <si>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</si>
  <si>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</si>
  <si>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</si>
  <si>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</si>
  <si>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</si>
  <si>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</si>
  <si>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</si>
  <si>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</si>
  <si>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</si>
  <si>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</si>
  <si>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</si>
  <si>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</si>
  <si>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</si>
  <si>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</si>
  <si>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</si>
  <si>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</si>
  <si>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</si>
  <si>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</si>
  <si>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</si>
  <si>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</si>
  <si>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</si>
  <si>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</si>
  <si>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</si>
  <si>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</si>
  <si>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</si>
  <si>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</si>
  <si>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</si>
  <si>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</si>
  <si>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</si>
  <si>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</si>
  <si>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</si>
  <si>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</si>
  <si>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</si>
  <si>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</si>
  <si>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</si>
  <si>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</si>
  <si>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</si>
  <si>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</si>
  <si>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</si>
  <si>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</si>
  <si>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</si>
  <si>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</si>
  <si>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</si>
  <si>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</si>
  <si>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</si>
  <si>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</si>
  <si>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</si>
  <si>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</si>
  <si>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</si>
  <si>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</si>
  <si>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</si>
  <si>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</si>
  <si>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</si>
  <si>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</si>
  <si>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</si>
  <si>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</si>
  <si>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</si>
  <si>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</si>
  <si>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</si>
  <si>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</si>
  <si>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</si>
  <si>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</si>
  <si>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</si>
  <si>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</si>
  <si>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</si>
  <si>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</si>
  <si>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</si>
  <si>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</si>
  <si>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</si>
  <si>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</si>
  <si>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</si>
  <si>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</si>
  <si>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</si>
  <si>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</si>
  <si>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</si>
  <si>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</si>
  <si>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</si>
  <si>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</si>
  <si>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</si>
  <si>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</si>
  <si>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</si>
  <si>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</si>
  <si>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</si>
  <si>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</si>
  <si>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</si>
  <si>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</si>
  <si>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</si>
  <si>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</si>
  <si>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</si>
  <si>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</si>
  <si>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</si>
  <si>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</si>
  <si>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</si>
  <si>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</si>
  <si>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</si>
  <si>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</si>
  <si>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</si>
  <si>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</si>
  <si>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</si>
  <si>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</si>
  <si>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</si>
  <si>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</si>
  <si>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</si>
  <si>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</si>
  <si>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</si>
  <si>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</si>
  <si>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</si>
  <si>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</si>
  <si>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</si>
  <si>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</si>
  <si>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</si>
  <si>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</si>
  <si>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</si>
  <si>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</si>
  <si>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</si>
  <si>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</si>
  <si>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</si>
  <si>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</si>
  <si>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</si>
  <si>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</si>
  <si>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</si>
  <si>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</si>
  <si>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</si>
  <si>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</si>
  <si>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</si>
  <si>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</si>
  <si>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</si>
  <si>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</si>
  <si>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</si>
  <si>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</si>
  <si>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</si>
  <si>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</si>
  <si>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</si>
  <si>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</si>
  <si>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</si>
  <si>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</si>
  <si>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</si>
  <si>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</si>
  <si>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</si>
  <si>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</si>
  <si>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</si>
  <si>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</si>
  <si>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</si>
  <si>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</si>
  <si>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</si>
  <si>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</si>
  <si>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</si>
  <si>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</si>
  <si>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</si>
  <si>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</si>
  <si>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</si>
  <si>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</si>
  <si>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</si>
  <si>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</si>
  <si>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</si>
  <si>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</si>
  <si>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</si>
  <si>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</si>
  <si>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</si>
  <si>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</si>
  <si>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</si>
  <si>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</si>
  <si>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</si>
  <si>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</si>
  <si>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</si>
  <si>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</si>
  <si>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</si>
  <si>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</si>
  <si>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</si>
  <si>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</si>
  <si>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</si>
  <si>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</si>
  <si>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</si>
  <si>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</si>
  <si>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</si>
  <si>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</si>
  <si>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</si>
  <si>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</si>
  <si>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</si>
  <si>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</si>
  <si>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</si>
  <si>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</si>
  <si>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</si>
  <si>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</si>
  <si>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</si>
  <si>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</si>
  <si>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</si>
  <si>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</si>
  <si>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</si>
  <si>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</si>
  <si>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</si>
  <si>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</si>
  <si>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</si>
  <si>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</si>
  <si>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</si>
  <si>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</si>
  <si>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</si>
  <si>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</si>
  <si>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</si>
  <si>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</si>
  <si>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</si>
  <si>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</si>
  <si>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</si>
  <si>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</si>
  <si>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</si>
  <si>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</si>
  <si>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</si>
  <si>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</si>
  <si>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</si>
  <si>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</si>
  <si>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</si>
  <si>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</si>
  <si>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</si>
  <si>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</si>
  <si>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</si>
  <si>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</si>
  <si>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</si>
  <si>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</si>
  <si>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</si>
  <si>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</si>
  <si>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</si>
  <si>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</si>
  <si>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</si>
  <si>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</si>
  <si>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</si>
  <si>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</si>
  <si>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</si>
  <si>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</si>
  <si>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</si>
  <si>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</si>
  <si>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</si>
  <si>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</si>
  <si>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</si>
  <si>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</si>
  <si>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</si>
  <si>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</si>
  <si>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</si>
  <si>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</si>
  <si>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</si>
  <si>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</si>
  <si>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</si>
  <si>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</si>
  <si>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</si>
  <si>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</si>
  <si>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</si>
  <si>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</si>
  <si>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</si>
  <si>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</si>
  <si>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</si>
  <si>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</si>
  <si>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</si>
  <si>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</si>
  <si>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</si>
  <si>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</si>
  <si>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</si>
  <si>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</si>
  <si>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</si>
  <si>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</si>
  <si>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</si>
  <si>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</si>
  <si>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</si>
  <si>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</si>
  <si>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</si>
  <si>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</si>
  <si>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</si>
  <si>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</si>
  <si>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</si>
  <si>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</si>
  <si>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</si>
  <si>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</si>
  <si>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</si>
  <si>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</si>
  <si>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</si>
  <si>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</si>
  <si>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</si>
  <si>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</si>
  <si>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</si>
  <si>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</si>
  <si>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</si>
  <si>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</si>
  <si>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</si>
  <si>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</si>
  <si>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</si>
  <si>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</si>
  <si>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</si>
  <si>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</si>
  <si>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</si>
  <si>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</si>
  <si>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</si>
  <si>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</si>
  <si>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</si>
  <si>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</si>
  <si>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</si>
  <si>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</si>
  <si>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</si>
  <si>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</si>
  <si>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</si>
  <si>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</si>
  <si>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</si>
  <si>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</si>
  <si>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</si>
  <si>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</si>
  <si>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</si>
  <si>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</si>
  <si>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</si>
  <si>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</si>
  <si>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</si>
  <si>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</si>
  <si>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</si>
  <si>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</si>
  <si>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</si>
  <si>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</si>
  <si>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</si>
  <si>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</si>
  <si>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</si>
  <si>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</si>
  <si>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</si>
  <si>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</si>
  <si>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</si>
  <si>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</si>
  <si>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</si>
  <si>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</si>
  <si>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</si>
  <si>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</si>
  <si>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</si>
  <si>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</si>
  <si>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</si>
  <si>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</si>
  <si>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</si>
  <si>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</si>
  <si>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</si>
  <si>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</si>
  <si>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</si>
  <si>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</si>
  <si>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</si>
  <si>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</si>
  <si>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</si>
  <si>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</si>
  <si>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</si>
  <si>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</si>
  <si>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</si>
  <si>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</si>
  <si>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</si>
  <si>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</si>
  <si>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</si>
  <si>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</si>
  <si>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</si>
  <si>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</si>
  <si>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</si>
  <si>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</si>
  <si>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</si>
  <si>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</si>
  <si>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</si>
  <si>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</si>
  <si>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</si>
  <si>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</si>
  <si>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</si>
  <si>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</si>
  <si>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</si>
  <si>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</si>
  <si>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</si>
  <si>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</si>
  <si>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</si>
  <si>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</si>
  <si>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</si>
  <si>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</si>
  <si>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</si>
  <si>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</si>
  <si>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</si>
  <si>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</si>
  <si>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</si>
  <si>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</si>
  <si>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</si>
  <si>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</si>
  <si>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</si>
  <si>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</si>
  <si>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</si>
  <si>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</si>
  <si>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</si>
  <si>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</si>
  <si>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</si>
  <si>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</si>
  <si>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</si>
  <si>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</si>
  <si>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</si>
  <si>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</si>
  <si>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</si>
  <si>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</si>
  <si>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</si>
  <si>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</si>
  <si>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</si>
  <si>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</si>
  <si>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</si>
  <si>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</si>
  <si>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</si>
  <si>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</si>
  <si>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</si>
  <si>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</si>
  <si>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</si>
  <si>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</si>
  <si>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</si>
  <si>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</si>
  <si>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</si>
  <si>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</si>
  <si>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</si>
  <si>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</si>
  <si>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</si>
  <si>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</si>
  <si>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</si>
  <si>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</si>
  <si>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</si>
  <si>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</si>
  <si>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</si>
  <si>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</si>
  <si>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</si>
  <si>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</si>
  <si>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</si>
  <si>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</si>
  <si>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</si>
  <si>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</si>
  <si>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</si>
  <si>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</si>
  <si>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</si>
  <si>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</si>
  <si>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</si>
  <si>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</si>
  <si>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</si>
  <si>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</si>
  <si>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</si>
  <si>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</si>
  <si>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</si>
  <si>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</si>
  <si>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</si>
  <si>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</si>
  <si>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</si>
  <si>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</si>
  <si>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</si>
  <si>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</si>
  <si>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</si>
  <si>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</si>
  <si>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</si>
  <si>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</si>
  <si>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</si>
  <si>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</si>
  <si>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</si>
  <si>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</si>
  <si>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</si>
  <si>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</si>
  <si>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</si>
  <si>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</si>
  <si>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</si>
  <si>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</si>
  <si>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</si>
  <si>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</si>
  <si>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</si>
  <si>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</si>
  <si>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</si>
  <si>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</si>
  <si>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</si>
  <si>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</si>
  <si>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</si>
  <si>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</si>
  <si>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</si>
  <si>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</si>
  <si>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</si>
  <si>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</si>
  <si>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</si>
  <si>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</si>
  <si>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</si>
  <si>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</si>
  <si>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</si>
  <si>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</si>
  <si>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</si>
  <si>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</si>
  <si>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</si>
  <si>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</si>
  <si>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</si>
  <si>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</si>
  <si>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</si>
  <si>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</si>
  <si>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</si>
  <si>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</si>
  <si>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</si>
  <si>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</si>
  <si>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</si>
  <si>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</si>
  <si>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</si>
  <si>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</si>
  <si>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</si>
  <si>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</si>
  <si>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</si>
  <si>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</si>
  <si>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</si>
  <si>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</si>
  <si>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</si>
  <si>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</si>
  <si>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</si>
  <si>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</si>
  <si>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</si>
  <si>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</si>
  <si>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</si>
  <si>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</si>
  <si>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</si>
  <si>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</si>
  <si>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</si>
  <si>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</si>
  <si>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</si>
  <si>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</si>
  <si>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</si>
  <si>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</si>
  <si>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</si>
  <si>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</si>
  <si>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</si>
  <si>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</si>
  <si>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</si>
  <si>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</si>
  <si>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</si>
  <si>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</si>
  <si>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</si>
  <si>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</si>
  <si>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</si>
  <si>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</si>
  <si>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</si>
  <si>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</si>
  <si>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</si>
  <si>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</si>
  <si>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</si>
  <si>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</si>
  <si>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</si>
  <si>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</si>
  <si>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</si>
  <si>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</si>
  <si>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</si>
  <si>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</si>
  <si>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</si>
  <si>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</si>
  <si>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</si>
  <si>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</si>
  <si>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</si>
  <si>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</si>
  <si>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</si>
  <si>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</si>
  <si>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</si>
  <si>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</si>
  <si>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</si>
  <si>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</si>
  <si>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</si>
  <si>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</si>
  <si>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</si>
  <si>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</si>
  <si>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</si>
  <si>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</si>
  <si>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</si>
  <si>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</si>
  <si>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</si>
  <si>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</si>
  <si>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</si>
  <si>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</si>
  <si>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</si>
  <si>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</si>
  <si>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</si>
  <si>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</si>
  <si>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</si>
  <si>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</si>
  <si>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</si>
  <si>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</si>
  <si>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</si>
  <si>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</si>
  <si>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</si>
  <si>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</si>
  <si>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</si>
  <si>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</si>
  <si>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</si>
  <si>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</si>
  <si>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</si>
  <si>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</si>
  <si>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</si>
  <si>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</si>
  <si>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</si>
  <si>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</si>
  <si>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</si>
  <si>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</si>
  <si>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</si>
  <si>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</si>
  <si>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</si>
  <si>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</si>
  <si>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</si>
  <si>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</si>
  <si>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</si>
  <si>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</si>
  <si>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</si>
  <si>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</si>
  <si>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</si>
  <si>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</si>
  <si>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</si>
  <si>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</si>
  <si>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</si>
  <si>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</si>
  <si>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</si>
  <si>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</si>
  <si>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</si>
  <si>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</si>
  <si>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</si>
  <si>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</si>
  <si>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</si>
  <si>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</si>
  <si>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</si>
  <si>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</si>
  <si>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</si>
  <si>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</si>
  <si>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</si>
  <si>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</si>
  <si>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</si>
  <si>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</si>
  <si>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</si>
  <si>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</si>
  <si>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</si>
  <si>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</si>
  <si>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</si>
  <si>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</si>
  <si>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</si>
  <si>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</si>
  <si>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</si>
  <si>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</si>
  <si>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</si>
  <si>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</si>
  <si>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</si>
  <si>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</si>
  <si>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</si>
  <si>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</si>
  <si>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</si>
  <si>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</si>
  <si>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</si>
  <si>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</si>
  <si>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</si>
  <si>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</si>
  <si>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</si>
  <si>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</si>
  <si>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</si>
  <si>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</si>
  <si>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</si>
  <si>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</si>
  <si>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</si>
  <si>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</si>
  <si>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</si>
  <si>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</si>
  <si>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</si>
  <si>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</si>
  <si>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</si>
  <si>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</si>
  <si>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</si>
  <si>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</si>
  <si>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</si>
  <si>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</si>
  <si>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</si>
  <si>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</si>
  <si>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</si>
  <si>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</si>
  <si>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</si>
  <si>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</si>
  <si>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</si>
  <si>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</si>
  <si>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</si>
  <si>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</si>
  <si>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</si>
  <si>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</si>
  <si>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</si>
  <si>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</si>
  <si>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</si>
  <si>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</si>
  <si>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</si>
  <si>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</si>
  <si>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</si>
  <si>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</si>
  <si>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</si>
  <si>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</si>
  <si>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</si>
  <si>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</si>
  <si>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</si>
  <si>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</si>
  <si>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</si>
  <si>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</si>
  <si>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</si>
  <si>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</si>
  <si>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</si>
  <si>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</si>
  <si>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</si>
  <si>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</si>
  <si>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</si>
  <si>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</si>
  <si>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</si>
  <si>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</si>
  <si>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</si>
  <si>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</si>
  <si>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</si>
  <si>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</si>
  <si>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</si>
  <si>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</si>
  <si>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</si>
  <si>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</si>
  <si>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</si>
  <si>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</si>
  <si>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</si>
  <si>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</si>
  <si>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</si>
  <si>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</si>
  <si>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</si>
  <si>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</si>
  <si>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</si>
  <si>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</si>
  <si>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</si>
  <si>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</si>
  <si>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</si>
  <si>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</si>
  <si>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</si>
  <si>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</si>
  <si>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</si>
  <si>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</si>
  <si>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</si>
  <si>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</si>
  <si>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</si>
  <si>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</si>
  <si>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</si>
  <si>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</si>
  <si>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</si>
  <si>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</si>
  <si>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</si>
  <si>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</si>
  <si>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</si>
  <si>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</si>
  <si>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</si>
  <si>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</si>
  <si>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</si>
  <si>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</si>
  <si>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</si>
  <si>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</si>
  <si>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</si>
  <si>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</si>
  <si>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</si>
  <si>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</si>
  <si>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</si>
  <si>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</si>
  <si>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</si>
  <si>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</si>
  <si>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</si>
  <si>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</si>
  <si>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</si>
  <si>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</si>
  <si>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</si>
  <si>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</si>
  <si>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</si>
  <si>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</si>
  <si>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</si>
  <si>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</si>
  <si>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</si>
  <si>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</si>
  <si>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</si>
  <si>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</si>
  <si>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</si>
  <si>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</si>
  <si>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</si>
  <si>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</si>
  <si>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</si>
  <si>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</si>
  <si>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</si>
  <si>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</si>
  <si>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</si>
  <si>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</si>
  <si>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</si>
  <si>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</si>
  <si>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</si>
  <si>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</si>
  <si>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</si>
  <si>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</si>
  <si>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</si>
  <si>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</si>
  <si>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</si>
  <si>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</si>
  <si>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</si>
  <si>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</si>
  <si>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</si>
  <si>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</si>
  <si>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</si>
  <si>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</si>
  <si>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</si>
  <si>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</si>
  <si>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</si>
  <si>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</si>
  <si>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</si>
  <si>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</si>
  <si>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</si>
  <si>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</si>
  <si>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</si>
  <si>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</si>
  <si>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</si>
  <si>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</si>
  <si>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</si>
  <si>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</si>
  <si>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</si>
  <si>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</si>
  <si>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</si>
  <si>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</si>
  <si>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</si>
  <si>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</si>
  <si>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</si>
  <si>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</si>
  <si>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</si>
  <si>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</si>
  <si>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</si>
  <si>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</si>
  <si>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</si>
  <si>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</si>
  <si>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</si>
  <si>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</si>
  <si>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</si>
  <si>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</si>
  <si>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</si>
  <si>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</si>
  <si>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</si>
  <si>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</si>
  <si>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</si>
  <si>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</si>
  <si>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</si>
  <si>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</si>
  <si>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</si>
  <si>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</si>
  <si>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</si>
  <si>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</si>
  <si>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</si>
  <si>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</si>
  <si>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</si>
  <si>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</si>
  <si>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</si>
  <si>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</si>
  <si>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</si>
  <si>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</si>
  <si>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</si>
  <si>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</si>
  <si>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</si>
  <si>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</si>
  <si>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</si>
  <si>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</si>
  <si>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</si>
  <si>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</si>
  <si>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</si>
  <si>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</si>
  <si>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</si>
  <si>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</si>
  <si>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</si>
  <si>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</si>
  <si>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</si>
  <si>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</si>
  <si>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</si>
  <si>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</si>
  <si>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</si>
  <si>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</si>
  <si>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</si>
  <si>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</si>
  <si>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</si>
  <si>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</si>
  <si>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</si>
  <si>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</si>
  <si>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</si>
  <si>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</si>
  <si>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</si>
  <si>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</si>
  <si>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</si>
  <si>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</si>
  <si>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</si>
  <si>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</si>
  <si>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</si>
  <si>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</si>
  <si>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</si>
  <si>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</si>
  <si>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</si>
  <si>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</si>
  <si>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</si>
  <si>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</si>
  <si>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</si>
  <si>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</si>
  <si>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</si>
  <si>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</si>
  <si>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</si>
  <si>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</si>
  <si>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</si>
  <si>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</si>
  <si>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</si>
  <si>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</si>
  <si>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</si>
  <si>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</si>
  <si>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</si>
  <si>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</si>
  <si>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</si>
  <si>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</si>
  <si>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</si>
  <si>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</si>
  <si>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</si>
  <si>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</si>
  <si>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</si>
  <si>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</si>
  <si>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</si>
  <si>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</si>
  <si>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</si>
  <si>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</si>
  <si>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</si>
  <si>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</si>
  <si>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</si>
  <si>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</si>
  <si>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</si>
  <si>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</si>
  <si>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</si>
  <si>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</si>
  <si>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</si>
  <si>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</si>
  <si>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</si>
  <si>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</si>
  <si>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</si>
  <si>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</si>
  <si>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</si>
  <si>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</si>
  <si>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</si>
  <si>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</si>
  <si>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</si>
  <si>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</si>
  <si>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</si>
  <si>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</si>
  <si>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</si>
  <si>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</si>
  <si>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</si>
  <si>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</si>
  <si>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</si>
  <si>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</si>
  <si>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</si>
  <si>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</si>
  <si>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</si>
  <si>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</si>
  <si>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</si>
  <si>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</si>
  <si>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</si>
  <si>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</si>
  <si>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</si>
  <si>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</si>
  <si>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</si>
  <si>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</si>
  <si>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</si>
  <si>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</si>
  <si>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</si>
  <si>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</si>
  <si>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</si>
  <si>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</si>
  <si>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</si>
  <si>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</si>
  <si>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</si>
  <si>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</si>
  <si>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</si>
  <si>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</si>
  <si>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</si>
  <si>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</si>
  <si>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</si>
  <si>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</si>
  <si>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</si>
  <si>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</si>
  <si>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</si>
  <si>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</si>
  <si>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</si>
  <si>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</si>
  <si>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</si>
  <si>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</si>
  <si>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</si>
  <si>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</si>
  <si>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</si>
  <si>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</si>
  <si>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</si>
  <si>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</si>
  <si>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</si>
  <si>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</si>
  <si>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</si>
  <si>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</si>
  <si>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</si>
  <si>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</si>
  <si>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</si>
  <si>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</si>
  <si>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</si>
  <si>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</si>
  <si>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</si>
  <si>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</si>
  <si>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</si>
  <si>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</si>
  <si>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</si>
  <si>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</si>
  <si>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</si>
  <si>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</si>
  <si>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</si>
  <si>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</si>
  <si>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</si>
  <si>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</si>
  <si>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</si>
  <si>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</si>
  <si>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</si>
  <si>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</si>
  <si>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</si>
  <si>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</si>
  <si>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</si>
  <si>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</si>
  <si>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</si>
  <si>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</si>
  <si>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</si>
  <si>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</si>
  <si>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</si>
  <si>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</si>
  <si>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</si>
  <si>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</si>
  <si>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</si>
  <si>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</si>
  <si>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</si>
  <si>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</si>
  <si>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</si>
  <si>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</si>
  <si>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</si>
  <si>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</si>
  <si>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</si>
  <si>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</si>
  <si>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</si>
  <si>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</si>
  <si>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</si>
  <si>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</si>
  <si>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</si>
  <si>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</si>
  <si>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</si>
  <si>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</si>
  <si>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</si>
  <si>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</si>
  <si>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</si>
  <si>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</si>
  <si>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</si>
  <si>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</si>
  <si>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</si>
  <si>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</si>
  <si>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</si>
  <si>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</si>
  <si>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</si>
  <si>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</si>
  <si>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</si>
  <si>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</si>
  <si>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</si>
  <si>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</si>
  <si>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</si>
  <si>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</si>
  <si>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</si>
  <si>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</si>
  <si>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</si>
  <si>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</si>
  <si>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</si>
  <si>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</si>
  <si>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</si>
  <si>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</si>
  <si>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</si>
  <si>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</si>
  <si>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</si>
  <si>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</si>
  <si>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</si>
  <si>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</si>
  <si>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</si>
  <si>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</si>
  <si>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</si>
  <si>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</si>
  <si>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</si>
  <si>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</si>
  <si>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</si>
  <si>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</si>
  <si>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</si>
  <si>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</si>
  <si>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</si>
  <si>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</si>
  <si>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</si>
  <si>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</si>
  <si>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</si>
  <si>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</si>
  <si>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</si>
  <si>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</si>
  <si>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</si>
  <si>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</si>
  <si>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</si>
  <si>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</si>
  <si>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</si>
  <si>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</si>
  <si>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</si>
  <si>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</si>
  <si>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</si>
  <si>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</si>
  <si>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</si>
  <si>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</si>
  <si>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</si>
  <si>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</si>
  <si>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</si>
  <si>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</si>
  <si>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</si>
  <si>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</si>
  <si>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</si>
  <si>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</si>
  <si>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</si>
  <si>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</si>
  <si>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</si>
  <si>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</si>
  <si>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</si>
  <si>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</si>
  <si>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</si>
  <si>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</si>
  <si>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</si>
  <si>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</si>
  <si>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</si>
  <si>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</si>
  <si>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</si>
  <si>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</si>
  <si>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</si>
  <si>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</si>
  <si>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</si>
  <si>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</si>
  <si>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</si>
  <si>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</si>
  <si>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</si>
  <si>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</si>
  <si>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</si>
  <si>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</si>
  <si>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</si>
  <si>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</si>
  <si>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</si>
  <si>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</si>
  <si>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</si>
  <si>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</si>
  <si>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</si>
  <si>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</si>
  <si>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</si>
  <si>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</si>
  <si>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</si>
  <si>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</si>
  <si>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</si>
  <si>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</si>
  <si>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</si>
  <si>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</si>
  <si>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</si>
  <si>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</si>
  <si>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</si>
  <si>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</si>
  <si>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</si>
  <si>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</si>
  <si>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</si>
  <si>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</si>
  <si>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</si>
  <si>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</si>
  <si>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</si>
  <si>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</si>
  <si>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</si>
  <si>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</si>
  <si>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</si>
  <si>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</si>
  <si>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</si>
  <si>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</si>
  <si>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</si>
  <si>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</si>
  <si>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</si>
  <si>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</si>
  <si>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</si>
  <si>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</si>
  <si>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</si>
  <si>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</si>
  <si>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</si>
  <si>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</si>
  <si>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</si>
  <si>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</si>
  <si>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</si>
  <si>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</si>
  <si>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</si>
  <si>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</si>
  <si>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</si>
  <si>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</si>
  <si>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</si>
  <si>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</si>
  <si>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</si>
  <si>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</si>
  <si>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</si>
  <si>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</si>
  <si>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</si>
  <si>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</si>
  <si>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</si>
  <si>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</si>
  <si>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</si>
  <si>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</si>
  <si>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</si>
  <si>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</si>
  <si>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</si>
  <si>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</si>
  <si>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</si>
  <si>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</si>
  <si>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</si>
  <si>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</si>
  <si>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</si>
  <si>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</si>
  <si>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</si>
  <si>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</si>
  <si>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</si>
  <si>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</si>
  <si>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</si>
  <si>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</si>
  <si>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</si>
  <si>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</si>
  <si>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</si>
  <si>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</si>
  <si>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</si>
  <si>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</si>
  <si>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</si>
  <si>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</si>
  <si>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</si>
  <si>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</si>
  <si>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</si>
  <si>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</si>
  <si>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</si>
  <si>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</si>
  <si>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</si>
  <si>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</si>
  <si>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</si>
  <si>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</si>
  <si>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</si>
  <si>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</si>
  <si>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</si>
  <si>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</si>
  <si>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</si>
  <si>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</si>
  <si>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</si>
  <si>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</si>
  <si>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</si>
  <si>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</si>
  <si>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</si>
  <si>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</si>
  <si>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</si>
  <si>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</si>
  <si>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</si>
  <si>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</si>
  <si>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</si>
  <si>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</si>
  <si>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</si>
  <si>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</si>
  <si>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</si>
  <si>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</si>
  <si>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</si>
  <si>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</si>
  <si>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</si>
  <si>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</si>
  <si>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</si>
  <si>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</si>
  <si>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</si>
  <si>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</si>
  <si>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</si>
  <si>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</si>
  <si>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</si>
  <si>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</si>
  <si>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</si>
  <si>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</si>
  <si>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</si>
  <si>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</si>
  <si>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</si>
  <si>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</si>
  <si>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</si>
  <si>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</si>
  <si>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</si>
  <si>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</si>
  <si>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</si>
  <si>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</si>
  <si>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</si>
  <si>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</si>
  <si>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</si>
  <si>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</si>
  <si>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</si>
  <si>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</si>
  <si>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</si>
  <si>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</si>
  <si>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</si>
  <si>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</si>
  <si>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</si>
  <si>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</si>
  <si>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</si>
  <si>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</si>
  <si>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</si>
  <si>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</si>
  <si>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</si>
  <si>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</si>
  <si>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</si>
  <si>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</si>
  <si>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</si>
  <si>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</si>
  <si>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</si>
  <si>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</si>
  <si>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</si>
  <si>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</si>
  <si>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</si>
  <si>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</si>
  <si>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</si>
  <si>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</si>
  <si>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</si>
  <si>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</si>
  <si>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</si>
  <si>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</si>
  <si>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</si>
  <si>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</si>
  <si>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</si>
  <si>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</si>
  <si>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</si>
  <si>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</si>
  <si>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</si>
  <si>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</si>
  <si>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</si>
  <si>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</si>
  <si>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</si>
  <si>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</si>
  <si>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</si>
  <si>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</si>
  <si>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</si>
  <si>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</si>
  <si>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</si>
  <si>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</si>
  <si>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</si>
  <si>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</si>
  <si>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</si>
  <si>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</si>
  <si>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</si>
  <si>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</si>
  <si>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</si>
  <si>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</si>
  <si>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</si>
  <si>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</si>
  <si>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</si>
  <si>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</si>
  <si>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</si>
  <si>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</si>
  <si>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</si>
  <si>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</si>
  <si>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</si>
  <si>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</si>
  <si>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</si>
  <si>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</si>
  <si>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</si>
  <si>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</si>
  <si>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</si>
  <si>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</si>
  <si>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</si>
  <si>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</si>
  <si>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</si>
  <si>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</si>
  <si>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</si>
  <si>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</si>
  <si>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</si>
  <si>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</si>
  <si>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</si>
  <si>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</si>
  <si>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</si>
  <si>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</si>
  <si>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</si>
  <si>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</si>
  <si>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</si>
  <si>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</si>
  <si>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</si>
  <si>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</si>
  <si>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</si>
  <si>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</si>
  <si>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</si>
  <si>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</si>
  <si>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</si>
  <si>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</si>
  <si>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</si>
  <si>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</si>
  <si>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</si>
  <si>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</si>
  <si>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</si>
  <si>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</si>
  <si>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</si>
  <si>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</si>
  <si>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</si>
  <si>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</si>
  <si>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</si>
  <si>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</si>
  <si>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</si>
  <si>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</si>
  <si>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</si>
  <si>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</si>
  <si>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</si>
  <si>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</si>
  <si>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</si>
  <si>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</si>
  <si>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</si>
  <si>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</si>
  <si>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</si>
  <si>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</si>
  <si>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</si>
  <si>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</si>
  <si>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</si>
  <si>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</si>
  <si>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</si>
  <si>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</si>
  <si>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</si>
  <si>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</si>
  <si>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</si>
  <si>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</si>
  <si>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</si>
  <si>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</si>
  <si>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</si>
  <si>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</si>
  <si>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</si>
  <si>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</si>
  <si>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</si>
  <si>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</si>
  <si>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</si>
  <si>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</si>
  <si>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</si>
  <si>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</si>
  <si>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</si>
  <si>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</si>
  <si>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</si>
  <si>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</si>
  <si>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</si>
  <si>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</si>
  <si>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</si>
  <si>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</si>
  <si>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</si>
  <si>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</si>
  <si>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</si>
  <si>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</si>
  <si>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</si>
  <si>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</si>
  <si>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</si>
  <si>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</si>
  <si>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</si>
  <si>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</si>
  <si>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</si>
  <si>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</si>
  <si>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</si>
  <si>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</si>
  <si>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</si>
  <si>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</si>
  <si>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</si>
  <si>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</si>
  <si>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</si>
  <si>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</si>
  <si>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</si>
  <si>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</si>
  <si>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</si>
  <si>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</si>
  <si>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</si>
  <si>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</si>
  <si>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</si>
  <si>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</si>
  <si>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</si>
  <si>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</si>
  <si>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</si>
  <si>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</si>
  <si>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</si>
  <si>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</si>
  <si>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</si>
  <si>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</si>
  <si>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</si>
  <si>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</si>
  <si>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</si>
  <si>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</si>
  <si>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</si>
  <si>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</si>
  <si>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</si>
  <si>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</si>
  <si>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</si>
  <si>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</si>
  <si>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</si>
  <si>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</si>
  <si>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</si>
  <si>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</si>
  <si>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</si>
  <si>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</si>
  <si>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</si>
  <si>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</si>
  <si>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</si>
  <si>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</si>
  <si>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</si>
  <si>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</si>
  <si>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</si>
  <si>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</si>
  <si>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</si>
  <si>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</si>
  <si>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</si>
  <si>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</si>
  <si>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</si>
  <si>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</si>
  <si>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</si>
  <si>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</si>
  <si>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</si>
  <si>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</si>
  <si>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</si>
  <si>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</si>
  <si>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</si>
  <si>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</si>
  <si>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</si>
  <si>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</si>
  <si>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</si>
  <si>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</si>
  <si>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</si>
  <si>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</si>
  <si>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</si>
  <si>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</si>
  <si>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</si>
  <si>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</si>
  <si>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</si>
  <si>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</si>
  <si>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</si>
  <si>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</si>
  <si>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</si>
  <si>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</si>
  <si>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</si>
  <si>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</si>
  <si>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</si>
  <si>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</si>
  <si>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</si>
  <si>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</si>
  <si>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</si>
  <si>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</si>
  <si>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</si>
  <si>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</si>
  <si>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</si>
  <si>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</si>
  <si>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</si>
  <si>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</si>
  <si>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</si>
  <si>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</si>
  <si>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</si>
  <si>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</si>
  <si>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</si>
  <si>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</si>
  <si>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</si>
  <si>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</si>
  <si>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</si>
  <si>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</si>
  <si>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</si>
  <si>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</si>
  <si>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</si>
  <si>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</si>
  <si>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</si>
  <si>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</si>
  <si>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</si>
  <si>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</si>
  <si>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</si>
  <si>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</si>
  <si>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</si>
  <si>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</si>
  <si>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</si>
  <si>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</si>
  <si>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</si>
  <si>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</si>
  <si>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</si>
  <si>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</si>
  <si>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</si>
  <si>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</si>
  <si>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</si>
  <si>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</si>
  <si>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</si>
  <si>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</si>
  <si>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</si>
  <si>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</si>
  <si>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</si>
  <si>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</si>
  <si>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</si>
  <si>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</si>
  <si>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</si>
  <si>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</si>
  <si>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</si>
  <si>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</si>
  <si>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</si>
  <si>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</si>
  <si>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</si>
  <si>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</si>
  <si>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</si>
  <si>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</si>
  <si>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</si>
  <si>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</si>
  <si>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</si>
  <si>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</si>
  <si>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</si>
  <si>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</si>
  <si>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</si>
  <si>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</si>
  <si>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</si>
  <si>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</si>
  <si>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</si>
  <si>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</si>
  <si>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</si>
  <si>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</si>
  <si>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</si>
  <si>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</si>
  <si>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</si>
  <si>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</si>
  <si>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</si>
  <si>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</si>
  <si>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</si>
  <si>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</si>
  <si>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</si>
  <si>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</si>
  <si>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</si>
  <si>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</si>
  <si>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</si>
  <si>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</si>
  <si>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</si>
  <si>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</si>
  <si>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</si>
  <si>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</si>
  <si>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</si>
  <si>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</si>
  <si>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</si>
  <si>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</si>
  <si>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</si>
  <si>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</si>
  <si>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</si>
  <si>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</si>
  <si>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</si>
  <si>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</si>
  <si>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</si>
  <si>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</si>
  <si>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</si>
  <si>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</si>
  <si>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</si>
  <si>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</si>
  <si>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</si>
  <si>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</si>
  <si>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</si>
  <si>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</si>
  <si>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</si>
  <si>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</si>
  <si>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</si>
  <si>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</si>
  <si>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</si>
  <si>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</si>
  <si>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</si>
  <si>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</si>
  <si>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</si>
  <si>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</si>
  <si>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</si>
  <si>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</si>
  <si>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</si>
  <si>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</si>
  <si>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</si>
  <si>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</si>
  <si>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</si>
  <si>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</si>
  <si>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</si>
  <si>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</si>
  <si>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</si>
  <si>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</si>
  <si>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</si>
  <si>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</si>
  <si>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</si>
  <si>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</si>
  <si>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餐饮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</si>
  <si>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</si>
  <si>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</si>
  <si>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</si>
  <si>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</si>
  <si>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</si>
  <si>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</si>
  <si>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</si>
  <si>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</si>
  <si>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</si>
  <si>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</si>
  <si>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</si>
  <si>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</si>
  <si>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</si>
  <si>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</si>
  <si>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9.19、20、21、22；1间4晚</t>
    <phoneticPr fontId="8" type="noConversion"/>
  </si>
  <si>
    <t>350</t>
    <phoneticPr fontId="8" type="noConversion"/>
  </si>
  <si>
    <t>2025.9.19-23</t>
    <phoneticPr fontId="8" type="noConversion"/>
  </si>
  <si>
    <t>1.06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</si>
  <si>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</si>
  <si>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</si>
  <si>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</si>
  <si>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接待服务人员（酒店签到、餐饮服务、车辆安排等）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</si>
  <si>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</si>
  <si>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</si>
  <si>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</si>
  <si>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</si>
  <si>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嘉宾高铁</t>
    <phoneticPr fontId="8" type="noConversion"/>
  </si>
  <si>
    <t>往返二等座</t>
    <phoneticPr fontId="8" type="noConversion"/>
  </si>
  <si>
    <t>1400</t>
    <phoneticPr fontId="8" type="noConversion"/>
  </si>
  <si>
    <t>预留费用，实际出票为准</t>
    <phoneticPr fontId="8" type="noConversion"/>
  </si>
  <si>
    <t>张瑾秋</t>
    <phoneticPr fontId="8" type="noConversion"/>
  </si>
  <si>
    <t>zhangjinqiu@cct.cn</t>
    <phoneticPr fontId="8" type="noConversion"/>
  </si>
  <si>
    <t>预留费用，实际出票为准；</t>
    <phoneticPr fontId="8" type="noConversion"/>
  </si>
  <si>
    <t>餐饮代金券</t>
    <phoneticPr fontId="8" type="noConversion"/>
  </si>
  <si>
    <t>茶歇</t>
    <phoneticPr fontId="8" type="noConversion"/>
  </si>
  <si>
    <t>2次闭门会茶歇，9.20-20人；9.21-40人</t>
    <phoneticPr fontId="8" type="noConversion"/>
  </si>
  <si>
    <t>人</t>
    <phoneticPr fontId="8" type="noConversion"/>
  </si>
  <si>
    <t>onsite人员</t>
    <phoneticPr fontId="8" type="noConversion"/>
  </si>
  <si>
    <t>高铁二等座，往返2次</t>
    <phoneticPr fontId="8" type="noConversion"/>
  </si>
  <si>
    <t>苏州-杭州往返</t>
    <phoneticPr fontId="8" type="noConversion"/>
  </si>
  <si>
    <t>2025抖音创作者大会
医疗健康</t>
    <phoneticPr fontId="8" type="noConversion"/>
  </si>
  <si>
    <t>60人</t>
    <phoneticPr fontId="8" type="noConversion"/>
  </si>
  <si>
    <t>刘思喆</t>
    <phoneticPr fontId="8" type="noConversion"/>
  </si>
  <si>
    <t>450</t>
    <phoneticPr fontId="8" type="noConversion"/>
  </si>
  <si>
    <t>2025抖音创作者大会 医疗健康会务接待报价单</t>
    <phoneticPr fontId="8" type="noConversion"/>
  </si>
  <si>
    <t>开元名庭度假酒店</t>
    <phoneticPr fontId="8" type="noConversion"/>
  </si>
  <si>
    <t>开元名庭度假酒店，40间，房型随机</t>
    <phoneticPr fontId="8" type="noConversion"/>
  </si>
  <si>
    <t>钱江君廷酒店，20间，房型随机</t>
    <phoneticPr fontId="8" type="noConversion"/>
  </si>
  <si>
    <t>钱江君廷酒店</t>
    <phoneticPr fontId="8" type="noConversion"/>
  </si>
  <si>
    <t>小交通</t>
    <phoneticPr fontId="8" type="noConversion"/>
  </si>
  <si>
    <t>9.20-9.22，3天，备车</t>
    <phoneticPr fontId="8" type="noConversion"/>
  </si>
  <si>
    <t>尺寸：A3；材质：铜版纸塑封；工期：3天；数量：6个</t>
    <phoneticPr fontId="8" type="noConversion"/>
  </si>
  <si>
    <t>尺寸：9cm*5cm（待定）；材质：200g铜版纸；工期：2天；数量：100</t>
    <phoneticPr fontId="8" type="noConversion"/>
  </si>
  <si>
    <t>2家酒店工作人员</t>
    <phoneticPr fontId="8" type="noConversion"/>
  </si>
  <si>
    <t>桌</t>
    <phoneticPr fontId="8" type="noConversion"/>
  </si>
  <si>
    <t>9.21午餐60人，宴请桌餐</t>
    <phoneticPr fontId="8" type="noConversion"/>
  </si>
  <si>
    <t>9.20晚餐40人，宴请桌餐</t>
    <phoneticPr fontId="8" type="noConversion"/>
  </si>
  <si>
    <r>
      <t>9.20：午餐30人/晚餐20人
9.21：</t>
    </r>
    <r>
      <rPr>
        <sz val="10"/>
        <color rgb="FFFF0000"/>
        <rFont val="微软雅黑"/>
        <family val="2"/>
        <charset val="134"/>
      </rPr>
      <t>午餐30人</t>
    </r>
    <r>
      <rPr>
        <sz val="10"/>
        <color theme="1"/>
        <rFont val="微软雅黑"/>
        <family val="2"/>
        <charset val="134"/>
      </rPr>
      <t>/晚餐60人
9.22：午餐60人/晚餐60人
餐饮代金券100元/餐</t>
    </r>
    <phoneticPr fontId="8" type="noConversion"/>
  </si>
  <si>
    <t>人次</t>
    <phoneticPr fontId="8" type="noConversion"/>
  </si>
  <si>
    <t>宴请</t>
    <phoneticPr fontId="8" type="noConversion"/>
  </si>
  <si>
    <t>桌餐</t>
    <phoneticPr fontId="8" type="noConversion"/>
  </si>
  <si>
    <t>接机牌</t>
    <phoneticPr fontId="8" type="noConversion"/>
  </si>
  <si>
    <t>接机/接站工作人员</t>
    <phoneticPr fontId="8" type="noConversion"/>
  </si>
  <si>
    <t>印刷店制作</t>
    <phoneticPr fontId="8" type="noConversion"/>
  </si>
  <si>
    <t>接送机</t>
    <phoneticPr fontId="8" type="noConversion"/>
  </si>
  <si>
    <t>景区-开元名庭酒店</t>
    <phoneticPr fontId="8" type="noConversion"/>
  </si>
  <si>
    <t>3天晚单趟</t>
    <phoneticPr fontId="8" type="noConversion"/>
  </si>
  <si>
    <t>景区-钱江君廷酒店</t>
    <phoneticPr fontId="8" type="noConversion"/>
  </si>
  <si>
    <t>趟</t>
    <phoneticPr fontId="8" type="noConversion"/>
  </si>
  <si>
    <t>接机工作人员，接待服务人员（酒店签到、餐饮服务、车辆安排等）</t>
    <phoneticPr fontId="8" type="noConversion"/>
  </si>
  <si>
    <t>9.19-23；2人5天，2人1天</t>
    <phoneticPr fontId="8" type="noConversion"/>
  </si>
  <si>
    <t>景区-钱江君廷酒店单趟，接待用车-车辆-37座</t>
    <phoneticPr fontId="8" type="noConversion"/>
  </si>
  <si>
    <t xml:space="preserve"> liusizhe.12@bytedance.com</t>
    <phoneticPr fontId="8" type="noConversion"/>
  </si>
  <si>
    <t>xiangying.123@bytedance.com</t>
    <phoneticPr fontId="8" type="noConversion"/>
  </si>
  <si>
    <t>项迎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</si>
</sst>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sz val="10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0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xiangying.123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0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0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0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1" t="s">
        <v>140</v>
      </c>
      <c r="B6" s="153" t="s">
        <v>141</v>
      </c>
      <c r="C6" s="154"/>
    </row>
    <row r="7" spans="1:21" s="149" customFormat="1">
      <c r="A7" s="221"/>
      <c r="B7" s="153" t="s">
        <v>142</v>
      </c>
      <c r="C7" s="154"/>
    </row>
    <row r="8" spans="1:21" s="149" customFormat="1">
      <c r="A8" s="221"/>
      <c r="B8" s="154" t="s">
        <v>143</v>
      </c>
      <c r="C8" s="154"/>
    </row>
    <row r="9" spans="1:21" s="149" customFormat="1" ht="19" customHeight="1">
      <c r="A9" s="221"/>
      <c r="B9" s="153" t="s">
        <v>144</v>
      </c>
      <c r="C9" s="154"/>
    </row>
    <row r="10" spans="1:21" s="149" customFormat="1" ht="19" customHeight="1">
      <c r="A10" s="221"/>
      <c r="B10" s="153" t="s">
        <v>145</v>
      </c>
      <c r="C10" s="154"/>
    </row>
    <row r="11" spans="1:21" s="149" customFormat="1" ht="19" customHeight="1">
      <c r="A11" s="221" t="s">
        <v>146</v>
      </c>
      <c r="B11" s="153" t="s">
        <v>147</v>
      </c>
      <c r="C11" s="153"/>
    </row>
    <row r="12" spans="1:21" s="149" customFormat="1">
      <c r="A12" s="221"/>
      <c r="B12" s="153" t="s">
        <v>148</v>
      </c>
      <c r="C12" s="153"/>
    </row>
    <row r="13" spans="1:21" s="149" customFormat="1">
      <c r="A13" s="221"/>
      <c r="B13" s="153" t="s">
        <v>149</v>
      </c>
      <c r="C13" s="153"/>
    </row>
    <row r="14" spans="1:21" s="149" customFormat="1">
      <c r="A14" s="221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2" t="s">
        <v>89</v>
      </c>
      <c r="Q9" s="223"/>
      <c r="R9" s="224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2" t="s">
        <v>90</v>
      </c>
      <c r="Q18" s="223"/>
      <c r="R18" s="224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2" t="s">
        <v>91</v>
      </c>
      <c r="Q27" s="223"/>
      <c r="R27" s="224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2" t="s">
        <v>94</v>
      </c>
      <c r="Q36" s="223"/>
      <c r="R36" s="224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2" t="s">
        <v>95</v>
      </c>
      <c r="Q45" s="223"/>
      <c r="R45" s="224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2" t="s">
        <v>97</v>
      </c>
      <c r="Q51" s="223"/>
      <c r="R51" s="224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2" t="s">
        <v>96</v>
      </c>
      <c r="Q60" s="223"/>
      <c r="R60" s="224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2" t="s">
        <v>134</v>
      </c>
      <c r="Q69" s="223"/>
      <c r="R69" s="224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2" t="s">
        <v>120</v>
      </c>
      <c r="Q73" s="223"/>
      <c r="R73" s="224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6" t="s">
        <v>54</v>
      </c>
      <c r="Q75" s="226"/>
      <c r="R75" s="227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2" t="s">
        <v>121</v>
      </c>
      <c r="Q79" s="223"/>
      <c r="R79" s="224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6" t="s">
        <v>133</v>
      </c>
      <c r="Q82" s="226"/>
      <c r="R82" s="227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5"/>
      <c r="L84" s="225"/>
      <c r="M84" s="225"/>
      <c r="N84" s="225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5"/>
      <c r="L85" s="225"/>
      <c r="M85" s="225"/>
      <c r="N85" s="225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D4" sqref="D4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4" t="s">
        <v>3009</v>
      </c>
      <c r="B1" s="235"/>
      <c r="C1" s="235"/>
      <c r="D1" s="235"/>
      <c r="E1" s="235"/>
      <c r="F1" s="235"/>
      <c r="G1" s="235"/>
      <c r="H1" s="236"/>
    </row>
    <row r="2" spans="1:8" ht="30">
      <c r="A2" s="4" t="s">
        <v>0</v>
      </c>
      <c r="B2" s="10" t="s">
        <v>3005</v>
      </c>
      <c r="C2" s="11" t="s">
        <v>1</v>
      </c>
      <c r="D2" s="237" t="s">
        <v>2953</v>
      </c>
      <c r="E2" s="238"/>
      <c r="F2" s="238"/>
      <c r="G2" s="239" t="s">
        <v>37</v>
      </c>
      <c r="H2" s="240"/>
    </row>
    <row r="3" spans="1:8">
      <c r="A3" s="3" t="s">
        <v>2</v>
      </c>
      <c r="B3" s="13" t="s">
        <v>2981</v>
      </c>
      <c r="C3" s="14" t="s">
        <v>3</v>
      </c>
      <c r="D3" s="237" t="s">
        <v>3006</v>
      </c>
      <c r="E3" s="238"/>
      <c r="F3" s="238"/>
      <c r="G3" s="241"/>
      <c r="H3" s="242"/>
    </row>
    <row r="4" spans="1:8" ht="16">
      <c r="A4" s="3" t="s">
        <v>23</v>
      </c>
      <c r="B4" s="10" t="s">
        <v>3039</v>
      </c>
      <c r="C4" s="1" t="s">
        <v>4</v>
      </c>
      <c r="D4" s="12"/>
      <c r="E4" s="14" t="s">
        <v>5</v>
      </c>
      <c r="F4" s="214" t="s">
        <v>3038</v>
      </c>
      <c r="G4" s="36"/>
      <c r="H4" s="37" t="s">
        <v>17</v>
      </c>
    </row>
    <row r="5" spans="1:8" ht="16">
      <c r="A5" s="3" t="s">
        <v>24</v>
      </c>
      <c r="B5" s="10" t="s">
        <v>3007</v>
      </c>
      <c r="C5" s="1" t="s">
        <v>4</v>
      </c>
      <c r="D5" s="12"/>
      <c r="E5" s="14" t="s">
        <v>5</v>
      </c>
      <c r="F5" s="214" t="s">
        <v>3037</v>
      </c>
      <c r="G5" s="38"/>
      <c r="H5" s="37" t="s">
        <v>18</v>
      </c>
    </row>
    <row r="6" spans="1:8">
      <c r="A6" s="3" t="s">
        <v>6</v>
      </c>
      <c r="B6" s="243" t="s">
        <v>2952</v>
      </c>
      <c r="C6" s="244"/>
      <c r="D6" s="244"/>
      <c r="E6" s="244"/>
      <c r="F6" s="244"/>
      <c r="G6" s="39"/>
      <c r="H6" s="37" t="s">
        <v>19</v>
      </c>
    </row>
    <row r="7" spans="1:8" ht="16">
      <c r="A7" s="3" t="s">
        <v>7</v>
      </c>
      <c r="B7" s="10" t="s">
        <v>2995</v>
      </c>
      <c r="C7" s="1" t="s">
        <v>4</v>
      </c>
      <c r="D7" s="12">
        <v>15811515220</v>
      </c>
      <c r="E7" s="14" t="s">
        <v>5</v>
      </c>
      <c r="F7" s="200" t="s">
        <v>2996</v>
      </c>
      <c r="G7" s="40"/>
      <c r="H7" s="37" t="s">
        <v>20</v>
      </c>
    </row>
    <row r="8" spans="1:8" ht="18">
      <c r="A8" s="233" t="s">
        <v>38</v>
      </c>
      <c r="B8" s="233"/>
      <c r="C8" s="233"/>
      <c r="D8" s="233"/>
      <c r="E8" s="233"/>
      <c r="F8" s="233"/>
      <c r="G8" s="233"/>
      <c r="H8" s="233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'2.报价结算清单'!P6</f>
        <v>258.02</v>
      </c>
      <c r="D10" s="6">
        <f>IFERROR(_xlfn.IFNA(C10/$C$21,""),"")</f>
        <v>7.0829284248270048E-4</v>
      </c>
      <c r="E10" s="8">
        <f>'2.报价结算清单'!Q6</f>
        <v>0</v>
      </c>
      <c r="F10" s="6" t="str">
        <f t="shared" ref="F10:F18" si="0">IFERROR(_xlfn.IFNA(E10/$E$21,""),"")</f>
        <v/>
      </c>
      <c r="G10" s="8">
        <f>IFERROR(E10-C10,"")</f>
        <v>-258.02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'2.报价结算清单'!P10</f>
        <v>6360</v>
      </c>
      <c r="D12" s="6">
        <f>IFERROR(_xlfn.IFNA(C12/$C$21,""),"")</f>
        <v>1.7458888761297479E-2</v>
      </c>
      <c r="E12" s="8">
        <f>'2.报价结算清单'!Q10</f>
        <v>0</v>
      </c>
      <c r="F12" s="6" t="str">
        <f t="shared" si="0"/>
        <v/>
      </c>
      <c r="G12" s="8">
        <f t="shared" si="2"/>
        <v>-6360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'2.报价结算清单'!P30</f>
        <v>336479.51999999996</v>
      </c>
      <c r="D14" s="6">
        <f t="shared" si="1"/>
        <v>0.92367272171930337</v>
      </c>
      <c r="E14" s="8">
        <f>'2.报价结算清单'!Q30</f>
        <v>0</v>
      </c>
      <c r="F14" s="6" t="str">
        <f t="shared" si="0"/>
        <v/>
      </c>
      <c r="G14" s="8">
        <f t="shared" si="2"/>
        <v>-336479.51999999996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0" t="s">
        <v>53</v>
      </c>
      <c r="B19" s="231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2" t="s">
        <v>87</v>
      </c>
      <c r="B20" s="231"/>
      <c r="C20" s="9" t="str">
        <f>'2.报价结算清单'!J39</f>
        <v>0</v>
      </c>
      <c r="D20" s="6">
        <f>IFERROR(_xlfn.IFNA(C20/$C$22,""),"")</f>
        <v>0</v>
      </c>
      <c r="E20" s="9" t="str">
        <f>'2.报价结算清单'!K39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0" t="s">
        <v>13</v>
      </c>
      <c r="B21" s="230"/>
      <c r="C21" s="9">
        <f>'2.报价结算清单'!P41</f>
        <v>364284.35319999995</v>
      </c>
      <c r="D21" s="6">
        <f>IFERROR(_xlfn.IFNA(C21/$C$22,""),"")</f>
        <v>1</v>
      </c>
      <c r="E21" s="9">
        <f>'2.报价结算清单'!Q41</f>
        <v>0</v>
      </c>
      <c r="F21" s="6" t="str">
        <f>IFERROR(_xlfn.IFNA(E21/$E$22,""),"")</f>
        <v/>
      </c>
      <c r="G21" s="8">
        <f>IFERROR(E21-C21,"")</f>
        <v>-364284.35319999995</v>
      </c>
      <c r="H21" s="5"/>
    </row>
    <row r="22" spans="1:8">
      <c r="A22" s="228" t="s">
        <v>42</v>
      </c>
      <c r="B22" s="228"/>
      <c r="C22" s="229">
        <f>'2.报价结算清单'!P41</f>
        <v>364284.35319999995</v>
      </c>
      <c r="D22" s="229"/>
      <c r="E22" s="229">
        <f>'2.报价结算清单'!Q41</f>
        <v>0</v>
      </c>
      <c r="F22" s="229"/>
      <c r="G22" s="7">
        <f>IFERROR(E22-C22,"")</f>
        <v>-364284.35319999995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4" r:id="rId2" xr:uid="{24D2CB1E-34AD-A347-A48A-94E910D5C315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45"/>
  <sheetViews>
    <sheetView tabSelected="1" topLeftCell="G8" zoomScaleNormal="55" workbookViewId="0">
      <selection activeCell="H20" sqref="H20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5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79" customFormat="1" ht="22" customHeight="1">
      <c r="A2" s="173" t="s">
        <v>88</v>
      </c>
      <c r="B2" s="128" t="s">
        <v>2960</v>
      </c>
      <c r="C2" s="128" t="s">
        <v>3026</v>
      </c>
      <c r="D2" s="128" t="s">
        <v>3026</v>
      </c>
      <c r="E2" s="128" t="s">
        <v>132</v>
      </c>
      <c r="F2" s="174" t="s">
        <v>2453</v>
      </c>
      <c r="G2" s="128" t="str">
        <f>_xlfn.IFNA(IF(VLOOKUP($F2,'3.框架内物料'!$A:$E,2,0)=0,"请勿填写",VLOOKUP($F2,'3.框架内物料'!$A:$E,2,0)),"")</f>
        <v>M947580777174933506</v>
      </c>
      <c r="H2" s="203" t="str">
        <f>_xlfn.IFNA(VLOOKUP($F2,'3.框架内物料'!$A:$E,4,0),"")</f>
        <v>搭建制作-制作-装饰材料-KT板-亚展A类板</v>
      </c>
      <c r="I2" s="128" t="str">
        <f>_xlfn.IFNA(VLOOKUP($F2,'3.框架内物料'!$A:$E,5,0),"")</f>
        <v>平米</v>
      </c>
      <c r="J2" s="189">
        <f>_xlfn.IFNA(VLOOKUP($F2,'3.框架内物料'!$A:$F,6,0),"")</f>
        <v>50.57</v>
      </c>
      <c r="K2" s="189">
        <f>_xlfn.IFNA(VLOOKUP($F2,'3.框架内物料'!$A:$F,6,0),"")</f>
        <v>50.57</v>
      </c>
      <c r="L2" s="67">
        <v>2</v>
      </c>
      <c r="M2" s="67"/>
      <c r="N2" s="67">
        <v>1</v>
      </c>
      <c r="O2" s="67"/>
      <c r="P2" s="175">
        <f>IFERROR(N2*L2*J2,0)</f>
        <v>101.14</v>
      </c>
      <c r="Q2" s="175">
        <f t="shared" ref="Q2" si="0">IFERROR(O2*M2*K2,0)</f>
        <v>0</v>
      </c>
      <c r="R2" s="176">
        <f t="shared" ref="R2" si="1">Q2-P2</f>
        <v>-101.14</v>
      </c>
      <c r="S2" s="177">
        <v>0.06</v>
      </c>
      <c r="T2" s="177">
        <v>0</v>
      </c>
      <c r="U2" s="178" t="s">
        <v>3028</v>
      </c>
      <c r="V2" s="178"/>
    </row>
    <row r="3" spans="1:25" s="179" customFormat="1" ht="22" customHeight="1">
      <c r="A3" s="173" t="s">
        <v>88</v>
      </c>
      <c r="B3" s="128" t="s">
        <v>2960</v>
      </c>
      <c r="C3" s="128" t="s">
        <v>2954</v>
      </c>
      <c r="D3" s="128" t="s">
        <v>2954</v>
      </c>
      <c r="E3" s="201" t="s">
        <v>129</v>
      </c>
      <c r="F3" s="174"/>
      <c r="G3" s="128" t="str">
        <f>_xlfn.IFNA(IF(VLOOKUP($F3,'3.框架内物料'!$A:$E,2,0)=0,"请勿填写",VLOOKUP($F3,'3.框架内物料'!$A:$E,2,0)),"")</f>
        <v/>
      </c>
      <c r="H3" s="203" t="s">
        <v>3016</v>
      </c>
      <c r="I3" s="128" t="s">
        <v>2955</v>
      </c>
      <c r="J3" s="189" t="s">
        <v>2956</v>
      </c>
      <c r="K3" s="189" t="str">
        <f>_xlfn.IFNA(VLOOKUP($F3,'3.框架内物料'!$A:$F,6,0),"")</f>
        <v/>
      </c>
      <c r="L3" s="67">
        <v>6</v>
      </c>
      <c r="M3" s="67"/>
      <c r="N3" s="67">
        <v>1</v>
      </c>
      <c r="O3" s="67"/>
      <c r="P3" s="175">
        <f>IFERROR(N3*L3*J3,0)</f>
        <v>50.88</v>
      </c>
      <c r="Q3" s="175">
        <f t="shared" ref="Q3" si="2">IFERROR(O3*M3*K3,0)</f>
        <v>0</v>
      </c>
      <c r="R3" s="176">
        <f t="shared" ref="R3" si="3">Q3-P3</f>
        <v>-50.88</v>
      </c>
      <c r="S3" s="177">
        <v>0.06</v>
      </c>
      <c r="T3" s="177">
        <v>0</v>
      </c>
      <c r="U3" s="178" t="s">
        <v>3028</v>
      </c>
      <c r="V3" s="178"/>
    </row>
    <row r="4" spans="1:25" s="213" customFormat="1" ht="22" customHeight="1">
      <c r="A4" s="206" t="s">
        <v>88</v>
      </c>
      <c r="B4" s="202" t="s">
        <v>2960</v>
      </c>
      <c r="C4" s="202" t="s">
        <v>2998</v>
      </c>
      <c r="D4" s="202" t="s">
        <v>2998</v>
      </c>
      <c r="E4" s="201" t="s">
        <v>129</v>
      </c>
      <c r="F4" s="207"/>
      <c r="G4" s="202" t="str">
        <f>_xlfn.IFNA(IF(VLOOKUP($F4,'3.框架内物料'!$A:$E,2,0)=0,"请勿填写",VLOOKUP($F4,'3.框架内物料'!$A:$E,2,0)),"")</f>
        <v/>
      </c>
      <c r="H4" s="208" t="s">
        <v>3017</v>
      </c>
      <c r="I4" s="202" t="s">
        <v>2955</v>
      </c>
      <c r="J4" s="209" t="s">
        <v>2982</v>
      </c>
      <c r="K4" s="209" t="str">
        <f>_xlfn.IFNA(VLOOKUP($F4,'3.框架内物料'!$A:$F,6,0),"")</f>
        <v/>
      </c>
      <c r="L4" s="210">
        <v>100</v>
      </c>
      <c r="M4" s="210"/>
      <c r="N4" s="210">
        <v>1</v>
      </c>
      <c r="O4" s="210"/>
      <c r="P4" s="211">
        <f>IFERROR(N4*L4*J4,0)</f>
        <v>106</v>
      </c>
      <c r="Q4" s="211">
        <f t="shared" ref="Q4" si="4">IFERROR(O4*M4*K4,0)</f>
        <v>0</v>
      </c>
      <c r="R4" s="212">
        <f t="shared" ref="R4" si="5">Q4-P4</f>
        <v>-106</v>
      </c>
      <c r="S4" s="177">
        <v>0.06</v>
      </c>
      <c r="T4" s="177">
        <v>0</v>
      </c>
      <c r="U4" s="178" t="s">
        <v>3028</v>
      </c>
      <c r="V4" s="206"/>
    </row>
    <row r="5" spans="1:25" s="71" customFormat="1" ht="18">
      <c r="A5" s="57"/>
      <c r="B5" s="61"/>
      <c r="C5" s="61"/>
      <c r="D5" s="61"/>
      <c r="E5" s="61"/>
      <c r="F5" s="58"/>
      <c r="G5" s="58"/>
      <c r="H5" s="58"/>
      <c r="I5" s="58"/>
      <c r="J5" s="190"/>
      <c r="K5" s="190"/>
      <c r="L5" s="58"/>
      <c r="M5" s="58"/>
      <c r="N5" s="58"/>
      <c r="O5" s="58"/>
      <c r="P5" s="247" t="s">
        <v>89</v>
      </c>
      <c r="Q5" s="248"/>
      <c r="R5" s="249"/>
      <c r="S5" s="165"/>
      <c r="T5" s="165"/>
      <c r="U5" s="60"/>
      <c r="V5" s="60"/>
    </row>
    <row r="6" spans="1:25" s="71" customFormat="1" ht="18">
      <c r="A6" s="54"/>
      <c r="B6" s="62"/>
      <c r="C6" s="62"/>
      <c r="D6" s="62"/>
      <c r="E6" s="62"/>
      <c r="F6" s="55"/>
      <c r="G6" s="55"/>
      <c r="H6" s="55"/>
      <c r="I6" s="55"/>
      <c r="J6" s="191"/>
      <c r="K6" s="191"/>
      <c r="L6" s="55"/>
      <c r="M6" s="55"/>
      <c r="N6" s="55"/>
      <c r="O6" s="55"/>
      <c r="P6" s="158">
        <f>SUM(P2:P4)</f>
        <v>258.02</v>
      </c>
      <c r="Q6" s="158">
        <f>SUM(Q3:Q4)</f>
        <v>0</v>
      </c>
      <c r="R6" s="158">
        <f>Q6-P6</f>
        <v>-258.02</v>
      </c>
      <c r="S6" s="166"/>
      <c r="T6" s="171"/>
      <c r="U6" s="55"/>
      <c r="V6" s="56"/>
    </row>
    <row r="7" spans="1:25" s="181" customFormat="1" ht="25" customHeight="1">
      <c r="A7" s="173" t="s">
        <v>84</v>
      </c>
      <c r="B7" s="128" t="s">
        <v>3002</v>
      </c>
      <c r="C7" s="128" t="s">
        <v>3002</v>
      </c>
      <c r="D7" s="128" t="s">
        <v>3027</v>
      </c>
      <c r="E7" s="128" t="s">
        <v>132</v>
      </c>
      <c r="F7" s="174" t="s">
        <v>2911</v>
      </c>
      <c r="G7" s="128" t="str">
        <f>_xlfn.IFNA(IF(VLOOKUP($F7,'3.框架内物料'!$A:$E,2,0)=0,"请勿填写",VLOOKUP($F7,'3.框架内物料'!$A:$E,2,0)),"")</f>
        <v>M939882634395557889</v>
      </c>
      <c r="H7" s="203" t="str">
        <f>_xlfn.IFNA(VLOOKUP($F7,'3.框架内物料'!$A:$E,4,0),"")</f>
        <v>Onsite 人员-服务人员-地接上会服务人员-人员劳务费。不含住宿、交通、补贴等费用，每天不超过8小时</v>
      </c>
      <c r="I7" s="128" t="str">
        <f>_xlfn.IFNA(VLOOKUP($F7,'3.框架内物料'!$A:$E,5,0),"")</f>
        <v>人/天</v>
      </c>
      <c r="J7" s="189">
        <f>_xlfn.IFNA(VLOOKUP($F7,'3.框架内物料'!$A:$F,6,0),"")</f>
        <v>530</v>
      </c>
      <c r="K7" s="189">
        <f>_xlfn.IFNA(VLOOKUP($F7,'3.框架内物料'!$A:$F,6,0),"")</f>
        <v>530</v>
      </c>
      <c r="L7" s="67">
        <v>2</v>
      </c>
      <c r="M7" s="67"/>
      <c r="N7" s="67">
        <v>1</v>
      </c>
      <c r="O7" s="67"/>
      <c r="P7" s="175">
        <f>IFERROR(N7*L7*J7,0)</f>
        <v>1060</v>
      </c>
      <c r="Q7" s="175">
        <f t="shared" ref="Q7" si="6">IFERROR(O7*M7*K7,0)</f>
        <v>0</v>
      </c>
      <c r="R7" s="176">
        <f t="shared" ref="R7" si="7">Q7-P7</f>
        <v>-1060</v>
      </c>
      <c r="S7" s="177">
        <v>0.06</v>
      </c>
      <c r="T7" s="177">
        <v>0</v>
      </c>
      <c r="U7" s="180"/>
      <c r="V7" s="178"/>
    </row>
    <row r="8" spans="1:25" s="181" customFormat="1" ht="25" customHeight="1">
      <c r="A8" s="173" t="s">
        <v>84</v>
      </c>
      <c r="B8" s="128" t="s">
        <v>3002</v>
      </c>
      <c r="C8" s="128" t="s">
        <v>3002</v>
      </c>
      <c r="D8" s="128" t="s">
        <v>3018</v>
      </c>
      <c r="E8" s="128" t="s">
        <v>132</v>
      </c>
      <c r="F8" s="174" t="s">
        <v>2911</v>
      </c>
      <c r="G8" s="128" t="str">
        <f>_xlfn.IFNA(IF(VLOOKUP($F8,'3.框架内物料'!$A:$E,2,0)=0,"请勿填写",VLOOKUP($F8,'3.框架内物料'!$A:$E,2,0)),"")</f>
        <v>M939882634395557889</v>
      </c>
      <c r="H8" s="203" t="str">
        <f>_xlfn.IFNA(VLOOKUP($F8,'3.框架内物料'!$A:$E,4,0),"")</f>
        <v>Onsite 人员-服务人员-地接上会服务人员-人员劳务费。不含住宿、交通、补贴等费用，每天不超过8小时</v>
      </c>
      <c r="I8" s="128" t="str">
        <f>_xlfn.IFNA(VLOOKUP($F8,'3.框架内物料'!$A:$E,5,0),"")</f>
        <v>人/天</v>
      </c>
      <c r="J8" s="189">
        <f>_xlfn.IFNA(VLOOKUP($F8,'3.框架内物料'!$A:$F,6,0),"")</f>
        <v>530</v>
      </c>
      <c r="K8" s="189">
        <f>_xlfn.IFNA(VLOOKUP($F8,'3.框架内物料'!$A:$F,6,0),"")</f>
        <v>530</v>
      </c>
      <c r="L8" s="67">
        <v>2</v>
      </c>
      <c r="M8" s="67"/>
      <c r="N8" s="67">
        <v>5</v>
      </c>
      <c r="O8" s="67"/>
      <c r="P8" s="175">
        <f>IFERROR(N8*L8*J8,0)</f>
        <v>5300</v>
      </c>
      <c r="Q8" s="175">
        <f t="shared" ref="Q8" si="8">IFERROR(O8*M8*K8,0)</f>
        <v>0</v>
      </c>
      <c r="R8" s="176">
        <f t="shared" ref="R8" si="9">Q8-P8</f>
        <v>-5300</v>
      </c>
      <c r="S8" s="177">
        <v>0.06</v>
      </c>
      <c r="T8" s="177">
        <v>0</v>
      </c>
      <c r="U8" s="180"/>
      <c r="V8" s="178"/>
    </row>
    <row r="9" spans="1:25" s="71" customFormat="1" ht="18">
      <c r="A9" s="57"/>
      <c r="B9" s="61"/>
      <c r="C9" s="61"/>
      <c r="D9" s="61"/>
      <c r="E9" s="61"/>
      <c r="F9" s="58"/>
      <c r="G9" s="58"/>
      <c r="H9" s="58"/>
      <c r="I9" s="58"/>
      <c r="J9" s="190"/>
      <c r="K9" s="190"/>
      <c r="L9" s="58"/>
      <c r="M9" s="58"/>
      <c r="N9" s="58"/>
      <c r="O9" s="58"/>
      <c r="P9" s="247" t="s">
        <v>91</v>
      </c>
      <c r="Q9" s="248"/>
      <c r="R9" s="249"/>
      <c r="S9" s="165"/>
      <c r="T9" s="165"/>
      <c r="U9" s="60"/>
      <c r="V9" s="60"/>
    </row>
    <row r="10" spans="1:25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191"/>
      <c r="K10" s="191"/>
      <c r="L10" s="55"/>
      <c r="M10" s="55"/>
      <c r="N10" s="55"/>
      <c r="O10" s="55"/>
      <c r="P10" s="158">
        <f>SUM(P7:P8)</f>
        <v>6360</v>
      </c>
      <c r="Q10" s="158">
        <f>SUM(Q8:Q8)</f>
        <v>0</v>
      </c>
      <c r="R10" s="158">
        <f>Q10-P10</f>
        <v>-6360</v>
      </c>
      <c r="S10" s="166"/>
      <c r="T10" s="171"/>
      <c r="U10" s="55"/>
      <c r="V10" s="56"/>
    </row>
    <row r="11" spans="1:25" s="181" customFormat="1" ht="22" customHeight="1">
      <c r="A11" s="173" t="s">
        <v>93</v>
      </c>
      <c r="B11" s="202" t="s">
        <v>2961</v>
      </c>
      <c r="C11" s="128" t="s">
        <v>2963</v>
      </c>
      <c r="D11" s="128" t="s">
        <v>2957</v>
      </c>
      <c r="E11" s="128" t="s">
        <v>129</v>
      </c>
      <c r="F11" s="174"/>
      <c r="G11" s="128" t="str">
        <f>_xlfn.IFNA(IF(VLOOKUP($F11,'3.框架内物料'!$A:$E,2,0)=0,"请勿填写",VLOOKUP($F11,'3.框架内物料'!$A:$E,2,0)),"")</f>
        <v/>
      </c>
      <c r="H11" s="203" t="s">
        <v>2997</v>
      </c>
      <c r="I11" s="128" t="s">
        <v>2958</v>
      </c>
      <c r="J11" s="189" t="s">
        <v>2959</v>
      </c>
      <c r="K11" s="189" t="str">
        <f>_xlfn.IFNA(VLOOKUP($F11,'3.框架内物料'!$A:$F,6,0),"")</f>
        <v/>
      </c>
      <c r="L11" s="67">
        <v>45</v>
      </c>
      <c r="M11" s="67"/>
      <c r="N11" s="67">
        <v>1</v>
      </c>
      <c r="O11" s="67"/>
      <c r="P11" s="175">
        <f t="shared" ref="P11:P28" si="10">IFERROR(N11*L11*J11,0)</f>
        <v>112500</v>
      </c>
      <c r="Q11" s="175">
        <f t="shared" ref="Q11" si="11">IFERROR(O11*M11*K11,0)</f>
        <v>0</v>
      </c>
      <c r="R11" s="176">
        <f t="shared" ref="R11:R16" si="12">Q11-P11</f>
        <v>-112500</v>
      </c>
      <c r="S11" s="177">
        <v>0.06</v>
      </c>
      <c r="T11" s="177">
        <v>0</v>
      </c>
      <c r="U11" s="180"/>
      <c r="V11" s="178"/>
    </row>
    <row r="12" spans="1:25" s="181" customFormat="1" ht="22" customHeight="1">
      <c r="A12" s="173" t="s">
        <v>93</v>
      </c>
      <c r="B12" s="202" t="s">
        <v>2961</v>
      </c>
      <c r="C12" s="128" t="s">
        <v>2991</v>
      </c>
      <c r="D12" s="128" t="s">
        <v>2992</v>
      </c>
      <c r="E12" s="128" t="s">
        <v>129</v>
      </c>
      <c r="F12" s="174"/>
      <c r="G12" s="128" t="str">
        <f>_xlfn.IFNA(IF(VLOOKUP($F12,'3.框架内物料'!$A:$E,2,0)=0,"请勿填写",VLOOKUP($F12,'3.框架内物料'!$A:$E,2,0)),"")</f>
        <v/>
      </c>
      <c r="H12" s="203" t="s">
        <v>2994</v>
      </c>
      <c r="I12" s="128" t="s">
        <v>2958</v>
      </c>
      <c r="J12" s="189" t="s">
        <v>2993</v>
      </c>
      <c r="K12" s="189" t="str">
        <f>_xlfn.IFNA(VLOOKUP($F12,'3.框架内物料'!$A:$F,6,0),"")</f>
        <v/>
      </c>
      <c r="L12" s="67">
        <v>15</v>
      </c>
      <c r="M12" s="67"/>
      <c r="N12" s="67">
        <v>1</v>
      </c>
      <c r="O12" s="67"/>
      <c r="P12" s="175">
        <f t="shared" ref="P12" si="13">IFERROR(N12*L12*J12,0)</f>
        <v>21000</v>
      </c>
      <c r="Q12" s="175">
        <f t="shared" ref="Q12" si="14">IFERROR(O12*M12*K12,0)</f>
        <v>0</v>
      </c>
      <c r="R12" s="176">
        <f t="shared" ref="R12" si="15">Q12-P12</f>
        <v>-21000</v>
      </c>
      <c r="S12" s="177">
        <v>0.06</v>
      </c>
      <c r="T12" s="177">
        <v>0</v>
      </c>
      <c r="U12" s="180"/>
      <c r="V12" s="178"/>
    </row>
    <row r="13" spans="1:25" s="216" customFormat="1" ht="22" customHeight="1">
      <c r="A13" s="206" t="s">
        <v>93</v>
      </c>
      <c r="B13" s="202" t="s">
        <v>2962</v>
      </c>
      <c r="C13" s="202" t="s">
        <v>3010</v>
      </c>
      <c r="D13" s="202" t="s">
        <v>3010</v>
      </c>
      <c r="E13" s="202" t="s">
        <v>129</v>
      </c>
      <c r="F13" s="207"/>
      <c r="G13" s="202" t="str">
        <f>_xlfn.IFNA(IF(VLOOKUP($F13,'3.框架内物料'!$A:$E,2,0)=0,"请勿填写",VLOOKUP($F13,'3.框架内物料'!$A:$E,2,0)),"")</f>
        <v/>
      </c>
      <c r="H13" s="208" t="s">
        <v>3011</v>
      </c>
      <c r="I13" s="202" t="s">
        <v>2970</v>
      </c>
      <c r="J13" s="209" t="s">
        <v>2980</v>
      </c>
      <c r="K13" s="209" t="str">
        <f>_xlfn.IFNA(VLOOKUP($F13,'3.框架内物料'!$A:$F,6,0),"")</f>
        <v/>
      </c>
      <c r="L13" s="210">
        <v>40</v>
      </c>
      <c r="M13" s="210"/>
      <c r="N13" s="210">
        <v>4</v>
      </c>
      <c r="O13" s="210"/>
      <c r="P13" s="211">
        <f t="shared" si="10"/>
        <v>56000</v>
      </c>
      <c r="Q13" s="211">
        <f t="shared" ref="Q13:Q16" si="16">IFERROR(O13*M13*K13,0)</f>
        <v>0</v>
      </c>
      <c r="R13" s="212">
        <f t="shared" si="12"/>
        <v>-56000</v>
      </c>
      <c r="S13" s="177">
        <v>0.06</v>
      </c>
      <c r="T13" s="177">
        <v>0</v>
      </c>
      <c r="U13" s="215"/>
      <c r="V13" s="206"/>
      <c r="Y13" s="217"/>
    </row>
    <row r="14" spans="1:25" s="216" customFormat="1" ht="22" customHeight="1">
      <c r="A14" s="206" t="s">
        <v>93</v>
      </c>
      <c r="B14" s="202" t="s">
        <v>2962</v>
      </c>
      <c r="C14" s="202" t="s">
        <v>3013</v>
      </c>
      <c r="D14" s="202" t="s">
        <v>3013</v>
      </c>
      <c r="E14" s="202" t="s">
        <v>129</v>
      </c>
      <c r="F14" s="207"/>
      <c r="G14" s="202"/>
      <c r="H14" s="208" t="s">
        <v>3012</v>
      </c>
      <c r="I14" s="202" t="s">
        <v>2970</v>
      </c>
      <c r="J14" s="209" t="s">
        <v>3008</v>
      </c>
      <c r="K14" s="209"/>
      <c r="L14" s="210">
        <v>20</v>
      </c>
      <c r="M14" s="210"/>
      <c r="N14" s="210">
        <v>4</v>
      </c>
      <c r="O14" s="210"/>
      <c r="P14" s="211">
        <f t="shared" ref="P14" si="17">IFERROR(N14*L14*J14,0)</f>
        <v>36000</v>
      </c>
      <c r="Q14" s="211">
        <f t="shared" ref="Q14" si="18">IFERROR(O14*M14*K14,0)</f>
        <v>0</v>
      </c>
      <c r="R14" s="212">
        <f t="shared" ref="R14" si="19">Q14-P14</f>
        <v>-36000</v>
      </c>
      <c r="S14" s="177">
        <v>0.06</v>
      </c>
      <c r="T14" s="177">
        <v>0</v>
      </c>
      <c r="U14" s="215"/>
      <c r="V14" s="206"/>
      <c r="Y14" s="217"/>
    </row>
    <row r="15" spans="1:25" s="216" customFormat="1" ht="71" customHeight="1">
      <c r="A15" s="173" t="s">
        <v>93</v>
      </c>
      <c r="B15" s="178" t="s">
        <v>2964</v>
      </c>
      <c r="C15" s="128" t="s">
        <v>2998</v>
      </c>
      <c r="D15" s="128" t="s">
        <v>2998</v>
      </c>
      <c r="E15" s="202" t="s">
        <v>129</v>
      </c>
      <c r="F15" s="207"/>
      <c r="G15" s="202"/>
      <c r="H15" s="208" t="s">
        <v>3022</v>
      </c>
      <c r="I15" s="202" t="s">
        <v>3023</v>
      </c>
      <c r="J15" s="219">
        <f>100*1.06</f>
        <v>106</v>
      </c>
      <c r="K15" s="209"/>
      <c r="L15" s="210">
        <v>260</v>
      </c>
      <c r="M15" s="210"/>
      <c r="N15" s="210">
        <v>1</v>
      </c>
      <c r="O15" s="210"/>
      <c r="P15" s="211">
        <f t="shared" ref="P15" si="20">IFERROR(N15*L15*J15,0)</f>
        <v>27560</v>
      </c>
      <c r="Q15" s="211">
        <f t="shared" ref="Q15" si="21">IFERROR(O15*M15*K15,0)</f>
        <v>0</v>
      </c>
      <c r="R15" s="212">
        <f t="shared" ref="R15" si="22">Q15-P15</f>
        <v>-27560</v>
      </c>
      <c r="S15" s="177">
        <v>0.06</v>
      </c>
      <c r="T15" s="177">
        <v>0</v>
      </c>
      <c r="U15" s="215"/>
      <c r="V15" s="206"/>
      <c r="Y15" s="217"/>
    </row>
    <row r="16" spans="1:25" s="179" customFormat="1" ht="27" customHeight="1">
      <c r="A16" s="173" t="s">
        <v>93</v>
      </c>
      <c r="B16" s="178" t="s">
        <v>2964</v>
      </c>
      <c r="C16" s="128" t="s">
        <v>3024</v>
      </c>
      <c r="D16" s="128" t="s">
        <v>3025</v>
      </c>
      <c r="E16" s="128" t="s">
        <v>129</v>
      </c>
      <c r="F16" s="174"/>
      <c r="G16" s="128" t="str">
        <f>_xlfn.IFNA(IF(VLOOKUP($F16,'3.框架内物料'!$A:$E,2,0)=0,"请勿填写",VLOOKUP($F16,'3.框架内物料'!$A:$E,2,0)),"")</f>
        <v/>
      </c>
      <c r="H16" s="203" t="s">
        <v>3021</v>
      </c>
      <c r="I16" s="128" t="s">
        <v>3019</v>
      </c>
      <c r="J16" s="218">
        <f>3000*1.06</f>
        <v>3180</v>
      </c>
      <c r="K16" s="189" t="str">
        <f>_xlfn.IFNA(VLOOKUP($F16,'3.框架内物料'!$A:$F,6,0),"")</f>
        <v/>
      </c>
      <c r="L16" s="67">
        <v>4</v>
      </c>
      <c r="M16" s="67"/>
      <c r="N16" s="67">
        <v>1</v>
      </c>
      <c r="O16" s="67"/>
      <c r="P16" s="175">
        <f t="shared" si="10"/>
        <v>12720</v>
      </c>
      <c r="Q16" s="175">
        <f t="shared" si="16"/>
        <v>0</v>
      </c>
      <c r="R16" s="176">
        <f t="shared" si="12"/>
        <v>-12720</v>
      </c>
      <c r="S16" s="177">
        <v>0.06</v>
      </c>
      <c r="T16" s="177">
        <v>0</v>
      </c>
      <c r="U16" s="178"/>
      <c r="V16" s="178"/>
    </row>
    <row r="17" spans="1:22" s="179" customFormat="1" ht="23" customHeight="1">
      <c r="A17" s="173" t="s">
        <v>93</v>
      </c>
      <c r="B17" s="178" t="s">
        <v>2964</v>
      </c>
      <c r="C17" s="128" t="s">
        <v>3024</v>
      </c>
      <c r="D17" s="128" t="s">
        <v>3025</v>
      </c>
      <c r="E17" s="128" t="s">
        <v>129</v>
      </c>
      <c r="F17" s="174"/>
      <c r="G17" s="128"/>
      <c r="H17" s="203" t="s">
        <v>3020</v>
      </c>
      <c r="I17" s="128" t="s">
        <v>3019</v>
      </c>
      <c r="J17" s="218">
        <f>3000*1.06</f>
        <v>3180</v>
      </c>
      <c r="K17" s="189"/>
      <c r="L17" s="67">
        <v>6</v>
      </c>
      <c r="M17" s="67"/>
      <c r="N17" s="67">
        <v>1</v>
      </c>
      <c r="O17" s="67"/>
      <c r="P17" s="175">
        <f t="shared" ref="P17" si="23">IFERROR(N17*L17*J17,0)</f>
        <v>19080</v>
      </c>
      <c r="Q17" s="175">
        <f t="shared" ref="Q17" si="24">IFERROR(O17*M17*K17,0)</f>
        <v>0</v>
      </c>
      <c r="R17" s="176">
        <f t="shared" ref="R17" si="25">Q17-P17</f>
        <v>-19080</v>
      </c>
      <c r="S17" s="177">
        <v>0.06</v>
      </c>
      <c r="T17" s="177">
        <v>0</v>
      </c>
      <c r="U17" s="178"/>
      <c r="V17" s="178"/>
    </row>
    <row r="18" spans="1:22" s="179" customFormat="1" ht="22" customHeight="1">
      <c r="A18" s="173" t="s">
        <v>93</v>
      </c>
      <c r="B18" s="178" t="s">
        <v>2964</v>
      </c>
      <c r="C18" s="128" t="s">
        <v>2999</v>
      </c>
      <c r="D18" s="128" t="s">
        <v>2999</v>
      </c>
      <c r="E18" s="128" t="s">
        <v>129</v>
      </c>
      <c r="F18" s="174"/>
      <c r="G18" s="128"/>
      <c r="H18" s="203" t="s">
        <v>3000</v>
      </c>
      <c r="I18" s="128" t="s">
        <v>3001</v>
      </c>
      <c r="J18" s="218">
        <f>68*1.06</f>
        <v>72.08</v>
      </c>
      <c r="K18" s="189"/>
      <c r="L18" s="67">
        <v>60</v>
      </c>
      <c r="M18" s="67"/>
      <c r="N18" s="67">
        <v>1</v>
      </c>
      <c r="O18" s="67"/>
      <c r="P18" s="175">
        <f t="shared" si="10"/>
        <v>4324.8</v>
      </c>
      <c r="Q18" s="175">
        <f t="shared" ref="Q18" si="26">IFERROR(O18*M18*K18,0)</f>
        <v>0</v>
      </c>
      <c r="R18" s="176">
        <f t="shared" ref="R18" si="27">Q18-P18</f>
        <v>-4324.8</v>
      </c>
      <c r="S18" s="177">
        <v>0.06</v>
      </c>
      <c r="T18" s="177">
        <v>0</v>
      </c>
      <c r="U18" s="178"/>
      <c r="V18" s="178"/>
    </row>
    <row r="19" spans="1:22" s="179" customFormat="1" ht="22" customHeight="1">
      <c r="A19" s="173" t="s">
        <v>93</v>
      </c>
      <c r="B19" s="178" t="s">
        <v>3014</v>
      </c>
      <c r="C19" s="128" t="s">
        <v>3029</v>
      </c>
      <c r="D19" s="128" t="s">
        <v>3029</v>
      </c>
      <c r="E19" s="128" t="s">
        <v>132</v>
      </c>
      <c r="F19" s="174" t="s">
        <v>2918</v>
      </c>
      <c r="G19" s="128" t="str">
        <f>_xlfn.IFNA(IF(VLOOKUP($F19,'3.框架内物料'!$A:$E,2,0)=0,"请勿填写",VLOOKUP($F19,'3.框架内物料'!$A:$E,2,0)),"")</f>
        <v>M939882605761044482</v>
      </c>
      <c r="H19" s="203" t="str">
        <f>_xlfn.IFNA(VLOOKUP($F19,'3.框架内物料'!$A:$E,4,0),"")</f>
        <v>接待用车-车辆-车辆物流-运营车辆-接送机-GL8，60公里内，高速费另计</v>
      </c>
      <c r="I19" s="128" t="str">
        <f>_xlfn.IFNA(VLOOKUP($F19,'3.框架内物料'!$A:$E,5,0),"")</f>
        <v>辆/趟</v>
      </c>
      <c r="J19" s="189">
        <f>_xlfn.IFNA(VLOOKUP($F19,'3.框架内物料'!$A:$F,6,0),"")</f>
        <v>530</v>
      </c>
      <c r="K19" s="189">
        <f>_xlfn.IFNA(VLOOKUP($F19,'3.框架内物料'!$A:$F,6,0),"")</f>
        <v>530</v>
      </c>
      <c r="L19" s="67">
        <v>20</v>
      </c>
      <c r="M19" s="67"/>
      <c r="N19" s="67">
        <v>2</v>
      </c>
      <c r="O19" s="67"/>
      <c r="P19" s="175">
        <f t="shared" si="10"/>
        <v>21200</v>
      </c>
      <c r="Q19" s="175">
        <f t="shared" ref="Q19:Q22" si="28">IFERROR(O19*M19*K19,0)</f>
        <v>0</v>
      </c>
      <c r="R19" s="176">
        <f t="shared" ref="R19:R22" si="29">Q19-P19</f>
        <v>-21200</v>
      </c>
      <c r="S19" s="177">
        <v>0.06</v>
      </c>
      <c r="T19" s="177">
        <v>0</v>
      </c>
      <c r="U19" s="178"/>
      <c r="V19" s="178"/>
    </row>
    <row r="20" spans="1:22" s="179" customFormat="1" ht="40" customHeight="1">
      <c r="A20" s="173" t="s">
        <v>93</v>
      </c>
      <c r="B20" s="178" t="s">
        <v>3014</v>
      </c>
      <c r="C20" s="128" t="s">
        <v>3029</v>
      </c>
      <c r="D20" s="128" t="s">
        <v>3029</v>
      </c>
      <c r="E20" s="128" t="s">
        <v>132</v>
      </c>
      <c r="F20" s="174" t="s">
        <v>2928</v>
      </c>
      <c r="G20" s="128" t="str">
        <f>_xlfn.IFNA(IF(VLOOKUP($F20,'3.框架内物料'!$A:$E,2,0)=0,"请勿填写",VLOOKUP($F20,'3.框架内物料'!$A:$E,2,0)),"")</f>
        <v>M939882629038198786</v>
      </c>
      <c r="H20" s="203" t="str">
        <f>_xlfn.IFNA(VLOOKUP($F20,'3.框架内物料'!$A:$E,4,0),"")</f>
        <v>接待用车-车辆-车辆物流-运营车辆-中型车-考斯特，可使用同等类型车辆，1天8小时 or 100km计算，超出公里数及时间另计费</v>
      </c>
      <c r="I20" s="128" t="str">
        <f>_xlfn.IFNA(VLOOKUP($F20,'3.框架内物料'!$A:$E,5,0),"")</f>
        <v>辆/天</v>
      </c>
      <c r="J20" s="189">
        <f>_xlfn.IFNA(VLOOKUP($F20,'3.框架内物料'!$A:$F,6,0),"")</f>
        <v>1500</v>
      </c>
      <c r="K20" s="189">
        <f>_xlfn.IFNA(VLOOKUP($F20,'3.框架内物料'!$A:$F,6,0),"")</f>
        <v>1500</v>
      </c>
      <c r="L20" s="67">
        <v>4</v>
      </c>
      <c r="M20" s="67"/>
      <c r="N20" s="67">
        <v>2</v>
      </c>
      <c r="O20" s="67"/>
      <c r="P20" s="175">
        <f t="shared" ref="P20:P22" si="30">IFERROR(N20*L20*J20,0)</f>
        <v>12000</v>
      </c>
      <c r="Q20" s="175">
        <f t="shared" si="28"/>
        <v>0</v>
      </c>
      <c r="R20" s="176">
        <f t="shared" si="29"/>
        <v>-12000</v>
      </c>
      <c r="S20" s="177">
        <v>0.06</v>
      </c>
      <c r="T20" s="177">
        <v>0</v>
      </c>
      <c r="U20" s="178"/>
      <c r="V20" s="178"/>
    </row>
    <row r="21" spans="1:22" s="179" customFormat="1" ht="29" customHeight="1">
      <c r="A21" s="173" t="s">
        <v>93</v>
      </c>
      <c r="B21" s="178" t="s">
        <v>3014</v>
      </c>
      <c r="C21" s="128" t="s">
        <v>3029</v>
      </c>
      <c r="D21" s="128" t="s">
        <v>3015</v>
      </c>
      <c r="E21" s="128" t="s">
        <v>132</v>
      </c>
      <c r="F21" s="174" t="s">
        <v>2925</v>
      </c>
      <c r="G21" s="128" t="str">
        <f>_xlfn.IFNA(IF(VLOOKUP($F21,'3.框架内物料'!$A:$E,2,0)=0,"请勿填写",VLOOKUP($F21,'3.框架内物料'!$A:$E,2,0)),"")</f>
        <v>M939882596713930754</v>
      </c>
      <c r="H21" s="203" t="str">
        <f>_xlfn.IFNA(VLOOKUP($F21,'3.框架内物料'!$A:$E,4,0),"")</f>
        <v>接待用车-车辆-车辆物流-运营车辆-商务乘用车-GL8，可使用同等类型车辆，1天8小时 or 100km计算，超出公里数及时间另计费</v>
      </c>
      <c r="I21" s="128" t="str">
        <f>_xlfn.IFNA(VLOOKUP($F21,'3.框架内物料'!$A:$E,5,0),"")</f>
        <v>辆/天</v>
      </c>
      <c r="J21" s="189">
        <f>_xlfn.IFNA(VLOOKUP($F21,'3.框架内物料'!$A:$F,6,0),"")</f>
        <v>1060</v>
      </c>
      <c r="K21" s="189">
        <f>_xlfn.IFNA(VLOOKUP($F21,'3.框架内物料'!$A:$F,6,0),"")</f>
        <v>1060</v>
      </c>
      <c r="L21" s="67">
        <v>1</v>
      </c>
      <c r="M21" s="67"/>
      <c r="N21" s="67">
        <v>3</v>
      </c>
      <c r="O21" s="67"/>
      <c r="P21" s="175">
        <f>IFERROR(N21*L21*J21,0)</f>
        <v>3180</v>
      </c>
      <c r="Q21" s="175">
        <f t="shared" ref="Q21" si="31">IFERROR(O21*M21*K21,0)</f>
        <v>0</v>
      </c>
      <c r="R21" s="176">
        <f t="shared" ref="R21" si="32">Q21-P21</f>
        <v>-3180</v>
      </c>
      <c r="S21" s="177">
        <v>0.06</v>
      </c>
      <c r="T21" s="177">
        <v>0</v>
      </c>
      <c r="U21" s="178"/>
      <c r="V21" s="178"/>
    </row>
    <row r="22" spans="1:22" s="179" customFormat="1" ht="22" customHeight="1">
      <c r="A22" s="173" t="s">
        <v>93</v>
      </c>
      <c r="B22" s="178" t="s">
        <v>3014</v>
      </c>
      <c r="C22" s="128" t="s">
        <v>3030</v>
      </c>
      <c r="D22" s="128" t="s">
        <v>3031</v>
      </c>
      <c r="E22" s="128" t="s">
        <v>132</v>
      </c>
      <c r="F22" s="174" t="s">
        <v>2920</v>
      </c>
      <c r="G22" s="128" t="str">
        <f>_xlfn.IFNA(IF(VLOOKUP($F22,'3.框架内物料'!$A:$E,2,0)=0,"请勿填写",VLOOKUP($F22,'3.框架内物料'!$A:$E,2,0)),"")</f>
        <v>M939882614325813250</v>
      </c>
      <c r="H22" s="203" t="str">
        <f>_xlfn.IFNA(VLOOKUP($F22,'3.框架内物料'!$A:$E,4,0),"")</f>
        <v>接待用车-车辆-车辆物流-运营车辆-接送机-50座大巴车，60公里内，高速费另计</v>
      </c>
      <c r="I22" s="128" t="str">
        <f>_xlfn.IFNA(VLOOKUP($F22,'3.框架内物料'!$A:$E,5,0),"")</f>
        <v>辆/趟</v>
      </c>
      <c r="J22" s="189">
        <f>_xlfn.IFNA(VLOOKUP($F22,'3.框架内物料'!$A:$F,6,0),"")</f>
        <v>1272</v>
      </c>
      <c r="K22" s="189">
        <f>_xlfn.IFNA(VLOOKUP($F22,'3.框架内物料'!$A:$F,6,0),"")</f>
        <v>1272</v>
      </c>
      <c r="L22" s="67">
        <v>1</v>
      </c>
      <c r="M22" s="67"/>
      <c r="N22" s="67">
        <v>3</v>
      </c>
      <c r="O22" s="67"/>
      <c r="P22" s="175">
        <f t="shared" si="30"/>
        <v>3816</v>
      </c>
      <c r="Q22" s="175">
        <f t="shared" si="28"/>
        <v>0</v>
      </c>
      <c r="R22" s="176">
        <f t="shared" si="29"/>
        <v>-3816</v>
      </c>
      <c r="S22" s="177">
        <v>0.06</v>
      </c>
      <c r="T22" s="177">
        <v>0</v>
      </c>
      <c r="U22" s="178"/>
      <c r="V22" s="178"/>
    </row>
    <row r="23" spans="1:22" s="179" customFormat="1" ht="32" customHeight="1">
      <c r="A23" s="173" t="s">
        <v>93</v>
      </c>
      <c r="B23" s="178" t="s">
        <v>3014</v>
      </c>
      <c r="C23" s="128" t="s">
        <v>3032</v>
      </c>
      <c r="D23" s="128" t="s">
        <v>3031</v>
      </c>
      <c r="E23" s="128" t="s">
        <v>130</v>
      </c>
      <c r="F23" s="174"/>
      <c r="G23" s="128"/>
      <c r="H23" s="203" t="s">
        <v>3036</v>
      </c>
      <c r="I23" s="128" t="s">
        <v>3033</v>
      </c>
      <c r="J23" s="218">
        <f>800*1.06</f>
        <v>848</v>
      </c>
      <c r="K23" s="189"/>
      <c r="L23" s="67">
        <v>1</v>
      </c>
      <c r="M23" s="67"/>
      <c r="N23" s="67">
        <v>3</v>
      </c>
      <c r="O23" s="67"/>
      <c r="P23" s="175">
        <f t="shared" ref="P23:Q23" si="33">IFERROR(N23*L23*J23,0)</f>
        <v>2544</v>
      </c>
      <c r="Q23" s="175">
        <f t="shared" si="33"/>
        <v>0</v>
      </c>
      <c r="R23" s="176">
        <f>Q23-P23</f>
        <v>-2544</v>
      </c>
      <c r="S23" s="177">
        <v>0.06</v>
      </c>
      <c r="T23" s="177">
        <v>0</v>
      </c>
      <c r="U23" s="178"/>
      <c r="V23" s="178"/>
    </row>
    <row r="24" spans="1:22" s="213" customFormat="1" ht="22" customHeight="1">
      <c r="A24" s="206" t="s">
        <v>93</v>
      </c>
      <c r="B24" s="206" t="s">
        <v>2983</v>
      </c>
      <c r="C24" s="202" t="s">
        <v>2984</v>
      </c>
      <c r="D24" s="202" t="s">
        <v>3003</v>
      </c>
      <c r="E24" s="202" t="s">
        <v>129</v>
      </c>
      <c r="F24" s="207"/>
      <c r="G24" s="202"/>
      <c r="H24" s="203" t="s">
        <v>3004</v>
      </c>
      <c r="I24" s="202" t="s">
        <v>2985</v>
      </c>
      <c r="J24" s="219">
        <f>133*1.06</f>
        <v>140.98000000000002</v>
      </c>
      <c r="K24" s="209"/>
      <c r="L24" s="210">
        <v>2</v>
      </c>
      <c r="M24" s="210"/>
      <c r="N24" s="210">
        <v>2</v>
      </c>
      <c r="O24" s="210"/>
      <c r="P24" s="175">
        <f t="shared" si="10"/>
        <v>563.92000000000007</v>
      </c>
      <c r="Q24" s="211">
        <f t="shared" ref="Q24" si="34">IFERROR(O24*M24*K24,0)</f>
        <v>0</v>
      </c>
      <c r="R24" s="212">
        <f t="shared" ref="R24" si="35">Q24-P24</f>
        <v>-563.92000000000007</v>
      </c>
      <c r="S24" s="177">
        <v>0.06</v>
      </c>
      <c r="T24" s="177">
        <v>0</v>
      </c>
      <c r="U24" s="206"/>
      <c r="V24" s="206"/>
    </row>
    <row r="25" spans="1:22" s="213" customFormat="1" ht="22" customHeight="1">
      <c r="A25" s="206" t="s">
        <v>93</v>
      </c>
      <c r="B25" s="206" t="s">
        <v>2965</v>
      </c>
      <c r="C25" s="202" t="s">
        <v>2967</v>
      </c>
      <c r="D25" s="202" t="s">
        <v>2979</v>
      </c>
      <c r="E25" s="202" t="s">
        <v>129</v>
      </c>
      <c r="F25" s="207"/>
      <c r="G25" s="202"/>
      <c r="H25" s="208" t="s">
        <v>2986</v>
      </c>
      <c r="I25" s="202" t="s">
        <v>2970</v>
      </c>
      <c r="J25" s="209" t="s">
        <v>2980</v>
      </c>
      <c r="K25" s="209"/>
      <c r="L25" s="210">
        <v>1</v>
      </c>
      <c r="M25" s="210"/>
      <c r="N25" s="210">
        <v>4</v>
      </c>
      <c r="O25" s="210"/>
      <c r="P25" s="175">
        <f t="shared" si="10"/>
        <v>1400</v>
      </c>
      <c r="Q25" s="211">
        <f t="shared" ref="Q25:Q28" si="36">IFERROR(O25*M25*K25,0)</f>
        <v>0</v>
      </c>
      <c r="R25" s="212">
        <f t="shared" ref="R25:R28" si="37">Q25-P25</f>
        <v>-1400</v>
      </c>
      <c r="S25" s="177">
        <v>0.06</v>
      </c>
      <c r="T25" s="177">
        <v>0</v>
      </c>
      <c r="U25" s="206"/>
      <c r="V25" s="206"/>
    </row>
    <row r="26" spans="1:22" s="213" customFormat="1" ht="22" customHeight="1">
      <c r="A26" s="206" t="s">
        <v>93</v>
      </c>
      <c r="B26" s="206" t="s">
        <v>2966</v>
      </c>
      <c r="C26" s="202" t="s">
        <v>2968</v>
      </c>
      <c r="D26" s="202" t="s">
        <v>3035</v>
      </c>
      <c r="E26" s="202" t="s">
        <v>129</v>
      </c>
      <c r="F26" s="207"/>
      <c r="G26" s="202"/>
      <c r="H26" s="208" t="s">
        <v>3034</v>
      </c>
      <c r="I26" s="202" t="s">
        <v>3023</v>
      </c>
      <c r="J26" s="209" t="s">
        <v>2976</v>
      </c>
      <c r="K26" s="209"/>
      <c r="L26" s="210">
        <v>12</v>
      </c>
      <c r="M26" s="210"/>
      <c r="N26" s="210">
        <v>1</v>
      </c>
      <c r="O26" s="210"/>
      <c r="P26" s="175">
        <f t="shared" si="10"/>
        <v>1200</v>
      </c>
      <c r="Q26" s="211">
        <f t="shared" si="36"/>
        <v>0</v>
      </c>
      <c r="R26" s="212">
        <f t="shared" si="37"/>
        <v>-1200</v>
      </c>
      <c r="S26" s="177">
        <v>0.06</v>
      </c>
      <c r="T26" s="177">
        <v>0</v>
      </c>
      <c r="U26" s="206"/>
      <c r="V26" s="206"/>
    </row>
    <row r="27" spans="1:22" s="213" customFormat="1" ht="22" customHeight="1">
      <c r="A27" s="206" t="s">
        <v>93</v>
      </c>
      <c r="B27" s="206" t="s">
        <v>2966</v>
      </c>
      <c r="C27" s="202" t="s">
        <v>2969</v>
      </c>
      <c r="D27" s="202" t="s">
        <v>3035</v>
      </c>
      <c r="E27" s="202" t="s">
        <v>129</v>
      </c>
      <c r="F27" s="207"/>
      <c r="G27" s="202"/>
      <c r="H27" s="208" t="s">
        <v>3034</v>
      </c>
      <c r="I27" s="202" t="s">
        <v>3023</v>
      </c>
      <c r="J27" s="209" t="s">
        <v>2976</v>
      </c>
      <c r="K27" s="209"/>
      <c r="L27" s="210">
        <v>12</v>
      </c>
      <c r="M27" s="210"/>
      <c r="N27" s="210">
        <v>1</v>
      </c>
      <c r="O27" s="210"/>
      <c r="P27" s="175">
        <f t="shared" si="10"/>
        <v>1200</v>
      </c>
      <c r="Q27" s="211">
        <f t="shared" ref="Q27" si="38">IFERROR(O27*M27*K27,0)</f>
        <v>0</v>
      </c>
      <c r="R27" s="212">
        <f t="shared" ref="R27" si="39">Q27-P27</f>
        <v>-1200</v>
      </c>
      <c r="S27" s="177">
        <v>0.06</v>
      </c>
      <c r="T27" s="177">
        <v>0</v>
      </c>
      <c r="U27" s="206"/>
      <c r="V27" s="206"/>
    </row>
    <row r="28" spans="1:22" s="213" customFormat="1" ht="22" customHeight="1">
      <c r="A28" s="206" t="s">
        <v>93</v>
      </c>
      <c r="B28" s="206" t="s">
        <v>2987</v>
      </c>
      <c r="C28" s="206" t="s">
        <v>2987</v>
      </c>
      <c r="D28" s="202" t="s">
        <v>2988</v>
      </c>
      <c r="E28" s="202" t="s">
        <v>129</v>
      </c>
      <c r="F28" s="207"/>
      <c r="G28" s="202"/>
      <c r="H28" s="208" t="s">
        <v>2989</v>
      </c>
      <c r="I28" s="202" t="s">
        <v>2971</v>
      </c>
      <c r="J28" s="209" t="s">
        <v>2990</v>
      </c>
      <c r="K28" s="209"/>
      <c r="L28" s="210">
        <v>60</v>
      </c>
      <c r="M28" s="210"/>
      <c r="N28" s="210">
        <v>30</v>
      </c>
      <c r="O28" s="210"/>
      <c r="P28" s="175">
        <f t="shared" si="10"/>
        <v>190.79999999999998</v>
      </c>
      <c r="Q28" s="211">
        <f t="shared" si="36"/>
        <v>0</v>
      </c>
      <c r="R28" s="212">
        <f t="shared" si="37"/>
        <v>-190.79999999999998</v>
      </c>
      <c r="S28" s="177">
        <v>0.06</v>
      </c>
      <c r="T28" s="177">
        <v>0</v>
      </c>
      <c r="U28" s="206"/>
      <c r="V28" s="206"/>
    </row>
    <row r="29" spans="1:22" s="75" customFormat="1" ht="18">
      <c r="A29" s="57"/>
      <c r="B29" s="61"/>
      <c r="C29" s="61"/>
      <c r="D29" s="61"/>
      <c r="E29" s="61"/>
      <c r="F29" s="58"/>
      <c r="G29" s="58"/>
      <c r="H29" s="58"/>
      <c r="I29" s="58"/>
      <c r="J29" s="190"/>
      <c r="K29" s="190"/>
      <c r="L29" s="58"/>
      <c r="M29" s="58"/>
      <c r="N29" s="58"/>
      <c r="O29" s="58"/>
      <c r="P29" s="247" t="s">
        <v>95</v>
      </c>
      <c r="Q29" s="248"/>
      <c r="R29" s="249"/>
      <c r="S29" s="165"/>
      <c r="T29" s="165"/>
      <c r="U29" s="60"/>
      <c r="V29" s="60"/>
    </row>
    <row r="30" spans="1:22" s="75" customFormat="1" ht="18">
      <c r="A30" s="54"/>
      <c r="B30" s="62"/>
      <c r="C30" s="62"/>
      <c r="D30" s="62"/>
      <c r="E30" s="62"/>
      <c r="F30" s="55"/>
      <c r="G30" s="55"/>
      <c r="H30" s="55"/>
      <c r="I30" s="55"/>
      <c r="J30" s="191"/>
      <c r="K30" s="191"/>
      <c r="L30" s="55"/>
      <c r="M30" s="55"/>
      <c r="N30" s="55"/>
      <c r="O30" s="55"/>
      <c r="P30" s="158">
        <f>SUM(P11:P28)</f>
        <v>336479.51999999996</v>
      </c>
      <c r="Q30" s="158">
        <f>SUM(Q11:Q28)</f>
        <v>0</v>
      </c>
      <c r="R30" s="158">
        <f>Q30-P30</f>
        <v>-336479.51999999996</v>
      </c>
      <c r="S30" s="166"/>
      <c r="T30" s="171"/>
      <c r="U30" s="55"/>
      <c r="V30" s="56"/>
    </row>
    <row r="31" spans="1:22" s="181" customFormat="1" ht="22" customHeight="1">
      <c r="A31" s="182" t="s">
        <v>2940</v>
      </c>
      <c r="B31" s="178" t="s">
        <v>2977</v>
      </c>
      <c r="C31" s="178" t="s">
        <v>2977</v>
      </c>
      <c r="D31" s="178" t="s">
        <v>2977</v>
      </c>
      <c r="E31" s="128" t="s">
        <v>132</v>
      </c>
      <c r="F31" s="174" t="s">
        <v>2943</v>
      </c>
      <c r="G31" s="128" t="str">
        <f>_xlfn.IFNA(IF(VLOOKUP($F31,'[1]3.框架内物料'!$A:$E,2,0)=0,"请勿填写",VLOOKUP($F31,'[1]3.框架内物料'!$A:$E,2,0)),"")</f>
        <v>M939882581652185090</v>
      </c>
      <c r="H31" s="203" t="str">
        <f>_xlfn.IFNA(VLOOKUP($F31,'[1]3.框架内物料'!$A:$E,4,0),"")</f>
        <v>服务费税费-项目服务费-项目服务费-制作搭建、AVL设备、第三方人员服务费-服务费比例</v>
      </c>
      <c r="I31" s="128" t="str">
        <f>_xlfn.IFNA(VLOOKUP($F31,'[1]3.框架内物料'!$A:$E,5,0),"")</f>
        <v>项</v>
      </c>
      <c r="J31" s="189">
        <f>_xlfn.IFNA(VLOOKUP($F31,'[1]3.框架内物料'!$A:$F,6,0),"")</f>
        <v>0.1</v>
      </c>
      <c r="K31" s="189">
        <f>_xlfn.IFNA(VLOOKUP($F31,'[1]3.框架内物料'!$A:$F,6,0),"")</f>
        <v>0.1</v>
      </c>
      <c r="L31" s="67">
        <f>P6+P10</f>
        <v>6618.02</v>
      </c>
      <c r="M31" s="67"/>
      <c r="N31" s="67">
        <v>1</v>
      </c>
      <c r="O31" s="67"/>
      <c r="P31" s="175">
        <f>IFERROR(N31*L31*J31,0)</f>
        <v>661.80200000000013</v>
      </c>
      <c r="Q31" s="175">
        <f t="shared" ref="Q31:Q34" si="40">IFERROR(O31*M31*K31,0)</f>
        <v>0</v>
      </c>
      <c r="R31" s="183">
        <f t="shared" ref="R31" si="41">Q31-P31</f>
        <v>-661.80200000000013</v>
      </c>
      <c r="S31" s="177">
        <v>0.06</v>
      </c>
      <c r="T31" s="177">
        <v>0</v>
      </c>
      <c r="U31" s="180"/>
      <c r="V31" s="178"/>
    </row>
    <row r="32" spans="1:22" s="181" customFormat="1" ht="22" customHeight="1">
      <c r="A32" s="182" t="s">
        <v>2940</v>
      </c>
      <c r="B32" s="178" t="s">
        <v>2977</v>
      </c>
      <c r="C32" s="178" t="s">
        <v>2977</v>
      </c>
      <c r="D32" s="178" t="s">
        <v>2977</v>
      </c>
      <c r="E32" s="128" t="s">
        <v>132</v>
      </c>
      <c r="F32" s="174" t="s">
        <v>2942</v>
      </c>
      <c r="G32" s="128" t="str">
        <f>_xlfn.IFNA(IF(VLOOKUP($F32,'[1]3.框架内物料'!$A:$E,2,0)=0,"请勿填写",VLOOKUP($F32,'[1]3.框架内物料'!$A:$E,2,0)),"")</f>
        <v>M939882610784714754</v>
      </c>
      <c r="H32" s="203" t="str">
        <f>_xlfn.IFNA(VLOOKUP($F32,'[1]3.框架内物料'!$A:$E,4,0),"")</f>
        <v>服务费税费-项目服务费-项目服务费-机票、用车、用餐等第三方资源-服务费比例</v>
      </c>
      <c r="I32" s="128" t="str">
        <f>_xlfn.IFNA(VLOOKUP($F32,'[1]3.框架内物料'!$A:$E,5,0),"")</f>
        <v>项</v>
      </c>
      <c r="J32" s="189">
        <f>_xlfn.IFNA(VLOOKUP($F32,'[1]3.框架内物料'!$A:$F,6,0),"")</f>
        <v>0.06</v>
      </c>
      <c r="K32" s="189">
        <f>_xlfn.IFNA(VLOOKUP($F32,'[1]3.框架内物料'!$A:$F,6,0),"")</f>
        <v>0.06</v>
      </c>
      <c r="L32" s="67">
        <f>P30-P13-P25-P14</f>
        <v>243079.51999999996</v>
      </c>
      <c r="M32" s="67"/>
      <c r="N32" s="67">
        <v>1</v>
      </c>
      <c r="O32" s="67"/>
      <c r="P32" s="175">
        <f>IFERROR(N32*L32*J32,0)</f>
        <v>14584.771199999997</v>
      </c>
      <c r="Q32" s="175">
        <f t="shared" si="40"/>
        <v>0</v>
      </c>
      <c r="R32" s="183">
        <f t="shared" ref="R32" si="42">Q32-P32</f>
        <v>-14584.771199999997</v>
      </c>
      <c r="S32" s="177">
        <v>0.06</v>
      </c>
      <c r="T32" s="177">
        <v>0</v>
      </c>
      <c r="U32" s="180" t="s">
        <v>2974</v>
      </c>
      <c r="V32" s="178"/>
    </row>
    <row r="33" spans="1:22" s="181" customFormat="1" ht="22" customHeight="1">
      <c r="A33" s="182" t="s">
        <v>2940</v>
      </c>
      <c r="B33" s="178" t="s">
        <v>2977</v>
      </c>
      <c r="C33" s="178" t="s">
        <v>2977</v>
      </c>
      <c r="D33" s="178" t="s">
        <v>2977</v>
      </c>
      <c r="E33" s="128" t="s">
        <v>132</v>
      </c>
      <c r="F33" s="174" t="s">
        <v>2941</v>
      </c>
      <c r="G33" s="128" t="str">
        <f>_xlfn.IFNA(IF(VLOOKUP($F33,'[1]3.框架内物料'!$A:$E,2,0)=0,"请勿填写",VLOOKUP($F33,'[1]3.框架内物料'!$A:$E,2,0)),"")</f>
        <v>M939882699754164225</v>
      </c>
      <c r="H33" s="203" t="str">
        <f>_xlfn.IFNA(VLOOKUP($F33,'[1]3.框架内物料'!$A:$E,4,0),"")</f>
        <v>服务费税费-项目服务费-项目服务费-场地采买、酒店用房服务费-服务费比例</v>
      </c>
      <c r="I33" s="128" t="str">
        <f>_xlfn.IFNA(VLOOKUP($F33,'[1]3.框架内物料'!$A:$E,5,0),"")</f>
        <v>项</v>
      </c>
      <c r="J33" s="189">
        <f>_xlfn.IFNA(VLOOKUP($F33,'[1]3.框架内物料'!$A:$F,6,0),"")</f>
        <v>0.06</v>
      </c>
      <c r="K33" s="189">
        <f>_xlfn.IFNA(VLOOKUP($F33,'[1]3.框架内物料'!$A:$F,6,0),"")</f>
        <v>0.06</v>
      </c>
      <c r="L33" s="67">
        <f>P13+P25+P14</f>
        <v>93400</v>
      </c>
      <c r="M33" s="67"/>
      <c r="N33" s="67">
        <v>1</v>
      </c>
      <c r="O33" s="67"/>
      <c r="P33" s="175">
        <f>IFERROR(N33*L33*J33,0)</f>
        <v>5604</v>
      </c>
      <c r="Q33" s="175">
        <f t="shared" si="40"/>
        <v>0</v>
      </c>
      <c r="R33" s="183">
        <f t="shared" ref="R33" si="43">Q33-P33</f>
        <v>-5604</v>
      </c>
      <c r="S33" s="177">
        <v>0.06</v>
      </c>
      <c r="T33" s="177">
        <v>0</v>
      </c>
      <c r="U33" s="180" t="s">
        <v>2973</v>
      </c>
      <c r="V33" s="178"/>
    </row>
    <row r="34" spans="1:22" s="181" customFormat="1" ht="22" customHeight="1">
      <c r="A34" s="182" t="s">
        <v>2947</v>
      </c>
      <c r="B34" s="178" t="s">
        <v>2978</v>
      </c>
      <c r="C34" s="178" t="s">
        <v>2978</v>
      </c>
      <c r="D34" s="178" t="s">
        <v>2978</v>
      </c>
      <c r="E34" s="128" t="s">
        <v>132</v>
      </c>
      <c r="F34" s="174" t="s">
        <v>2946</v>
      </c>
      <c r="G34" s="128" t="str">
        <f>_xlfn.IFNA(IF(VLOOKUP($F34,'[1]3.框架内物料'!$A:$E,2,0)=0,"请勿填写",VLOOKUP($F34,'[1]3.框架内物料'!$A:$E,2,0)),"")</f>
        <v>M939882723582132226</v>
      </c>
      <c r="H34" s="203" t="str">
        <f>_xlfn.IFNA(VLOOKUP($F34,'[1]3.框架内物料'!$A:$E,4,0),"")</f>
        <v>服务费税费-项目税费-项目税费-机票、用车、用餐等第三方资源-增值税比例</v>
      </c>
      <c r="I34" s="128" t="str">
        <f>_xlfn.IFNA(VLOOKUP($F34,'[1]3.框架内物料'!$A:$E,5,0),"")</f>
        <v>项</v>
      </c>
      <c r="J34" s="189">
        <f>_xlfn.IFNA(VLOOKUP($F34,'[1]3.框架内物料'!$A:$F,6,0),"")</f>
        <v>0.06</v>
      </c>
      <c r="K34" s="189">
        <f>_xlfn.IFNA(VLOOKUP($F34,'[1]3.框架内物料'!$A:$F,6,0),"")</f>
        <v>0.06</v>
      </c>
      <c r="L34" s="67">
        <f>P33</f>
        <v>5604</v>
      </c>
      <c r="M34" s="67"/>
      <c r="N34" s="67">
        <v>1</v>
      </c>
      <c r="O34" s="67"/>
      <c r="P34" s="175">
        <f>IFERROR(N34*L34*J34,0)</f>
        <v>336.24</v>
      </c>
      <c r="Q34" s="175">
        <f t="shared" si="40"/>
        <v>0</v>
      </c>
      <c r="R34" s="183">
        <f t="shared" ref="R34" si="44">Q34-P34</f>
        <v>-336.24</v>
      </c>
      <c r="S34" s="177">
        <v>0.06</v>
      </c>
      <c r="T34" s="177">
        <v>0</v>
      </c>
      <c r="U34" s="180" t="s">
        <v>2972</v>
      </c>
      <c r="V34" s="178"/>
    </row>
    <row r="35" spans="1:22" s="75" customFormat="1" ht="18">
      <c r="A35" s="57"/>
      <c r="B35" s="61"/>
      <c r="C35" s="61"/>
      <c r="D35" s="61"/>
      <c r="E35" s="61"/>
      <c r="F35" s="58"/>
      <c r="G35" s="58"/>
      <c r="H35" s="58"/>
      <c r="I35" s="58"/>
      <c r="J35" s="190"/>
      <c r="K35" s="190"/>
      <c r="L35" s="58"/>
      <c r="M35" s="58"/>
      <c r="N35" s="58"/>
      <c r="O35" s="58"/>
      <c r="P35" s="247" t="s">
        <v>121</v>
      </c>
      <c r="Q35" s="248"/>
      <c r="R35" s="249"/>
      <c r="S35" s="165"/>
      <c r="T35" s="165"/>
      <c r="U35" s="60"/>
      <c r="V35" s="60" t="s">
        <v>170</v>
      </c>
    </row>
    <row r="36" spans="1:22" s="75" customFormat="1" ht="18">
      <c r="A36" s="54"/>
      <c r="B36" s="62"/>
      <c r="C36" s="62"/>
      <c r="D36" s="62"/>
      <c r="E36" s="62"/>
      <c r="F36" s="55"/>
      <c r="G36" s="55"/>
      <c r="H36" s="55"/>
      <c r="I36" s="55"/>
      <c r="J36" s="191"/>
      <c r="K36" s="191"/>
      <c r="L36" s="55"/>
      <c r="M36" s="55"/>
      <c r="N36" s="55"/>
      <c r="O36" s="55"/>
      <c r="P36" s="158">
        <f>SUM(P31:P34)</f>
        <v>21186.813200000001</v>
      </c>
      <c r="Q36" s="158">
        <f>SUM(Q31:Q34)</f>
        <v>0</v>
      </c>
      <c r="R36" s="158">
        <f>Q36-P36</f>
        <v>-21186.813200000001</v>
      </c>
      <c r="S36" s="166"/>
      <c r="T36" s="171"/>
      <c r="U36" s="55"/>
      <c r="V36" s="56"/>
    </row>
    <row r="37" spans="1:22" s="75" customFormat="1" ht="18">
      <c r="A37" s="59"/>
      <c r="B37" s="85"/>
      <c r="C37" s="85"/>
      <c r="D37" s="85"/>
      <c r="E37" s="85"/>
      <c r="F37" s="86"/>
      <c r="G37" s="85"/>
      <c r="H37" s="204"/>
      <c r="I37" s="85"/>
      <c r="J37" s="192"/>
      <c r="K37" s="193"/>
      <c r="L37" s="89"/>
      <c r="M37" s="89"/>
      <c r="N37" s="89"/>
      <c r="O37" s="89"/>
      <c r="P37" s="245" t="s">
        <v>169</v>
      </c>
      <c r="Q37" s="245"/>
      <c r="R37" s="246"/>
      <c r="S37" s="167"/>
      <c r="T37" s="167"/>
      <c r="U37" s="141"/>
      <c r="V37" s="141"/>
    </row>
    <row r="38" spans="1:22" ht="18">
      <c r="A38" s="90"/>
      <c r="B38" s="92"/>
      <c r="C38" s="92"/>
      <c r="D38" s="92"/>
      <c r="E38" s="92"/>
      <c r="F38" s="91"/>
      <c r="G38" s="91"/>
      <c r="H38" s="91"/>
      <c r="I38" s="91"/>
      <c r="J38" s="194"/>
      <c r="K38" s="194"/>
      <c r="L38" s="91"/>
      <c r="M38" s="91"/>
      <c r="N38" s="91"/>
      <c r="O38" s="91"/>
      <c r="P38" s="159">
        <f>SUM(P36,P30,P10,P6)</f>
        <v>364284.35319999995</v>
      </c>
      <c r="Q38" s="159">
        <f>SUM(Q36,Q30,Q10,Q6)</f>
        <v>0</v>
      </c>
      <c r="R38" s="159">
        <f>Q38-P38</f>
        <v>-364284.35319999995</v>
      </c>
      <c r="S38" s="168"/>
      <c r="T38" s="172"/>
      <c r="U38" s="94"/>
      <c r="V38" s="95"/>
    </row>
    <row r="39" spans="1:22" s="181" customFormat="1" ht="74.5" customHeight="1">
      <c r="A39" s="173" t="s">
        <v>126</v>
      </c>
      <c r="B39" s="184"/>
      <c r="C39" s="184"/>
      <c r="D39" s="184"/>
      <c r="E39" s="173" t="s">
        <v>126</v>
      </c>
      <c r="F39" s="184"/>
      <c r="G39" s="184"/>
      <c r="H39" s="185" t="s">
        <v>127</v>
      </c>
      <c r="I39" s="128" t="s">
        <v>15</v>
      </c>
      <c r="J39" s="199" t="s">
        <v>2975</v>
      </c>
      <c r="K39" s="199" t="s">
        <v>2975</v>
      </c>
      <c r="L39" s="186">
        <v>1</v>
      </c>
      <c r="M39" s="186">
        <v>1</v>
      </c>
      <c r="N39" s="186">
        <v>1</v>
      </c>
      <c r="O39" s="186">
        <v>1</v>
      </c>
      <c r="P39" s="175">
        <f>J39*L39*N39</f>
        <v>0</v>
      </c>
      <c r="Q39" s="176">
        <f>K39*M39*O39</f>
        <v>0</v>
      </c>
      <c r="R39" s="176">
        <f>Q39-P39</f>
        <v>0</v>
      </c>
      <c r="S39" s="177">
        <v>0.06</v>
      </c>
      <c r="T39" s="177">
        <v>0</v>
      </c>
      <c r="U39" s="180"/>
      <c r="V39" s="180"/>
    </row>
    <row r="40" spans="1:22" s="75" customFormat="1" ht="18">
      <c r="A40" s="59"/>
      <c r="B40" s="85"/>
      <c r="C40" s="85"/>
      <c r="D40" s="85"/>
      <c r="E40" s="85"/>
      <c r="F40" s="86"/>
      <c r="G40" s="85"/>
      <c r="H40" s="204"/>
      <c r="I40" s="85"/>
      <c r="J40" s="192"/>
      <c r="K40" s="193"/>
      <c r="L40" s="89"/>
      <c r="M40" s="89"/>
      <c r="N40" s="89"/>
      <c r="O40" s="89"/>
      <c r="P40" s="245" t="s">
        <v>133</v>
      </c>
      <c r="Q40" s="245"/>
      <c r="R40" s="246"/>
      <c r="S40" s="167"/>
      <c r="T40" s="167"/>
      <c r="U40" s="141"/>
      <c r="V40" s="141"/>
    </row>
    <row r="41" spans="1:22" ht="18">
      <c r="A41" s="90"/>
      <c r="B41" s="92"/>
      <c r="C41" s="92"/>
      <c r="D41" s="92"/>
      <c r="E41" s="92"/>
      <c r="F41" s="91"/>
      <c r="G41" s="91"/>
      <c r="H41" s="91"/>
      <c r="I41" s="91"/>
      <c r="J41" s="194"/>
      <c r="K41" s="194"/>
      <c r="L41" s="91"/>
      <c r="M41" s="91"/>
      <c r="N41" s="91"/>
      <c r="O41" s="91"/>
      <c r="P41" s="159">
        <f>SUM(P38,P39)</f>
        <v>364284.35319999995</v>
      </c>
      <c r="Q41" s="159">
        <f>SUM(Q38,Q39)</f>
        <v>0</v>
      </c>
      <c r="R41" s="159">
        <f>Q41-P41</f>
        <v>-364284.35319999995</v>
      </c>
      <c r="S41" s="168"/>
      <c r="T41" s="172"/>
      <c r="U41" s="94"/>
      <c r="V41" s="95"/>
    </row>
    <row r="42" spans="1:22" ht="54" customHeight="1">
      <c r="A42" s="99"/>
      <c r="C42" s="100"/>
      <c r="D42" s="100"/>
      <c r="E42" s="100"/>
      <c r="F42" s="99"/>
      <c r="G42" s="99"/>
      <c r="H42" s="99"/>
      <c r="I42" s="99"/>
      <c r="J42" s="195"/>
      <c r="K42" s="225"/>
      <c r="L42" s="225"/>
      <c r="M42" s="225"/>
      <c r="N42" s="225"/>
      <c r="P42" s="160">
        <f>SUMIF(E1:E38,"框架内",P1:P38)/(P41-P39)</f>
        <v>0.18623899874928806</v>
      </c>
      <c r="Q42" s="160" t="e">
        <f>SUMIF(E1:E38,"框架内",Q1:Q38)/(Q41-Q39)</f>
        <v>#DIV/0!</v>
      </c>
      <c r="R42" s="161" t="s">
        <v>100</v>
      </c>
      <c r="S42" s="169"/>
      <c r="T42" s="169"/>
    </row>
    <row r="43" spans="1:22" ht="54" customHeight="1">
      <c r="A43" s="99"/>
      <c r="C43" s="100"/>
      <c r="D43" s="100"/>
      <c r="E43" s="100"/>
      <c r="F43" s="99"/>
      <c r="G43" s="99"/>
      <c r="H43" s="99"/>
      <c r="I43" s="99"/>
      <c r="J43" s="195"/>
      <c r="K43" s="225"/>
      <c r="L43" s="225"/>
      <c r="M43" s="225"/>
      <c r="N43" s="225"/>
      <c r="P43" s="160">
        <f ca="1">SUMIF(E1:E39,"框架外",P1:P38)/(P41-P39)</f>
        <v>6.9835555045189906E-3</v>
      </c>
      <c r="Q43" s="160" t="e">
        <f ca="1">SUMIF(E1:E39,"框架外",Q1:Q38)/(Q41-Q39)</f>
        <v>#DIV/0!</v>
      </c>
      <c r="R43" s="161" t="s">
        <v>99</v>
      </c>
      <c r="S43" s="169"/>
      <c r="T43" s="169"/>
    </row>
    <row r="44" spans="1:22" ht="54" customHeight="1">
      <c r="A44" s="99"/>
      <c r="C44" s="100"/>
      <c r="D44" s="100"/>
      <c r="E44" s="100"/>
      <c r="F44" s="99"/>
      <c r="G44" s="99"/>
      <c r="H44" s="99"/>
      <c r="I44" s="99"/>
      <c r="J44" s="195"/>
      <c r="P44" s="160">
        <f ca="1">SUMIF(E1:E39,"据实结算",P1:P38)/(P41-P39)</f>
        <v>0.80677744574619303</v>
      </c>
      <c r="Q44" s="160" t="e">
        <f ca="1">SUMIF(E1:E39,"据实结算",Q1:Q38)/(Q41-Q39)</f>
        <v>#DIV/0!</v>
      </c>
      <c r="R44" s="161" t="s">
        <v>98</v>
      </c>
      <c r="S44" s="169"/>
      <c r="T44" s="169"/>
    </row>
    <row r="45" spans="1:22">
      <c r="K45" s="198"/>
      <c r="L45" s="104"/>
      <c r="M45" s="104"/>
      <c r="N45" s="104"/>
    </row>
  </sheetData>
  <sheetProtection formatCells="0" formatColumns="0" formatRows="0" insertRows="0" insertHyperlinks="0" deleteRows="0" autoFilter="0"/>
  <mergeCells count="8">
    <mergeCell ref="K42:N42"/>
    <mergeCell ref="K43:N43"/>
    <mergeCell ref="P40:R40"/>
    <mergeCell ref="P5:R5"/>
    <mergeCell ref="P9:R9"/>
    <mergeCell ref="P37:R37"/>
    <mergeCell ref="P29:R29"/>
    <mergeCell ref="P35:R35"/>
  </mergeCells>
  <phoneticPr fontId="8" type="noConversion"/>
  <conditionalFormatting sqref="A2:A30 A35:A37">
    <cfRule type="containsText" dxfId="3" priority="11" operator="containsText" text="填写">
      <formula>NOT(ISERROR(SEARCH("填写",A2)))</formula>
    </cfRule>
  </conditionalFormatting>
  <conditionalFormatting sqref="A31:A34">
    <cfRule type="containsText" dxfId="2" priority="1" operator="containsText" text="填写">
      <formula>NOT(ISERROR(SEARCH("填写",A31)))</formula>
    </cfRule>
  </conditionalFormatting>
  <conditionalFormatting sqref="A39:A40">
    <cfRule type="containsText" dxfId="1" priority="12" operator="containsText" text="填写">
      <formula>NOT(ISERROR(SEARCH("填写",A39)))</formula>
    </cfRule>
  </conditionalFormatting>
  <conditionalFormatting sqref="E39">
    <cfRule type="containsText" dxfId="0" priority="13" operator="containsText" text="填写">
      <formula>NOT(ISERROR(SEARCH("填写",E39)))</formula>
    </cfRule>
  </conditionalFormatting>
  <dataValidations count="7">
    <dataValidation type="list" allowBlank="1" showInputMessage="1" showErrorMessage="1" sqref="H41" xr:uid="{00000000-0002-0000-0100-000000000000}">
      <formula1>"是,否"</formula1>
    </dataValidation>
    <dataValidation type="list" allowBlank="1" showInputMessage="1" showErrorMessage="1" sqref="K41" xr:uid="{C24F6F68-857E-5647-839A-4F75562B89C0}">
      <formula1>"0%,1%,3%,6%,13%"</formula1>
    </dataValidation>
    <dataValidation type="list" allowBlank="1" showInputMessage="1" showErrorMessage="1" sqref="D41" xr:uid="{9D1B43E1-175E-4C49-8176-43558324F529}">
      <formula1>"CNY, USD, JPY , HKD"</formula1>
    </dataValidation>
    <dataValidation type="list" allowBlank="1" showInputMessage="1" showErrorMessage="1" sqref="S39 S31:S34 S2:S4 S7:S8 S11:S28" xr:uid="{D7CC39CF-95DC-A64C-A7F7-4CBF33920DCC}">
      <formula1>"0%,1%,3%,6%,9%"</formula1>
    </dataValidation>
    <dataValidation type="list" allowBlank="1" showInputMessage="1" showErrorMessage="1" sqref="A39 E2:E1048576" xr:uid="{E31F6826-CA0D-4785-A20D-8ABED6E0F88E}">
      <formula1>"框架内,框架外,据实结算"</formula1>
    </dataValidation>
    <dataValidation type="list" allowBlank="1" showInputMessage="1" showErrorMessage="1" sqref="A40:A1048576 A2:A38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F40 F37 F31:F34 F2:F4 F7:F8 F11:F28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3" activePane="bottomLeft" state="frozen"/>
      <selection activeCell="C23" sqref="C23:D23"/>
      <selection pane="bottomLeft" activeCell="D520" sqref="D520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2025-08-18T12:43:10Z</dcterms:modified>
</cp:coreProperties>
</file>