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25560" windowHeight="12200" activeTab="1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<sst xmlns="http://schemas.openxmlformats.org/spreadsheetml/2006/main" count="1311" uniqueCount="522">
  <si>
    <r>
      <rPr>
        <b/>
        <sz val="9"/>
        <color rgb="FF000000"/>
        <rFont val="微软雅黑"/>
        <charset val="134"/>
      </rPr>
      <t>报价注意事项</t>
    </r>
    <r>
      <rPr>
        <sz val="9"/>
        <color rgb="FF000000"/>
        <rFont val="微软雅黑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</si>
  <si>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</si>
  <si>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</si>
  <si>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</si>
  <si>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</si>
  <si>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</si>
  <si>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</si>
  <si>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</si>
  <si>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</si>
  <si>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</si>
  <si>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</si>
  <si>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</si>
  <si>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</si>
  <si>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</si>
  <si>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</si>
  <si>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</si>
  <si>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会议及场地</t>
  </si>
  <si>
    <t>模块5</t>
  </si>
  <si>
    <t>餐饮</t>
  </si>
  <si>
    <t>模块6</t>
  </si>
  <si>
    <t>保险</t>
  </si>
  <si>
    <t>模块7</t>
  </si>
  <si>
    <t>制作物料</t>
  </si>
  <si>
    <t>模块8</t>
  </si>
  <si>
    <t>工作人员及补助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</si>
  <si>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</si>
  <si>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</si>
  <si>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</si>
  <si>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</si>
  <si>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</si>
  <si>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</si>
  <si>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</si>
  <si>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</si>
  <si>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</si>
  <si>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联系方式</t>
  </si>
  <si>
    <t>项目名称</t>
  </si>
  <si>
    <t>2025 快手直播春季盛典</t>
  </si>
  <si>
    <t>采购联系人</t>
  </si>
  <si>
    <t>项目日期</t>
  </si>
  <si>
    <t>4月14-17日</t>
  </si>
  <si>
    <t>接待人数</t>
  </si>
  <si>
    <t>目的地</t>
  </si>
  <si>
    <t>三亚</t>
  </si>
  <si>
    <t>报价时间</t>
  </si>
  <si>
    <t>2025.3.6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</si>
  <si>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</si>
  <si>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</si>
  <si>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</si>
  <si>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</si>
  <si>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</si>
  <si>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</si>
  <si>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</si>
  <si>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</si>
  <si>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</si>
  <si>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</si>
  <si>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机票预估总采购金额</t>
  </si>
  <si>
    <t>经济舱（境内）</t>
  </si>
  <si>
    <t>人/次</t>
  </si>
  <si>
    <t>预估价格，以实际结算为准</t>
  </si>
  <si>
    <t>高铁预估总采购金额</t>
  </si>
  <si>
    <t>火车票</t>
  </si>
  <si>
    <t>自驾客户预估</t>
  </si>
  <si>
    <t>自驾</t>
  </si>
  <si>
    <t>单项小计:</t>
  </si>
  <si>
    <t>车辆等级</t>
  </si>
  <si>
    <t>市内交通</t>
  </si>
  <si>
    <t>单次使用（接送机）
（单次100KM内市区机场、高铁站等场景接送）</t>
  </si>
  <si>
    <t>7座普通商务车</t>
  </si>
  <si>
    <t>车*趟</t>
  </si>
  <si>
    <t>元</t>
  </si>
  <si>
    <t>按照130人，往返260趟来预计，以实际结算为准</t>
  </si>
  <si>
    <t>交通杂费</t>
  </si>
  <si>
    <t>其他</t>
  </si>
  <si>
    <t>pcs</t>
  </si>
  <si>
    <t>实报实销、机场VIP通道费用、交通杂费等</t>
  </si>
  <si>
    <t>费用合计</t>
  </si>
  <si>
    <t>房间类型</t>
  </si>
  <si>
    <t>三亚亚特兰蒂斯酒店</t>
  </si>
  <si>
    <t>高级大床</t>
  </si>
  <si>
    <t>间</t>
  </si>
  <si>
    <t>晚</t>
  </si>
  <si>
    <t>4月14日-17日，4天3晚，海景大床房</t>
  </si>
  <si>
    <t>豪华大床</t>
  </si>
  <si>
    <t>4月15日-17日，3天2晚，海景大床房</t>
  </si>
  <si>
    <t>需求类型</t>
  </si>
  <si>
    <t>会议及场地
（含场地）</t>
  </si>
  <si>
    <t>红毯场地 方案一 亚特兰蒂斯宴会厅 1 面积900平</t>
  </si>
  <si>
    <t>全天搭建</t>
  </si>
  <si>
    <t>4月13日-15日，此项为参考报价，不计入总价</t>
  </si>
  <si>
    <t>全天场租</t>
  </si>
  <si>
    <t>4月16日，此项为参考报价，不计入总价</t>
  </si>
  <si>
    <t>红毯场地 方案二 大使环礁湖</t>
  </si>
  <si>
    <t>4月15日-16日，此项为参考报价，不计入总价</t>
  </si>
  <si>
    <t>晚会&amp;颁奖场地 海边大草坪</t>
  </si>
  <si>
    <t>彩排期商务餐</t>
  </si>
  <si>
    <t>4月14日商务餐，午餐50人，晚餐50人</t>
  </si>
  <si>
    <t>4月15日商务餐，午餐130人，晚餐130人</t>
  </si>
  <si>
    <t>自助午餐</t>
  </si>
  <si>
    <t>4月16日自助午餐</t>
  </si>
  <si>
    <t>自助晚餐</t>
  </si>
  <si>
    <t>4月16日自助晚餐</t>
  </si>
  <si>
    <t>参会人员保险</t>
  </si>
  <si>
    <t>最高保额50万</t>
  </si>
  <si>
    <t>KT板</t>
  </si>
  <si>
    <t>物料</t>
  </si>
  <si>
    <t>m2</t>
  </si>
  <si>
    <t>接机引领牌、手举牌</t>
  </si>
  <si>
    <t>车头牌</t>
  </si>
  <si>
    <t>A3塑封</t>
  </si>
  <si>
    <t>车上用品</t>
  </si>
  <si>
    <t>套</t>
  </si>
  <si>
    <t>充电宝</t>
  </si>
  <si>
    <t>欢迎鲜花</t>
  </si>
  <si>
    <t>束</t>
  </si>
  <si>
    <t>房间物料集合</t>
  </si>
  <si>
    <t>房间欢迎水果</t>
  </si>
  <si>
    <t>定制欢迎卡</t>
  </si>
  <si>
    <t>定制餐券</t>
  </si>
  <si>
    <t>定制房卡套</t>
  </si>
  <si>
    <t>定制工作服</t>
  </si>
  <si>
    <t>件</t>
  </si>
  <si>
    <t>平面设计费</t>
  </si>
  <si>
    <t>次</t>
  </si>
  <si>
    <t>3D设计费</t>
  </si>
  <si>
    <t>指引牌</t>
  </si>
  <si>
    <t>铝合金倒T</t>
  </si>
  <si>
    <t>道旗</t>
  </si>
  <si>
    <t>木桩+铁杆</t>
  </si>
  <si>
    <t>发光字</t>
  </si>
  <si>
    <t>延米</t>
  </si>
  <si>
    <t>logo</t>
  </si>
  <si>
    <t>木质搭建</t>
  </si>
  <si>
    <t>酒店外场</t>
  </si>
  <si>
    <t>酒店内场</t>
  </si>
  <si>
    <t>应急物料集合</t>
  </si>
  <si>
    <t>个</t>
  </si>
  <si>
    <t>签到区氛围区布置</t>
  </si>
  <si>
    <t>打样费用</t>
  </si>
  <si>
    <t>实报实销</t>
  </si>
  <si>
    <t>运输及快递费用预估</t>
  </si>
  <si>
    <t>工作人员</t>
  </si>
  <si>
    <t>活动现场前期运营</t>
  </si>
  <si>
    <t>工作时长8小时、供应商自有人员</t>
  </si>
  <si>
    <t>中台核心工作组</t>
  </si>
  <si>
    <t>活动现场执行人员</t>
  </si>
  <si>
    <t>酒店工作人员-指引/签到</t>
  </si>
  <si>
    <t>第三方统筹</t>
  </si>
  <si>
    <t>工作时长8小时、第三方外包人员</t>
  </si>
  <si>
    <t>机场工作人员-接机</t>
  </si>
  <si>
    <t>高铁站工作人员-接站</t>
  </si>
  <si>
    <t>机场工作人员-摄影</t>
  </si>
  <si>
    <t>高铁站工作人员-摄影</t>
  </si>
  <si>
    <t>高铁站工作人员-礼仪</t>
  </si>
  <si>
    <t>机场工作人员-礼仪</t>
  </si>
  <si>
    <t>活动区非遗老师</t>
  </si>
  <si>
    <t>人员补助</t>
  </si>
  <si>
    <t>餐补</t>
  </si>
  <si>
    <t>小交通补助</t>
  </si>
  <si>
    <t>住宿补助</t>
  </si>
  <si>
    <t>大交通补助</t>
  </si>
  <si>
    <t>超时费</t>
  </si>
  <si>
    <t>人/小时</t>
  </si>
  <si>
    <t>备用金</t>
  </si>
  <si>
    <t>H5短信平台使用：出票信息、出行提醒、活动提醒等</t>
  </si>
  <si>
    <t>快递费</t>
  </si>
  <si>
    <t>酒店内破损</t>
  </si>
  <si>
    <t>其他不可预见</t>
  </si>
  <si>
    <t>合计（货币单位）</t>
  </si>
  <si>
    <t>服务费（人民币：元）</t>
  </si>
  <si>
    <t>增值税专用发票税6%（人民币：元）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</si>
  <si>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</si>
  <si>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</si>
  <si>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</si>
  <si>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</si>
  <si>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</si>
  <si>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</si>
  <si>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</si>
  <si>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</si>
  <si>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</si>
  <si>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同程人员</t>
  </si>
  <si>
    <t>第三方人员</t>
  </si>
  <si>
    <t>物料制作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</si>
  <si>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</si>
  <si>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</si>
  <si>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</si>
  <si>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</si>
  <si>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</si>
  <si>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</si>
  <si>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</si>
  <si>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</si>
  <si>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</si>
  <si>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</si>
  <si>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</si>
  <si>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4座普通小车</t>
  </si>
  <si>
    <t>车*次</t>
  </si>
  <si>
    <t>4座豪华小车</t>
  </si>
  <si>
    <t>车次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</si>
  <si>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</si>
  <si>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</si>
  <si>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</si>
  <si>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</si>
  <si>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</si>
  <si>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</si>
  <si>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</si>
  <si>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</si>
  <si>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</si>
  <si>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</si>
  <si>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</si>
  <si>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车次*天</t>
  </si>
  <si>
    <t>其他车辆费用</t>
  </si>
  <si>
    <t>车辆超时费</t>
  </si>
  <si>
    <t>VIP管家</t>
  </si>
  <si>
    <t>机场工作人员-安保</t>
  </si>
  <si>
    <t>机场工作人员-其他</t>
  </si>
  <si>
    <t>高铁站工作人员-安保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</si>
  <si>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</si>
  <si>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</si>
  <si>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</si>
  <si>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</si>
  <si>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</si>
  <si>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</si>
  <si>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差旅补助</t>
  </si>
  <si>
    <t>交通补助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</si>
  <si>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</si>
  <si>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</si>
  <si>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</si>
  <si>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</si>
  <si>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</si>
  <si>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</si>
  <si>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</si>
  <si>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</si>
  <si>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</si>
  <si>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</si>
  <si>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</si>
  <si>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</si>
  <si>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</si>
  <si>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</si>
  <si>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</si>
  <si>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</si>
  <si>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</si>
  <si>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</si>
  <si>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</si>
  <si>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</si>
  <si>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</si>
  <si>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</si>
  <si>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</si>
  <si>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</si>
  <si>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</si>
  <si>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</si>
  <si>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</si>
  <si>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</si>
  <si>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</si>
  <si>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</si>
  <si>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会场发光手举牌</t>
  </si>
  <si>
    <t>物料打样费用预估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</si>
  <si>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</si>
  <si>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</si>
  <si>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</si>
  <si>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</si>
  <si>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</si>
  <si>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</si>
  <si>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</si>
  <si>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</si>
  <si>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</si>
  <si>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总计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</si>
  <si>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</si>
  <si>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</si>
  <si>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</si>
  <si>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</si>
  <si>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</si>
  <si>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</si>
  <si>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发光KT板</t>
  </si>
  <si>
    <t>防疫物品</t>
  </si>
  <si>
    <t>磁吸车贴</t>
  </si>
  <si>
    <t>花束（非节假日）</t>
  </si>
  <si>
    <t>花束（节假日）</t>
  </si>
  <si>
    <t>鲜花（单只）</t>
  </si>
  <si>
    <t>只</t>
  </si>
  <si>
    <t>水牌</t>
  </si>
  <si>
    <t>客房欢迎礼物</t>
  </si>
  <si>
    <t>瓶</t>
  </si>
  <si>
    <t>亚克力字</t>
  </si>
  <si>
    <t>亚克力板</t>
  </si>
  <si>
    <t>签到桌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</si>
  <si>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</si>
  <si>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</si>
  <si>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</si>
  <si>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</si>
  <si>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</si>
  <si>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</si>
  <si>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</si>
  <si>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</si>
  <si>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</si>
  <si>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</si>
  <si>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</si>
  <si>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</si>
  <si>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</si>
  <si>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</si>
  <si>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</si>
  <si>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</si>
  <si>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</si>
  <si>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</si>
  <si>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</si>
  <si>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</si>
  <si>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</si>
  <si>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</si>
  <si>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</si>
  <si>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</si>
  <si>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</si>
  <si>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</si>
  <si>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</si>
  <si>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</si>
  <si>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</si>
  <si>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</si>
  <si>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</si>
  <si>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</si>
  <si>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</si>
  <si>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</si>
  <si>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</si>
  <si>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</si>
  <si>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</si>
  <si>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</si>
  <si>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</si>
  <si>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</si>
  <si>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</si>
  <si>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</si>
  <si>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</si>
  <si>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</si>
  <si>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</si>
  <si>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</si>
  <si>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</si>
  <si>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</si>
  <si>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</si>
  <si>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</si>
  <si>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</si>
  <si>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</si>
  <si>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</si>
  <si>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</si>
  <si>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</si>
  <si>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</si>
  <si>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</si>
  <si>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</si>
  <si>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</si>
  <si>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</si>
  <si>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</si>
  <si>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</si>
  <si>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</si>
  <si>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</si>
  <si>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</si>
  <si>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</si>
  <si>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</si>
  <si>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</si>
  <si>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</si>
  <si>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</si>
  <si>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</si>
  <si>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</si>
  <si>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</si>
  <si>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</si>
  <si>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</si>
  <si>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</si>
  <si>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</si>
  <si>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</si>
  <si>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</si>
  <si>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</si>
  <si>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</si>
  <si>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</si>
  <si>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</si>
  <si>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</si>
  <si>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</si>
  <si>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</si>
  <si>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</si>
  <si>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</si>
  <si>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</si>
  <si>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</si>
  <si>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</si>
  <si>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</si>
  <si>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</si>
  <si>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</si>
  <si>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</si>
  <si>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</si>
  <si>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</si>
  <si>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</si>
  <si>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</si>
  <si>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</si>
  <si>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</si>
  <si>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</si>
  <si>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</si>
  <si>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</si>
  <si>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</si>
  <si>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</si>
  <si>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</si>
  <si>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</si>
  <si>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</si>
  <si>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</si>
  <si>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</si>
  <si>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</si>
  <si>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</si>
  <si>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</si>
  <si>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</si>
  <si>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</si>
  <si>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</si>
  <si>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</si>
  <si>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</si>
  <si>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</si>
  <si>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</si>
  <si>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</si>
  <si>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</si>
  <si>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</si>
  <si>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</si>
  <si>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</si>
  <si>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</si>
  <si>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</si>
  <si>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</si>
  <si>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</si>
  <si>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</si>
  <si>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</si>
  <si>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</si>
  <si>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</si>
  <si>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</si>
  <si>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</si>
  <si>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</si>
  <si>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</si>
  <si>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</si>
  <si>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</si>
  <si>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</si>
  <si>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</si>
  <si>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</si>
  <si>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</si>
  <si>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</si>
  <si>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</si>
  <si>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</si>
  <si>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</si>
  <si>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</si>
  <si>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</si>
  <si>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</si>
  <si>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</si>
  <si>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</si>
  <si>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</si>
  <si>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</si>
  <si>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</si>
  <si>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</si>
  <si>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</si>
  <si>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</si>
  <si>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</si>
  <si>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</si>
  <si>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</si>
  <si>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</si>
  <si>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</si>
  <si>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</si>
  <si>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</si>
  <si>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</si>
  <si>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</si>
  <si>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</si>
  <si>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</si>
  <si>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</si>
  <si>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</si>
  <si>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</si>
  <si>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</si>
  <si>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</si>
  <si>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</si>
  <si>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</si>
  <si>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</si>
  <si>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</si>
  <si>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</si>
  <si>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</si>
  <si>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</si>
  <si>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</si>
  <si>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</si>
  <si>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</si>
  <si>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</si>
  <si>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</si>
  <si>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</si>
  <si>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</si>
  <si>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</si>
  <si>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</si>
  <si>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</si>
  <si>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</si>
  <si>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</si>
  <si>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</si>
  <si>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</si>
  <si>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</si>
  <si>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</si>
  <si>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</si>
  <si>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</si>
  <si>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</si>
  <si>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</si>
  <si>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北京</t>
  </si>
  <si>
    <t>王璐露</t>
  </si>
  <si>
    <t>频次</t>
  </si>
  <si>
    <t>青岛-北京</t>
  </si>
  <si>
    <t>人</t>
  </si>
  <si>
    <t>单程</t>
  </si>
  <si>
    <t>重庆-北京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</si>
  <si>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</si>
  <si>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</si>
  <si>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</si>
  <si>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</si>
  <si>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</si>
  <si>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</si>
  <si>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</si>
  <si>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</si>
  <si>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</si>
  <si>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</si>
  <si>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</si>
  <si>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</si>
  <si>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首钢香格里拉酒店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</si>
  <si>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</si>
  <si>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</si>
  <si>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</si>
  <si>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</si>
  <si>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</si>
  <si>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</si>
  <si>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</si>
  <si>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</si>
  <si>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</si>
  <si>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茶歇</t>
  </si>
  <si>
    <t>接机牌</t>
  </si>
  <si>
    <t>赠送</t>
  </si>
  <si>
    <t>活动现场工作人员</t>
  </si>
  <si>
    <t>工作时长8小时</t>
  </si>
  <si>
    <t>餐费</t>
  </si>
  <si>
    <t>服务费4%（人民币：元）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</si>
</sst>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81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b/>
      <sz val="9"/>
      <color rgb="FF0C0C0C"/>
      <name val="微软雅黑"/>
      <charset val="134"/>
    </font>
    <font>
      <sz val="9"/>
      <color rgb="FFFF0000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b/>
      <sz val="10"/>
      <color rgb="FF3F3F3F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0"/>
      <color rgb="FF800080"/>
      <name val="Arial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9"/>
      <color rgb="FF000000"/>
      <name val="微软雅黑"/>
      <charset val="134"/>
    </font>
    <font>
      <b/>
      <sz val="9"/>
      <color theme="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Times New Roman"/>
      <charset val="134"/>
    </font>
    <font>
      <sz val="10"/>
      <color indexed="12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2" fontId="5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center"/>
    </xf>
    <xf numFmtId="0" fontId="59" fillId="18" borderId="35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36" applyNumberFormat="0" applyFill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19" borderId="38" applyNumberFormat="0" applyAlignment="0" applyProtection="0">
      <alignment vertical="center"/>
    </xf>
    <xf numFmtId="0" fontId="69" fillId="20" borderId="39" applyNumberFormat="0" applyAlignment="0" applyProtection="0">
      <alignment vertical="center"/>
    </xf>
    <xf numFmtId="0" fontId="70" fillId="20" borderId="38" applyNumberFormat="0" applyAlignment="0" applyProtection="0">
      <alignment vertical="center"/>
    </xf>
    <xf numFmtId="0" fontId="71" fillId="21" borderId="40" applyNumberFormat="0" applyAlignment="0" applyProtection="0">
      <alignment vertical="center"/>
    </xf>
    <xf numFmtId="0" fontId="72" fillId="0" borderId="41" applyNumberFormat="0" applyFill="0" applyAlignment="0" applyProtection="0">
      <alignment vertical="center"/>
    </xf>
    <xf numFmtId="0" fontId="73" fillId="0" borderId="42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7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8" fillId="38" borderId="0" applyNumberFormat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7" fillId="40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42" borderId="0" applyNumberFormat="0" applyBorder="0" applyAlignment="0" applyProtection="0">
      <alignment vertical="center"/>
    </xf>
    <xf numFmtId="0" fontId="78" fillId="43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178" fontId="47" fillId="0" borderId="0" applyFont="0" applyFill="0" applyBorder="0" applyAlignment="0" applyProtection="0"/>
    <xf numFmtId="0" fontId="47" fillId="0" borderId="0"/>
  </cellStyleXfs>
  <cellXfs count="30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14" fontId="3" fillId="0" borderId="2" xfId="6" applyNumberFormat="1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9" fontId="6" fillId="0" borderId="9" xfId="1" applyNumberFormat="1" applyFont="1" applyFill="1" applyBorder="1" applyAlignment="1">
      <alignment horizontal="center" vertical="center"/>
    </xf>
    <xf numFmtId="179" fontId="6" fillId="0" borderId="4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3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179" fontId="6" fillId="0" borderId="14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9" fontId="6" fillId="0" borderId="3" xfId="1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0" fontId="5" fillId="3" borderId="4" xfId="1" applyNumberFormat="1" applyFont="1" applyFill="1" applyBorder="1" applyAlignment="1">
      <alignment horizontal="center" vertical="center"/>
    </xf>
    <xf numFmtId="181" fontId="5" fillId="3" borderId="4" xfId="1" applyNumberFormat="1" applyFont="1" applyFill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179" fontId="6" fillId="0" borderId="14" xfId="1" applyNumberFormat="1" applyFont="1" applyBorder="1" applyAlignment="1">
      <alignment horizontal="center" vertical="center" wrapText="1"/>
    </xf>
    <xf numFmtId="181" fontId="6" fillId="0" borderId="14" xfId="1" applyNumberFormat="1" applyFont="1" applyBorder="1" applyAlignment="1">
      <alignment horizontal="right" vertical="center"/>
    </xf>
    <xf numFmtId="181" fontId="6" fillId="0" borderId="14" xfId="1" applyNumberFormat="1" applyFont="1" applyFill="1" applyBorder="1" applyAlignment="1">
      <alignment horizontal="right" vertical="center"/>
    </xf>
    <xf numFmtId="181" fontId="6" fillId="0" borderId="4" xfId="1" applyNumberFormat="1" applyFont="1" applyFill="1" applyBorder="1" applyAlignment="1">
      <alignment horizontal="right" vertical="center"/>
    </xf>
    <xf numFmtId="38" fontId="6" fillId="0" borderId="4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181" fontId="6" fillId="0" borderId="4" xfId="1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center" wrapText="1"/>
    </xf>
    <xf numFmtId="180" fontId="5" fillId="3" borderId="4" xfId="1" applyNumberFormat="1" applyFont="1" applyFill="1" applyBorder="1" applyAlignment="1">
      <alignment horizontal="right" vertical="center"/>
    </xf>
    <xf numFmtId="181" fontId="5" fillId="3" borderId="4" xfId="1" applyNumberFormat="1" applyFont="1" applyFill="1" applyBorder="1" applyAlignment="1">
      <alignment vertical="center"/>
    </xf>
    <xf numFmtId="179" fontId="5" fillId="3" borderId="17" xfId="1" applyNumberFormat="1" applyFont="1" applyFill="1" applyBorder="1" applyAlignment="1">
      <alignment horizontal="center" vertical="center"/>
    </xf>
    <xf numFmtId="40" fontId="6" fillId="0" borderId="14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5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4" fillId="2" borderId="5" xfId="0" applyFont="1" applyFill="1" applyBorder="1" applyAlignment="1">
      <alignment horizontal="right" vertical="center"/>
    </xf>
    <xf numFmtId="181" fontId="4" fillId="2" borderId="4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4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181" fontId="7" fillId="0" borderId="4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0" fontId="24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5" fillId="5" borderId="0" xfId="50" applyFont="1" applyFill="1" applyAlignment="1">
      <alignment horizontal="center" vertical="center" wrapText="1"/>
    </xf>
    <xf numFmtId="0" fontId="25" fillId="5" borderId="0" xfId="50" applyFont="1" applyFill="1" applyAlignment="1">
      <alignment vertical="center" wrapText="1"/>
    </xf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0" fontId="22" fillId="8" borderId="0" xfId="50" applyFont="1" applyFill="1" applyAlignment="1">
      <alignment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5" fillId="0" borderId="0" xfId="50" applyFont="1" applyAlignment="1">
      <alignment horizontal="lef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182" fontId="25" fillId="5" borderId="0" xfId="50" applyNumberFormat="1" applyFont="1" applyFill="1" applyAlignment="1">
      <alignment horizontal="center" vertical="center" wrapText="1"/>
    </xf>
    <xf numFmtId="183" fontId="25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0" fontId="31" fillId="0" borderId="0" xfId="50" applyFont="1" applyAlignment="1">
      <alignment horizontal="center" vertical="center" wrapText="1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183" fontId="32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183" fontId="32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1" fillId="0" borderId="0" xfId="50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0" fontId="42" fillId="0" borderId="0" xfId="50" applyFont="1" applyAlignment="1">
      <alignment horizontal="left" vertical="center" wrapText="1"/>
    </xf>
    <xf numFmtId="0" fontId="38" fillId="8" borderId="0" xfId="50" applyFont="1" applyFill="1" applyAlignment="1">
      <alignment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3" fillId="0" borderId="0" xfId="50" applyFont="1" applyAlignment="1">
      <alignment horizontal="left" vertical="center" wrapText="1"/>
    </xf>
    <xf numFmtId="0" fontId="44" fillId="0" borderId="0" xfId="50" applyFont="1" applyAlignment="1">
      <alignment horizontal="lef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182" fontId="41" fillId="0" borderId="0" xfId="50" applyNumberFormat="1" applyFont="1" applyAlignment="1">
      <alignment horizontal="center" vertical="center" wrapText="1"/>
    </xf>
    <xf numFmtId="183" fontId="41" fillId="0" borderId="0" xfId="50" applyNumberFormat="1" applyFont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7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183" fontId="48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5" fillId="0" borderId="0" xfId="50" applyFont="1" applyAlignment="1">
      <alignment horizontal="center" vertical="center"/>
    </xf>
    <xf numFmtId="183" fontId="48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4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 wrapText="1"/>
    </xf>
    <xf numFmtId="0" fontId="1" fillId="0" borderId="24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" fillId="0" borderId="4" xfId="50" applyFont="1" applyBorder="1" applyAlignment="1">
      <alignment horizontal="left" vertical="center" wrapText="1"/>
    </xf>
    <xf numFmtId="0" fontId="5" fillId="15" borderId="24" xfId="1" applyNumberFormat="1" applyFont="1" applyFill="1" applyBorder="1" applyAlignment="1">
      <alignment horizontal="center" vertical="center"/>
    </xf>
    <xf numFmtId="0" fontId="1" fillId="0" borderId="4" xfId="5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5" xfId="1" applyNumberFormat="1" applyFont="1" applyFill="1" applyBorder="1" applyAlignment="1">
      <alignment horizontal="center" vertical="center"/>
    </xf>
    <xf numFmtId="0" fontId="5" fillId="15" borderId="2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0" fontId="5" fillId="15" borderId="5" xfId="1" applyNumberFormat="1" applyFont="1" applyFill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 wrapText="1"/>
    </xf>
    <xf numFmtId="10" fontId="51" fillId="5" borderId="4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10" fontId="52" fillId="0" borderId="4" xfId="0" applyNumberFormat="1" applyFont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 wrapText="1"/>
    </xf>
    <xf numFmtId="10" fontId="51" fillId="3" borderId="4" xfId="0" applyNumberFormat="1" applyFont="1" applyFill="1" applyBorder="1" applyAlignment="1">
      <alignment horizontal="center"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4" xfId="0" applyFont="1" applyFill="1" applyBorder="1" applyAlignment="1">
      <alignment horizontal="center" vertical="center"/>
    </xf>
    <xf numFmtId="0" fontId="52" fillId="0" borderId="4" xfId="0" applyFont="1" applyBorder="1">
      <alignment vertical="center"/>
    </xf>
    <xf numFmtId="0" fontId="52" fillId="0" borderId="0" xfId="0" applyFont="1">
      <alignment vertical="center"/>
    </xf>
    <xf numFmtId="10" fontId="52" fillId="5" borderId="4" xfId="0" applyNumberFormat="1" applyFont="1" applyFill="1" applyBorder="1" applyAlignment="1">
      <alignment horizontal="center" vertical="center"/>
    </xf>
    <xf numFmtId="10" fontId="52" fillId="3" borderId="4" xfId="0" applyNumberFormat="1" applyFont="1" applyFill="1" applyBorder="1" applyAlignment="1">
      <alignment horizontal="center" vertical="center"/>
    </xf>
    <xf numFmtId="10" fontId="52" fillId="15" borderId="4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14" fontId="53" fillId="0" borderId="2" xfId="6" applyNumberFormat="1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80" fontId="1" fillId="0" borderId="4" xfId="1" applyNumberFormat="1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179" fontId="6" fillId="0" borderId="2" xfId="1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81" fontId="5" fillId="3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181" fontId="6" fillId="0" borderId="4" xfId="1" applyNumberFormat="1" applyFont="1" applyFill="1" applyBorder="1" applyAlignment="1">
      <alignment vertical="center"/>
    </xf>
    <xf numFmtId="181" fontId="1" fillId="0" borderId="4" xfId="1" applyNumberFormat="1" applyFont="1" applyFill="1" applyBorder="1" applyAlignment="1">
      <alignment vertical="center"/>
    </xf>
    <xf numFmtId="179" fontId="6" fillId="0" borderId="5" xfId="1" applyNumberFormat="1" applyFont="1" applyFill="1" applyBorder="1" applyAlignment="1">
      <alignment horizontal="center" vertical="center"/>
    </xf>
    <xf numFmtId="0" fontId="6" fillId="0" borderId="4" xfId="1" applyNumberFormat="1" applyFont="1" applyBorder="1" applyAlignment="1">
      <alignment horizontal="right" vertical="center"/>
    </xf>
    <xf numFmtId="0" fontId="31" fillId="0" borderId="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181" fontId="5" fillId="3" borderId="5" xfId="1" applyNumberFormat="1" applyFont="1" applyFill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179" fontId="54" fillId="0" borderId="17" xfId="1" applyNumberFormat="1" applyFont="1" applyFill="1" applyBorder="1" applyAlignment="1">
      <alignment horizontal="center" vertical="center" wrapText="1"/>
    </xf>
    <xf numFmtId="179" fontId="13" fillId="0" borderId="17" xfId="1" applyNumberFormat="1" applyFont="1" applyFill="1" applyBorder="1" applyAlignment="1">
      <alignment horizontal="center" vertical="center" wrapText="1"/>
    </xf>
    <xf numFmtId="179" fontId="14" fillId="0" borderId="17" xfId="1" applyNumberFormat="1" applyFont="1" applyFill="1" applyBorder="1" applyAlignment="1">
      <alignment horizontal="center" vertical="center" wrapText="1"/>
    </xf>
    <xf numFmtId="181" fontId="7" fillId="4" borderId="2" xfId="49" applyNumberFormat="1" applyFont="1" applyFill="1" applyBorder="1" applyAlignment="1">
      <alignment horizontal="center" vertical="center"/>
    </xf>
    <xf numFmtId="179" fontId="14" fillId="4" borderId="17" xfId="1" applyNumberFormat="1" applyFont="1" applyFill="1" applyBorder="1" applyAlignment="1">
      <alignment horizontal="center" vertical="center" wrapText="1"/>
    </xf>
    <xf numFmtId="181" fontId="6" fillId="0" borderId="4" xfId="1" applyNumberFormat="1" applyFont="1" applyBorder="1" applyAlignment="1">
      <alignment horizontal="right" vertical="center"/>
    </xf>
    <xf numFmtId="179" fontId="1" fillId="15" borderId="17" xfId="1" applyNumberFormat="1" applyFont="1" applyFill="1" applyBorder="1" applyAlignment="1">
      <alignment horizontal="center" vertical="center" wrapText="1"/>
    </xf>
    <xf numFmtId="179" fontId="1" fillId="0" borderId="17" xfId="1" applyNumberFormat="1" applyFont="1" applyFill="1" applyBorder="1" applyAlignment="1">
      <alignment horizontal="center" vertical="center" wrapText="1"/>
    </xf>
    <xf numFmtId="40" fontId="6" fillId="0" borderId="4" xfId="1" applyNumberFormat="1" applyFont="1" applyBorder="1" applyAlignment="1">
      <alignment horizontal="right" vertical="center"/>
    </xf>
    <xf numFmtId="58" fontId="1" fillId="0" borderId="19" xfId="1" applyNumberFormat="1" applyFont="1" applyFill="1" applyBorder="1" applyAlignment="1">
      <alignment horizontal="center" vertical="center" wrapText="1"/>
    </xf>
    <xf numFmtId="58" fontId="13" fillId="0" borderId="17" xfId="1" applyNumberFormat="1" applyFont="1" applyFill="1" applyBorder="1" applyAlignment="1">
      <alignment horizontal="center" vertical="center" wrapText="1"/>
    </xf>
    <xf numFmtId="181" fontId="1" fillId="0" borderId="4" xfId="1" applyNumberFormat="1" applyFont="1" applyFill="1" applyBorder="1" applyAlignment="1">
      <alignment horizontal="right" vertical="center"/>
    </xf>
    <xf numFmtId="181" fontId="6" fillId="0" borderId="7" xfId="1" applyNumberFormat="1" applyFont="1" applyBorder="1" applyAlignment="1">
      <alignment vertical="center"/>
    </xf>
    <xf numFmtId="179" fontId="13" fillId="15" borderId="17" xfId="1" applyNumberFormat="1" applyFont="1" applyFill="1" applyBorder="1" applyAlignment="1">
      <alignment horizontal="center" vertical="center" wrapText="1"/>
    </xf>
    <xf numFmtId="40" fontId="6" fillId="0" borderId="14" xfId="1" applyNumberFormat="1" applyFont="1" applyFill="1" applyBorder="1" applyAlignment="1">
      <alignment horizontal="right" vertical="center"/>
    </xf>
    <xf numFmtId="181" fontId="6" fillId="0" borderId="7" xfId="1" applyNumberFormat="1" applyFont="1" applyFill="1" applyBorder="1" applyAlignment="1">
      <alignment vertical="center"/>
    </xf>
    <xf numFmtId="0" fontId="27" fillId="15" borderId="6" xfId="0" applyFont="1" applyFill="1" applyBorder="1" applyAlignment="1">
      <alignment horizontal="center" vertical="center"/>
    </xf>
    <xf numFmtId="0" fontId="27" fillId="15" borderId="4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181" fontId="1" fillId="0" borderId="4" xfId="1" applyNumberFormat="1" applyFont="1" applyBorder="1" applyAlignment="1">
      <alignment vertical="center"/>
    </xf>
    <xf numFmtId="180" fontId="16" fillId="2" borderId="17" xfId="49" applyNumberFormat="1" applyFont="1" applyFill="1" applyBorder="1" applyAlignment="1">
      <alignment horizontal="center" vertical="center" wrapText="1"/>
    </xf>
    <xf numFmtId="9" fontId="55" fillId="5" borderId="4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11" fillId="15" borderId="21" xfId="0" applyFont="1" applyFill="1" applyBorder="1" applyAlignment="1">
      <alignment horizontal="center" vertical="center"/>
    </xf>
    <xf numFmtId="181" fontId="11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0" fontId="56" fillId="0" borderId="4" xfId="0" applyFont="1" applyBorder="1" applyAlignment="1">
      <alignment horizontal="left" vertical="center" wrapText="1"/>
    </xf>
    <xf numFmtId="177" fontId="57" fillId="16" borderId="4" xfId="2" applyFont="1" applyFill="1" applyBorder="1" applyAlignment="1" applyProtection="1">
      <alignment horizontal="center" vertical="center" wrapText="1"/>
    </xf>
    <xf numFmtId="177" fontId="57" fillId="16" borderId="4" xfId="2" applyFont="1" applyFill="1" applyBorder="1" applyAlignment="1" applyProtection="1">
      <alignment horizontal="center" vertical="center" wrapText="1"/>
      <protection locked="0"/>
    </xf>
    <xf numFmtId="0" fontId="56" fillId="0" borderId="4" xfId="0" applyFont="1" applyBorder="1" applyAlignment="1">
      <alignment horizontal="center" vertical="center"/>
    </xf>
    <xf numFmtId="176" fontId="56" fillId="0" borderId="4" xfId="1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56" fillId="17" borderId="4" xfId="0" applyFont="1" applyFill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176" fontId="58" fillId="0" borderId="4" xfId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gshuangshuang/Library/Containers/com.tencent.xinWeChat/Data/Library/Application%20Support/com.tencent.xinWeChat/2.0b4.0.9/5ebbdbd8cb1fc5a8d78e1e3deb1785ec/Message/MessageTemp/06517e975932d1073c2e184b1a00b664/File//Users/fhx823/Desktop/100W&#39033;&#30446;&#25253;&#20215;&#21333;/&#24180;&#24230;&#30427;&#20856;-&#32858;&#20809;&#30427;&#20856;/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zoomScale="110" zoomScaleNormal="110" workbookViewId="0">
      <selection activeCell="C17" sqref="C17"/>
    </sheetView>
  </sheetViews>
  <sheetFormatPr defaultColWidth="10.9333333333333" defaultRowHeight="17.6" outlineLevelCol="6"/>
  <cols>
    <col min="1" max="1" width="43.2" customWidth="1"/>
    <col min="2" max="2" width="15.4" customWidth="1"/>
    <col min="7" max="7" width="12.2"/>
  </cols>
  <sheetData>
    <row r="1" ht="96" customHeight="1" spans="1:1">
      <c r="A1" s="298" t="s">
        <v>0</v>
      </c>
    </row>
    <row r="2" spans="1:1">
      <c r="A2" s="161"/>
    </row>
    <row r="3" spans="1:7">
      <c r="A3" s="299" t="s">
        <v>1</v>
      </c>
      <c r="B3" s="299" t="s">
        <v>2</v>
      </c>
      <c r="C3" s="300" t="s">
        <v>3</v>
      </c>
      <c r="D3" s="300" t="s">
        <v>4</v>
      </c>
      <c r="E3" s="300" t="s">
        <v>5</v>
      </c>
      <c r="F3" s="300" t="s">
        <v>6</v>
      </c>
      <c r="G3" s="299" t="s">
        <v>7</v>
      </c>
    </row>
    <row r="4" spans="1:7">
      <c r="A4" s="301" t="s">
        <v>8</v>
      </c>
      <c r="B4" s="301" t="s">
        <v>9</v>
      </c>
      <c r="C4" s="301" t="s">
        <v>10</v>
      </c>
      <c r="D4" s="302">
        <f>报价单拟制!J10</f>
        <v>285000</v>
      </c>
      <c r="E4" s="304">
        <v>1</v>
      </c>
      <c r="F4" s="302">
        <f>E4*D4</f>
        <v>285000</v>
      </c>
      <c r="G4" s="301"/>
    </row>
    <row r="5" spans="1:7">
      <c r="A5" s="301" t="s">
        <v>11</v>
      </c>
      <c r="B5" s="301" t="s">
        <v>12</v>
      </c>
      <c r="C5" s="301" t="s">
        <v>10</v>
      </c>
      <c r="D5" s="302">
        <f>报价单拟制!J14</f>
        <v>148500</v>
      </c>
      <c r="E5" s="304">
        <v>1</v>
      </c>
      <c r="F5" s="302">
        <f>E5*D5</f>
        <v>148500</v>
      </c>
      <c r="G5" s="301"/>
    </row>
    <row r="6" spans="1:7">
      <c r="A6" s="301" t="s">
        <v>13</v>
      </c>
      <c r="B6" s="301" t="s">
        <v>14</v>
      </c>
      <c r="C6" s="301" t="s">
        <v>10</v>
      </c>
      <c r="D6" s="302">
        <f>报价单拟制!J18</f>
        <v>403000</v>
      </c>
      <c r="E6" s="304">
        <v>1</v>
      </c>
      <c r="F6" s="302">
        <f>E6*D6</f>
        <v>403000</v>
      </c>
      <c r="G6" s="301"/>
    </row>
    <row r="7" spans="1:7">
      <c r="A7" s="301" t="s">
        <v>15</v>
      </c>
      <c r="B7" s="301" t="s">
        <v>16</v>
      </c>
      <c r="C7" s="301" t="s">
        <v>10</v>
      </c>
      <c r="D7" s="302">
        <f>报价单拟制!J25</f>
        <v>0</v>
      </c>
      <c r="E7" s="304">
        <v>1</v>
      </c>
      <c r="F7" s="302">
        <f t="shared" ref="F7:F14" si="0">E7*D7</f>
        <v>0</v>
      </c>
      <c r="G7" s="301"/>
    </row>
    <row r="8" spans="1:7">
      <c r="A8" s="301" t="s">
        <v>17</v>
      </c>
      <c r="B8" s="301" t="s">
        <v>18</v>
      </c>
      <c r="C8" s="301" t="s">
        <v>10</v>
      </c>
      <c r="D8" s="302">
        <f>报价单拟制!J31</f>
        <v>106280</v>
      </c>
      <c r="E8" s="304">
        <v>1</v>
      </c>
      <c r="F8" s="302">
        <f t="shared" si="0"/>
        <v>106280</v>
      </c>
      <c r="G8" s="301"/>
    </row>
    <row r="9" spans="1:7">
      <c r="A9" s="301" t="s">
        <v>19</v>
      </c>
      <c r="B9" s="301" t="s">
        <v>20</v>
      </c>
      <c r="C9" s="301" t="s">
        <v>10</v>
      </c>
      <c r="D9" s="302">
        <f>报价单拟制!J34</f>
        <v>3900</v>
      </c>
      <c r="E9" s="304">
        <v>1</v>
      </c>
      <c r="F9" s="302">
        <f t="shared" si="0"/>
        <v>3900</v>
      </c>
      <c r="G9" s="301"/>
    </row>
    <row r="10" spans="1:7">
      <c r="A10" s="301" t="s">
        <v>21</v>
      </c>
      <c r="B10" s="301" t="s">
        <v>22</v>
      </c>
      <c r="C10" s="301" t="s">
        <v>10</v>
      </c>
      <c r="D10" s="302">
        <f>报价单拟制!J58</f>
        <v>231150</v>
      </c>
      <c r="E10" s="304">
        <v>1</v>
      </c>
      <c r="F10" s="302">
        <f t="shared" si="0"/>
        <v>231150</v>
      </c>
      <c r="G10" s="301"/>
    </row>
    <row r="11" spans="1:7">
      <c r="A11" s="301" t="s">
        <v>23</v>
      </c>
      <c r="B11" s="301" t="s">
        <v>24</v>
      </c>
      <c r="C11" s="301" t="s">
        <v>10</v>
      </c>
      <c r="D11" s="302">
        <f>报价单拟制!J77</f>
        <v>147800</v>
      </c>
      <c r="E11" s="304">
        <v>1</v>
      </c>
      <c r="F11" s="302">
        <f t="shared" si="0"/>
        <v>147800</v>
      </c>
      <c r="G11" s="301"/>
    </row>
    <row r="12" spans="1:7">
      <c r="A12" s="301" t="s">
        <v>25</v>
      </c>
      <c r="B12" s="301" t="s">
        <v>26</v>
      </c>
      <c r="C12" s="301" t="s">
        <v>10</v>
      </c>
      <c r="D12" s="302">
        <f>报价单拟制!J84</f>
        <v>20000</v>
      </c>
      <c r="E12" s="304">
        <v>1</v>
      </c>
      <c r="F12" s="302">
        <f t="shared" si="0"/>
        <v>20000</v>
      </c>
      <c r="G12" s="301"/>
    </row>
    <row r="13" spans="1:7">
      <c r="A13" s="301" t="s">
        <v>27</v>
      </c>
      <c r="B13" s="303" t="s">
        <v>28</v>
      </c>
      <c r="C13" s="301" t="s">
        <v>10</v>
      </c>
      <c r="D13" s="182">
        <f>报价单拟制!J86</f>
        <v>80737.8</v>
      </c>
      <c r="E13" s="304">
        <v>1</v>
      </c>
      <c r="F13" s="302">
        <f t="shared" si="0"/>
        <v>80737.8</v>
      </c>
      <c r="G13" s="303"/>
    </row>
    <row r="14" spans="1:7">
      <c r="A14" s="301" t="s">
        <v>29</v>
      </c>
      <c r="B14" s="303" t="s">
        <v>30</v>
      </c>
      <c r="C14" s="301" t="s">
        <v>10</v>
      </c>
      <c r="D14" s="182">
        <f>报价单拟制!J87</f>
        <v>85582.068</v>
      </c>
      <c r="E14" s="304">
        <v>1</v>
      </c>
      <c r="F14" s="302">
        <f t="shared" si="0"/>
        <v>85582.068</v>
      </c>
      <c r="G14" s="182"/>
    </row>
    <row r="15" spans="6:7">
      <c r="F15" s="305" t="s">
        <v>31</v>
      </c>
      <c r="G15" s="306">
        <f>SUM(F4:F14)</f>
        <v>1511949.868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A28" sqref="A28:H29"/>
    </sheetView>
  </sheetViews>
  <sheetFormatPr defaultColWidth="22.4666666666667" defaultRowHeight="17.6" outlineLevelCol="7"/>
  <cols>
    <col min="2" max="2" width="22.4666666666667" customWidth="1"/>
  </cols>
  <sheetData>
    <row r="1" ht="20.4" spans="1:7">
      <c r="A1" s="86" t="s">
        <v>428</v>
      </c>
      <c r="B1" s="87"/>
      <c r="C1" s="86"/>
      <c r="D1" s="86"/>
      <c r="E1" s="86"/>
      <c r="F1" s="86"/>
      <c r="G1" s="87"/>
    </row>
    <row r="2" spans="1:7">
      <c r="A2" s="88" t="s">
        <v>285</v>
      </c>
      <c r="B2" s="89" t="s">
        <v>50</v>
      </c>
      <c r="C2" s="88" t="s">
        <v>5</v>
      </c>
      <c r="D2" s="88" t="s">
        <v>286</v>
      </c>
      <c r="E2" s="88" t="s">
        <v>53</v>
      </c>
      <c r="F2" s="88" t="s">
        <v>6</v>
      </c>
      <c r="G2" s="89" t="s">
        <v>7</v>
      </c>
    </row>
    <row r="3" spans="1:7">
      <c r="A3" s="90"/>
      <c r="B3" s="91" t="s">
        <v>9</v>
      </c>
      <c r="C3" s="92"/>
      <c r="D3" s="92"/>
      <c r="E3" s="92"/>
      <c r="F3" s="92"/>
      <c r="G3" s="103"/>
    </row>
    <row r="4" ht="28" spans="1:7">
      <c r="A4" s="93">
        <v>1</v>
      </c>
      <c r="B4" s="94" t="s">
        <v>429</v>
      </c>
      <c r="C4" s="93">
        <v>300</v>
      </c>
      <c r="D4" s="93">
        <v>2</v>
      </c>
      <c r="E4" s="104">
        <f>2150*0.85+80</f>
        <v>1907.5</v>
      </c>
      <c r="F4" s="105">
        <f>C4*D4*E4</f>
        <v>1144500</v>
      </c>
      <c r="G4" s="106" t="s">
        <v>430</v>
      </c>
    </row>
    <row r="5" ht="28" spans="1:7">
      <c r="A5" s="93">
        <v>2</v>
      </c>
      <c r="B5" s="94" t="s">
        <v>431</v>
      </c>
      <c r="C5" s="93">
        <v>50</v>
      </c>
      <c r="D5" s="93">
        <v>2</v>
      </c>
      <c r="E5" s="104">
        <v>667</v>
      </c>
      <c r="F5" s="105">
        <f>C5*D5*E5</f>
        <v>66700</v>
      </c>
      <c r="G5" s="106" t="s">
        <v>295</v>
      </c>
    </row>
    <row r="6" ht="28" spans="1:7">
      <c r="A6" s="93">
        <v>5</v>
      </c>
      <c r="B6" s="94" t="s">
        <v>296</v>
      </c>
      <c r="C6" s="93">
        <v>50</v>
      </c>
      <c r="D6" s="93">
        <v>2</v>
      </c>
      <c r="E6" s="104">
        <v>30</v>
      </c>
      <c r="F6" s="105">
        <f>C6*D6*E6</f>
        <v>3000</v>
      </c>
      <c r="G6" s="106" t="s">
        <v>432</v>
      </c>
    </row>
    <row r="7" spans="1:7">
      <c r="A7" s="93">
        <v>6</v>
      </c>
      <c r="B7" s="94" t="s">
        <v>297</v>
      </c>
      <c r="C7" s="93">
        <v>1</v>
      </c>
      <c r="D7" s="93">
        <v>1</v>
      </c>
      <c r="E7" s="104">
        <v>10000</v>
      </c>
      <c r="F7" s="105">
        <f>C7*D7*E7</f>
        <v>10000</v>
      </c>
      <c r="G7" s="94" t="s">
        <v>298</v>
      </c>
    </row>
    <row r="8" spans="1:7">
      <c r="A8" s="95" t="s">
        <v>299</v>
      </c>
      <c r="B8" s="95"/>
      <c r="C8" s="95"/>
      <c r="D8" s="95"/>
      <c r="E8" s="95"/>
      <c r="F8" s="107">
        <f>SUM(F4:F7)</f>
        <v>1224200</v>
      </c>
      <c r="G8" s="108"/>
    </row>
    <row r="9" spans="1:7">
      <c r="A9" s="92"/>
      <c r="B9" s="96" t="s">
        <v>178</v>
      </c>
      <c r="C9" s="92"/>
      <c r="D9" s="92"/>
      <c r="E9" s="92"/>
      <c r="F9" s="92"/>
      <c r="G9" s="103"/>
    </row>
    <row r="10" ht="28" spans="1:7">
      <c r="A10" s="93">
        <v>1</v>
      </c>
      <c r="B10" s="94" t="s">
        <v>433</v>
      </c>
      <c r="C10" s="93">
        <v>10</v>
      </c>
      <c r="D10" s="93">
        <v>1</v>
      </c>
      <c r="E10" s="104">
        <v>1800</v>
      </c>
      <c r="F10" s="105">
        <f>C10*D10*E10</f>
        <v>18000</v>
      </c>
      <c r="G10" s="94"/>
    </row>
    <row r="11" ht="28" spans="1:7">
      <c r="A11" s="93">
        <v>2</v>
      </c>
      <c r="B11" s="94" t="s">
        <v>434</v>
      </c>
      <c r="C11" s="93">
        <v>90</v>
      </c>
      <c r="D11" s="93">
        <v>2</v>
      </c>
      <c r="E11" s="104">
        <v>1800</v>
      </c>
      <c r="F11" s="105">
        <f>C11*D11*E11</f>
        <v>324000</v>
      </c>
      <c r="G11" s="94" t="s">
        <v>435</v>
      </c>
    </row>
    <row r="12" spans="1:7">
      <c r="A12" s="93">
        <v>3</v>
      </c>
      <c r="B12" s="94" t="s">
        <v>436</v>
      </c>
      <c r="C12" s="93">
        <v>0</v>
      </c>
      <c r="D12" s="93">
        <v>2</v>
      </c>
      <c r="E12" s="104">
        <v>1900</v>
      </c>
      <c r="F12" s="105">
        <f>C12*D12*E12</f>
        <v>0</v>
      </c>
      <c r="G12" s="94" t="s">
        <v>437</v>
      </c>
    </row>
    <row r="13" ht="28" spans="1:7">
      <c r="A13" s="93">
        <v>4</v>
      </c>
      <c r="B13" s="94" t="s">
        <v>438</v>
      </c>
      <c r="C13" s="93">
        <v>230</v>
      </c>
      <c r="D13" s="93">
        <v>2</v>
      </c>
      <c r="E13" s="104">
        <v>1100</v>
      </c>
      <c r="F13" s="105">
        <f>C13*D13*E13</f>
        <v>506000</v>
      </c>
      <c r="G13" s="94" t="s">
        <v>435</v>
      </c>
    </row>
    <row r="14" ht="28" spans="1:7">
      <c r="A14" s="93">
        <v>5</v>
      </c>
      <c r="B14" s="94" t="s">
        <v>439</v>
      </c>
      <c r="C14" s="93">
        <v>1</v>
      </c>
      <c r="D14" s="93">
        <v>1</v>
      </c>
      <c r="E14" s="104">
        <v>20000</v>
      </c>
      <c r="F14" s="105">
        <f>C14*D14*E14</f>
        <v>20000</v>
      </c>
      <c r="G14" s="94"/>
    </row>
    <row r="15" spans="1:7">
      <c r="A15" s="95" t="s">
        <v>299</v>
      </c>
      <c r="B15" s="95"/>
      <c r="C15" s="95"/>
      <c r="D15" s="95"/>
      <c r="E15" s="95"/>
      <c r="F15" s="107">
        <f>SUM(F10:F14)</f>
        <v>868000</v>
      </c>
      <c r="G15" s="108"/>
    </row>
    <row r="16" spans="1:7">
      <c r="A16" s="92"/>
      <c r="B16" s="96" t="s">
        <v>311</v>
      </c>
      <c r="C16" s="92"/>
      <c r="D16" s="92"/>
      <c r="E16" s="92"/>
      <c r="F16" s="92"/>
      <c r="G16" s="103"/>
    </row>
    <row r="17" ht="28" spans="1:7">
      <c r="A17" s="93">
        <v>1</v>
      </c>
      <c r="B17" s="97" t="s">
        <v>440</v>
      </c>
      <c r="C17" s="93">
        <v>8</v>
      </c>
      <c r="D17" s="93">
        <v>1</v>
      </c>
      <c r="E17" s="104">
        <v>900</v>
      </c>
      <c r="F17" s="105">
        <f t="shared" ref="F17:F24" si="0">C17*D17*E17</f>
        <v>7200</v>
      </c>
      <c r="G17" s="94"/>
    </row>
    <row r="18" ht="28" spans="1:8">
      <c r="A18" s="98">
        <v>2</v>
      </c>
      <c r="B18" s="99" t="s">
        <v>441</v>
      </c>
      <c r="C18" s="98">
        <v>13</v>
      </c>
      <c r="D18" s="98">
        <v>2</v>
      </c>
      <c r="E18" s="109">
        <v>4500</v>
      </c>
      <c r="F18" s="110">
        <f t="shared" si="0"/>
        <v>117000</v>
      </c>
      <c r="G18" s="94" t="s">
        <v>442</v>
      </c>
      <c r="H18" t="s">
        <v>443</v>
      </c>
    </row>
    <row r="19" ht="41" spans="1:7">
      <c r="A19" s="93">
        <v>3</v>
      </c>
      <c r="B19" s="97" t="s">
        <v>444</v>
      </c>
      <c r="C19" s="93">
        <v>2</v>
      </c>
      <c r="D19" s="93">
        <v>2</v>
      </c>
      <c r="E19" s="104">
        <v>1600</v>
      </c>
      <c r="F19" s="105">
        <f t="shared" si="0"/>
        <v>6400</v>
      </c>
      <c r="G19" s="94"/>
    </row>
    <row r="20" ht="28" spans="1:7">
      <c r="A20" s="93">
        <v>4</v>
      </c>
      <c r="B20" s="97" t="s">
        <v>445</v>
      </c>
      <c r="C20" s="93">
        <v>10</v>
      </c>
      <c r="D20" s="93">
        <v>2</v>
      </c>
      <c r="E20" s="104">
        <v>900</v>
      </c>
      <c r="F20" s="105">
        <f t="shared" si="0"/>
        <v>18000</v>
      </c>
      <c r="G20" s="111"/>
    </row>
    <row r="21" ht="55" spans="1:7">
      <c r="A21" s="93">
        <v>5</v>
      </c>
      <c r="B21" s="100" t="s">
        <v>446</v>
      </c>
      <c r="C21" s="93">
        <v>10</v>
      </c>
      <c r="D21" s="93">
        <v>4</v>
      </c>
      <c r="E21" s="104">
        <v>1600</v>
      </c>
      <c r="F21" s="105">
        <f t="shared" si="0"/>
        <v>64000</v>
      </c>
      <c r="G21" s="100" t="s">
        <v>447</v>
      </c>
    </row>
    <row r="22" ht="68" spans="1:7">
      <c r="A22" s="98">
        <v>6</v>
      </c>
      <c r="B22" s="101" t="s">
        <v>448</v>
      </c>
      <c r="C22" s="98">
        <v>10</v>
      </c>
      <c r="D22" s="98">
        <v>1</v>
      </c>
      <c r="E22" s="109">
        <v>4500</v>
      </c>
      <c r="F22" s="110">
        <f t="shared" si="0"/>
        <v>45000</v>
      </c>
      <c r="G22" s="101" t="s">
        <v>449</v>
      </c>
    </row>
    <row r="23" ht="28" spans="1:7">
      <c r="A23" s="93">
        <v>7</v>
      </c>
      <c r="B23" s="100" t="s">
        <v>450</v>
      </c>
      <c r="C23" s="93">
        <v>4</v>
      </c>
      <c r="D23" s="93">
        <v>1</v>
      </c>
      <c r="E23" s="104">
        <v>1600</v>
      </c>
      <c r="F23" s="105">
        <f t="shared" si="0"/>
        <v>6400</v>
      </c>
      <c r="G23" s="100"/>
    </row>
    <row r="24" ht="28" spans="1:7">
      <c r="A24" s="93">
        <v>8</v>
      </c>
      <c r="B24" s="97" t="s">
        <v>328</v>
      </c>
      <c r="C24" s="93">
        <v>1</v>
      </c>
      <c r="D24" s="93">
        <v>1</v>
      </c>
      <c r="E24" s="104">
        <v>20000</v>
      </c>
      <c r="F24" s="105">
        <f t="shared" si="0"/>
        <v>20000</v>
      </c>
      <c r="G24" s="94" t="s">
        <v>329</v>
      </c>
    </row>
    <row r="25" spans="1:7">
      <c r="A25" s="95" t="s">
        <v>299</v>
      </c>
      <c r="B25" s="95"/>
      <c r="C25" s="95"/>
      <c r="D25" s="95"/>
      <c r="E25" s="95"/>
      <c r="F25" s="107">
        <f>SUM(F17:F24)</f>
        <v>284000</v>
      </c>
      <c r="G25" s="108"/>
    </row>
    <row r="26" spans="1:7">
      <c r="A26" s="92"/>
      <c r="B26" s="96" t="s">
        <v>18</v>
      </c>
      <c r="C26" s="92"/>
      <c r="D26" s="92"/>
      <c r="E26" s="92"/>
      <c r="F26" s="92"/>
      <c r="G26" s="103"/>
    </row>
    <row r="27" ht="41" spans="1:7">
      <c r="A27" s="93">
        <v>1</v>
      </c>
      <c r="B27" s="100" t="s">
        <v>451</v>
      </c>
      <c r="C27" s="93">
        <v>30</v>
      </c>
      <c r="D27" s="93">
        <v>2</v>
      </c>
      <c r="E27" s="104">
        <v>500</v>
      </c>
      <c r="F27" s="105">
        <f>C27*D27*E27</f>
        <v>30000</v>
      </c>
      <c r="G27" s="94" t="s">
        <v>452</v>
      </c>
    </row>
    <row r="28" ht="41" spans="1:7">
      <c r="A28" s="93">
        <v>2</v>
      </c>
      <c r="B28" s="100" t="s">
        <v>453</v>
      </c>
      <c r="C28" s="93">
        <v>30</v>
      </c>
      <c r="D28" s="93">
        <v>2</v>
      </c>
      <c r="E28" s="104">
        <v>500</v>
      </c>
      <c r="F28" s="105">
        <f>C28*D28*E28</f>
        <v>30000</v>
      </c>
      <c r="G28" s="94" t="s">
        <v>454</v>
      </c>
    </row>
    <row r="29" spans="1:7">
      <c r="A29" s="95" t="s">
        <v>299</v>
      </c>
      <c r="B29" s="95"/>
      <c r="C29" s="95"/>
      <c r="D29" s="95"/>
      <c r="E29" s="95"/>
      <c r="F29" s="107">
        <f>SUM(F27:F28)</f>
        <v>60000</v>
      </c>
      <c r="G29" s="108"/>
    </row>
    <row r="30" spans="1:7">
      <c r="A30" s="92"/>
      <c r="B30" s="96" t="s">
        <v>342</v>
      </c>
      <c r="C30" s="92"/>
      <c r="D30" s="92"/>
      <c r="E30" s="92"/>
      <c r="F30" s="92"/>
      <c r="G30" s="103"/>
    </row>
    <row r="31" spans="1:7">
      <c r="A31" s="93">
        <v>1</v>
      </c>
      <c r="B31" s="94" t="s">
        <v>101</v>
      </c>
      <c r="C31" s="93">
        <v>350</v>
      </c>
      <c r="D31" s="93">
        <v>1</v>
      </c>
      <c r="E31" s="104">
        <v>50</v>
      </c>
      <c r="F31" s="105">
        <f>C31*D31*E31</f>
        <v>17500</v>
      </c>
      <c r="G31" s="94" t="s">
        <v>455</v>
      </c>
    </row>
    <row r="32" spans="1:7">
      <c r="A32" s="95" t="s">
        <v>299</v>
      </c>
      <c r="B32" s="95"/>
      <c r="C32" s="95"/>
      <c r="D32" s="95"/>
      <c r="E32" s="95"/>
      <c r="F32" s="107">
        <f>SUM(F31:F31)</f>
        <v>17500</v>
      </c>
      <c r="G32" s="108"/>
    </row>
    <row r="33" spans="1:7">
      <c r="A33" s="92"/>
      <c r="B33" s="96" t="s">
        <v>351</v>
      </c>
      <c r="C33" s="92"/>
      <c r="D33" s="92"/>
      <c r="E33" s="92"/>
      <c r="F33" s="92"/>
      <c r="G33" s="103"/>
    </row>
    <row r="34" ht="28" spans="1:7">
      <c r="A34" s="93">
        <v>1</v>
      </c>
      <c r="B34" s="94" t="s">
        <v>456</v>
      </c>
      <c r="C34" s="93">
        <v>2</v>
      </c>
      <c r="D34" s="93">
        <v>6</v>
      </c>
      <c r="E34" s="104">
        <v>3500</v>
      </c>
      <c r="F34" s="105">
        <f t="shared" ref="F34:F42" si="1">C34*D34*E34</f>
        <v>42000</v>
      </c>
      <c r="G34" s="94" t="s">
        <v>457</v>
      </c>
    </row>
    <row r="35" ht="41" spans="1:7">
      <c r="A35" s="93">
        <v>3</v>
      </c>
      <c r="B35" s="94" t="s">
        <v>458</v>
      </c>
      <c r="C35" s="93">
        <v>9</v>
      </c>
      <c r="D35" s="93">
        <v>6</v>
      </c>
      <c r="E35" s="104">
        <v>2000</v>
      </c>
      <c r="F35" s="105">
        <f t="shared" si="1"/>
        <v>108000</v>
      </c>
      <c r="G35" s="94" t="s">
        <v>457</v>
      </c>
    </row>
    <row r="36" ht="28" spans="1:7">
      <c r="A36" s="93">
        <v>4</v>
      </c>
      <c r="B36" s="94" t="s">
        <v>459</v>
      </c>
      <c r="C36" s="93">
        <v>7</v>
      </c>
      <c r="D36" s="93">
        <v>10</v>
      </c>
      <c r="E36" s="104">
        <v>600</v>
      </c>
      <c r="F36" s="105">
        <f t="shared" si="1"/>
        <v>42000</v>
      </c>
      <c r="G36" s="94" t="s">
        <v>457</v>
      </c>
    </row>
    <row r="37" ht="28" spans="1:7">
      <c r="A37" s="93">
        <v>5</v>
      </c>
      <c r="B37" s="94" t="s">
        <v>460</v>
      </c>
      <c r="C37" s="93">
        <v>10</v>
      </c>
      <c r="D37" s="93">
        <v>4</v>
      </c>
      <c r="E37" s="104">
        <v>1500</v>
      </c>
      <c r="F37" s="105">
        <f t="shared" si="1"/>
        <v>60000</v>
      </c>
      <c r="G37" s="94" t="s">
        <v>457</v>
      </c>
    </row>
    <row r="38" spans="1:7">
      <c r="A38" s="93">
        <v>6</v>
      </c>
      <c r="B38" s="94" t="s">
        <v>358</v>
      </c>
      <c r="C38" s="93">
        <v>11</v>
      </c>
      <c r="D38" s="93">
        <v>2</v>
      </c>
      <c r="E38" s="104">
        <v>667</v>
      </c>
      <c r="F38" s="105">
        <f t="shared" si="1"/>
        <v>14674</v>
      </c>
      <c r="G38" s="94" t="s">
        <v>359</v>
      </c>
    </row>
    <row r="39" ht="28" spans="1:7">
      <c r="A39" s="93">
        <v>7</v>
      </c>
      <c r="B39" s="94" t="s">
        <v>360</v>
      </c>
      <c r="C39" s="93">
        <v>6</v>
      </c>
      <c r="D39" s="93">
        <v>5</v>
      </c>
      <c r="E39" s="104">
        <v>600</v>
      </c>
      <c r="F39" s="105">
        <f t="shared" si="1"/>
        <v>18000</v>
      </c>
      <c r="G39" s="94" t="s">
        <v>361</v>
      </c>
    </row>
    <row r="40" ht="28" spans="1:7">
      <c r="A40" s="93">
        <v>8</v>
      </c>
      <c r="B40" s="94" t="s">
        <v>362</v>
      </c>
      <c r="C40" s="93">
        <v>11</v>
      </c>
      <c r="D40" s="93">
        <v>6</v>
      </c>
      <c r="E40" s="104">
        <v>60</v>
      </c>
      <c r="F40" s="105">
        <f t="shared" si="1"/>
        <v>3960</v>
      </c>
      <c r="G40" s="94" t="s">
        <v>363</v>
      </c>
    </row>
    <row r="41" spans="1:7">
      <c r="A41" s="93">
        <v>9</v>
      </c>
      <c r="B41" s="94" t="s">
        <v>364</v>
      </c>
      <c r="C41" s="93">
        <v>11</v>
      </c>
      <c r="D41" s="93">
        <v>6</v>
      </c>
      <c r="E41" s="104">
        <v>80</v>
      </c>
      <c r="F41" s="105">
        <f t="shared" si="1"/>
        <v>5280</v>
      </c>
      <c r="G41" s="94" t="s">
        <v>359</v>
      </c>
    </row>
    <row r="42" spans="1:7">
      <c r="A42" s="93">
        <v>10</v>
      </c>
      <c r="B42" s="94" t="s">
        <v>365</v>
      </c>
      <c r="C42" s="93">
        <v>10</v>
      </c>
      <c r="D42" s="93">
        <v>6</v>
      </c>
      <c r="E42" s="104">
        <v>80</v>
      </c>
      <c r="F42" s="105">
        <f t="shared" si="1"/>
        <v>4800</v>
      </c>
      <c r="G42" s="94" t="s">
        <v>359</v>
      </c>
    </row>
    <row r="43" spans="1:7">
      <c r="A43" s="95" t="s">
        <v>299</v>
      </c>
      <c r="B43" s="95"/>
      <c r="C43" s="95"/>
      <c r="D43" s="95"/>
      <c r="E43" s="95"/>
      <c r="F43" s="107">
        <f>SUM(F34:F42)</f>
        <v>298714</v>
      </c>
      <c r="G43" s="108"/>
    </row>
    <row r="44" spans="1:7">
      <c r="A44" s="92"/>
      <c r="B44" s="96" t="s">
        <v>366</v>
      </c>
      <c r="C44" s="92"/>
      <c r="D44" s="92"/>
      <c r="E44" s="92"/>
      <c r="F44" s="92"/>
      <c r="G44" s="103"/>
    </row>
    <row r="45" ht="82" spans="1:7">
      <c r="A45" s="93">
        <v>1</v>
      </c>
      <c r="B45" s="94" t="s">
        <v>461</v>
      </c>
      <c r="C45" s="93">
        <v>5</v>
      </c>
      <c r="D45" s="93">
        <v>6</v>
      </c>
      <c r="E45" s="104">
        <v>1500</v>
      </c>
      <c r="F45" s="105">
        <f t="shared" ref="F45:F53" si="2">C45*D45*E45</f>
        <v>45000</v>
      </c>
      <c r="G45" s="94" t="s">
        <v>462</v>
      </c>
    </row>
    <row r="46" ht="68" spans="1:7">
      <c r="A46" s="93">
        <v>2</v>
      </c>
      <c r="B46" s="94" t="s">
        <v>463</v>
      </c>
      <c r="C46" s="93">
        <v>30</v>
      </c>
      <c r="D46" s="93">
        <v>2</v>
      </c>
      <c r="E46" s="104">
        <v>800</v>
      </c>
      <c r="F46" s="105">
        <f t="shared" si="2"/>
        <v>48000</v>
      </c>
      <c r="G46" s="94" t="s">
        <v>464</v>
      </c>
    </row>
    <row r="47" ht="68" spans="1:7">
      <c r="A47" s="93">
        <v>3</v>
      </c>
      <c r="B47" s="94" t="s">
        <v>465</v>
      </c>
      <c r="C47" s="93">
        <v>30</v>
      </c>
      <c r="D47" s="93">
        <v>2</v>
      </c>
      <c r="E47" s="104">
        <v>800</v>
      </c>
      <c r="F47" s="105">
        <f t="shared" si="2"/>
        <v>48000</v>
      </c>
      <c r="G47" s="94" t="s">
        <v>466</v>
      </c>
    </row>
    <row r="48" ht="55" spans="1:7">
      <c r="A48" s="93">
        <v>4</v>
      </c>
      <c r="B48" s="94" t="s">
        <v>467</v>
      </c>
      <c r="C48" s="93">
        <v>40</v>
      </c>
      <c r="D48" s="93">
        <v>3</v>
      </c>
      <c r="E48" s="104">
        <v>800</v>
      </c>
      <c r="F48" s="105">
        <f t="shared" si="2"/>
        <v>96000</v>
      </c>
      <c r="G48" s="94" t="s">
        <v>468</v>
      </c>
    </row>
    <row r="49" ht="55" spans="1:7">
      <c r="A49" s="93">
        <v>5</v>
      </c>
      <c r="B49" s="94" t="s">
        <v>469</v>
      </c>
      <c r="C49" s="93">
        <v>2</v>
      </c>
      <c r="D49" s="93">
        <v>3</v>
      </c>
      <c r="E49" s="104">
        <v>800</v>
      </c>
      <c r="F49" s="105">
        <f t="shared" si="2"/>
        <v>4800</v>
      </c>
      <c r="G49" s="94" t="s">
        <v>468</v>
      </c>
    </row>
    <row r="50" spans="1:7">
      <c r="A50" s="93">
        <v>6</v>
      </c>
      <c r="B50" s="94" t="s">
        <v>389</v>
      </c>
      <c r="C50" s="93">
        <v>40</v>
      </c>
      <c r="D50" s="93">
        <v>3</v>
      </c>
      <c r="E50" s="104">
        <v>60</v>
      </c>
      <c r="F50" s="105">
        <f t="shared" si="2"/>
        <v>7200</v>
      </c>
      <c r="G50" s="94"/>
    </row>
    <row r="51" spans="1:7">
      <c r="A51" s="93">
        <v>7</v>
      </c>
      <c r="B51" s="94" t="s">
        <v>470</v>
      </c>
      <c r="C51" s="93">
        <v>40</v>
      </c>
      <c r="D51" s="93">
        <v>3</v>
      </c>
      <c r="E51" s="104">
        <v>80</v>
      </c>
      <c r="F51" s="105">
        <f t="shared" si="2"/>
        <v>9600</v>
      </c>
      <c r="G51" s="94"/>
    </row>
    <row r="52" ht="28" spans="1:7">
      <c r="A52" s="93">
        <v>8</v>
      </c>
      <c r="B52" s="94" t="s">
        <v>392</v>
      </c>
      <c r="C52" s="93">
        <v>10</v>
      </c>
      <c r="D52" s="93">
        <v>1</v>
      </c>
      <c r="E52" s="104">
        <v>300</v>
      </c>
      <c r="F52" s="105">
        <f t="shared" si="2"/>
        <v>3000</v>
      </c>
      <c r="G52" s="94"/>
    </row>
    <row r="53" ht="28" spans="1:7">
      <c r="A53" s="93">
        <v>9</v>
      </c>
      <c r="B53" s="94" t="s">
        <v>471</v>
      </c>
      <c r="C53" s="93">
        <v>30</v>
      </c>
      <c r="D53" s="93">
        <v>6</v>
      </c>
      <c r="E53" s="104">
        <v>100</v>
      </c>
      <c r="F53" s="105">
        <f t="shared" si="2"/>
        <v>18000</v>
      </c>
      <c r="G53" s="94"/>
    </row>
    <row r="54" spans="1:7">
      <c r="A54" s="95" t="s">
        <v>299</v>
      </c>
      <c r="B54" s="95"/>
      <c r="C54" s="95"/>
      <c r="D54" s="95"/>
      <c r="E54" s="95"/>
      <c r="F54" s="107">
        <f>SUM(F45:F53)</f>
        <v>279600</v>
      </c>
      <c r="G54" s="108"/>
    </row>
    <row r="55" spans="1:7">
      <c r="A55" s="92"/>
      <c r="B55" s="96" t="s">
        <v>394</v>
      </c>
      <c r="C55" s="92"/>
      <c r="D55" s="92"/>
      <c r="E55" s="92"/>
      <c r="F55" s="92"/>
      <c r="G55" s="103"/>
    </row>
    <row r="56" ht="28" spans="1:7">
      <c r="A56" s="93">
        <v>1</v>
      </c>
      <c r="B56" s="94" t="s">
        <v>472</v>
      </c>
      <c r="C56" s="93">
        <v>30</v>
      </c>
      <c r="D56" s="93">
        <v>1</v>
      </c>
      <c r="E56" s="104">
        <v>120</v>
      </c>
      <c r="F56" s="105">
        <f>C56*D56*E56</f>
        <v>3600</v>
      </c>
      <c r="G56" s="94"/>
    </row>
    <row r="57" spans="1:7">
      <c r="A57" s="93">
        <v>2</v>
      </c>
      <c r="B57" s="94" t="s">
        <v>230</v>
      </c>
      <c r="C57" s="93">
        <v>30</v>
      </c>
      <c r="D57" s="93">
        <v>1</v>
      </c>
      <c r="E57" s="104">
        <v>30</v>
      </c>
      <c r="F57" s="105">
        <f>C57*D57*E57</f>
        <v>900</v>
      </c>
      <c r="G57" s="94"/>
    </row>
    <row r="58" ht="28" spans="1:7">
      <c r="A58" s="93">
        <v>3</v>
      </c>
      <c r="B58" s="94" t="s">
        <v>473</v>
      </c>
      <c r="C58" s="93">
        <v>1300</v>
      </c>
      <c r="D58" s="93">
        <v>1</v>
      </c>
      <c r="E58" s="104">
        <v>5</v>
      </c>
      <c r="F58" s="105">
        <f>C58*D58*E58</f>
        <v>6500</v>
      </c>
      <c r="G58" s="94" t="s">
        <v>397</v>
      </c>
    </row>
    <row r="59" ht="28" spans="1:7">
      <c r="A59" s="93">
        <v>4</v>
      </c>
      <c r="B59" s="94" t="s">
        <v>474</v>
      </c>
      <c r="C59" s="93">
        <v>25</v>
      </c>
      <c r="D59" s="93">
        <v>1</v>
      </c>
      <c r="E59" s="104">
        <v>10</v>
      </c>
      <c r="F59" s="105">
        <f>C59*D59*E59</f>
        <v>250</v>
      </c>
      <c r="G59" s="94"/>
    </row>
    <row r="60" spans="1:7">
      <c r="A60" s="93">
        <v>5</v>
      </c>
      <c r="B60" s="94" t="s">
        <v>254</v>
      </c>
      <c r="C60" s="93">
        <v>1</v>
      </c>
      <c r="D60" s="93">
        <v>1</v>
      </c>
      <c r="E60" s="104">
        <v>5000</v>
      </c>
      <c r="F60" s="105">
        <f>C60*D60*E60</f>
        <v>5000</v>
      </c>
      <c r="G60" s="94"/>
    </row>
    <row r="61" spans="1:7">
      <c r="A61" s="102" t="s">
        <v>299</v>
      </c>
      <c r="B61" s="102"/>
      <c r="C61" s="102"/>
      <c r="D61" s="102"/>
      <c r="E61" s="102"/>
      <c r="F61" s="112">
        <f>SUM(F56:F60)</f>
        <v>16250</v>
      </c>
      <c r="G61" s="113"/>
    </row>
    <row r="62" spans="1:7">
      <c r="A62" s="92"/>
      <c r="B62" s="96" t="s">
        <v>182</v>
      </c>
      <c r="C62" s="92"/>
      <c r="D62" s="92"/>
      <c r="E62" s="92"/>
      <c r="F62" s="92"/>
      <c r="G62" s="103"/>
    </row>
    <row r="63" ht="28" spans="1:7">
      <c r="A63" s="93">
        <v>1</v>
      </c>
      <c r="B63" s="94" t="s">
        <v>421</v>
      </c>
      <c r="C63" s="93">
        <v>1</v>
      </c>
      <c r="D63" s="93">
        <v>1</v>
      </c>
      <c r="E63" s="104">
        <v>5000</v>
      </c>
      <c r="F63" s="105">
        <f>C63*D63*E63</f>
        <v>5000</v>
      </c>
      <c r="G63" s="94"/>
    </row>
    <row r="64" spans="1:7">
      <c r="A64" s="93">
        <v>2</v>
      </c>
      <c r="B64" s="94" t="s">
        <v>475</v>
      </c>
      <c r="C64" s="93">
        <v>1</v>
      </c>
      <c r="D64" s="93">
        <v>1</v>
      </c>
      <c r="E64" s="104">
        <v>15000</v>
      </c>
      <c r="F64" s="105">
        <f>C64*D64*E64</f>
        <v>15000</v>
      </c>
      <c r="G64" s="94"/>
    </row>
    <row r="65" spans="1:7">
      <c r="A65" s="93">
        <v>3</v>
      </c>
      <c r="B65" s="94" t="s">
        <v>476</v>
      </c>
      <c r="C65" s="93">
        <v>1</v>
      </c>
      <c r="D65" s="93">
        <v>1</v>
      </c>
      <c r="E65" s="104">
        <v>5000</v>
      </c>
      <c r="F65" s="105">
        <f>C65*D65*E65</f>
        <v>5000</v>
      </c>
      <c r="G65" s="94" t="s">
        <v>419</v>
      </c>
    </row>
    <row r="66" spans="1:7">
      <c r="A66" s="95" t="s">
        <v>299</v>
      </c>
      <c r="B66" s="95"/>
      <c r="C66" s="95"/>
      <c r="D66" s="95"/>
      <c r="E66" s="95"/>
      <c r="F66" s="107">
        <f>SUM(F63:F65)</f>
        <v>25000</v>
      </c>
      <c r="G66" s="108"/>
    </row>
    <row r="67" spans="1:7">
      <c r="A67" s="92"/>
      <c r="B67" s="96" t="s">
        <v>423</v>
      </c>
      <c r="C67" s="92"/>
      <c r="D67" s="92"/>
      <c r="E67" s="92"/>
      <c r="F67" s="92"/>
      <c r="G67" s="103"/>
    </row>
    <row r="68" spans="1:7">
      <c r="A68" s="93">
        <v>1</v>
      </c>
      <c r="B68" s="94" t="s">
        <v>477</v>
      </c>
      <c r="C68" s="93">
        <v>1</v>
      </c>
      <c r="D68" s="93">
        <v>1</v>
      </c>
      <c r="E68" s="104">
        <v>100000</v>
      </c>
      <c r="F68" s="105">
        <f>C68*D68*E68</f>
        <v>100000</v>
      </c>
      <c r="G68" s="94"/>
    </row>
    <row r="69" spans="1:7">
      <c r="A69" s="95" t="s">
        <v>299</v>
      </c>
      <c r="B69" s="95"/>
      <c r="C69" s="95"/>
      <c r="D69" s="95"/>
      <c r="E69" s="95"/>
      <c r="F69" s="107">
        <f>SUM(F68:F68)</f>
        <v>100000</v>
      </c>
      <c r="G69" s="108"/>
    </row>
    <row r="70" spans="1:7">
      <c r="A70" s="114" t="s">
        <v>425</v>
      </c>
      <c r="B70" s="115"/>
      <c r="C70" s="114"/>
      <c r="D70" s="114"/>
      <c r="E70" s="114"/>
      <c r="F70" s="121">
        <f>SUM(F69,F66,F61,F54,F43,F32,F29,F25,F15,F8)</f>
        <v>3173264</v>
      </c>
      <c r="G70" s="122"/>
    </row>
    <row r="71" spans="1:7">
      <c r="A71" s="116"/>
      <c r="B71" s="117"/>
      <c r="C71" s="116"/>
      <c r="D71" s="116"/>
      <c r="E71" s="116" t="s">
        <v>426</v>
      </c>
      <c r="F71" s="123">
        <f>F70*4%</f>
        <v>126930.56</v>
      </c>
      <c r="G71" s="97"/>
    </row>
    <row r="72" spans="1:7">
      <c r="A72" s="93"/>
      <c r="B72" s="97"/>
      <c r="C72" s="93"/>
      <c r="D72" s="93"/>
      <c r="E72" s="116" t="s">
        <v>478</v>
      </c>
      <c r="F72" s="123">
        <f>(F70+F71)*6%</f>
        <v>198011.6736</v>
      </c>
      <c r="G72" s="97"/>
    </row>
    <row r="73" spans="1:7">
      <c r="A73" s="118"/>
      <c r="B73" s="119"/>
      <c r="C73" s="120"/>
      <c r="D73" s="120"/>
      <c r="E73" s="116" t="s">
        <v>264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28" sqref="A28:H29"/>
    </sheetView>
  </sheetViews>
  <sheetFormatPr defaultColWidth="10.9333333333333" defaultRowHeight="17.6"/>
  <cols>
    <col min="2" max="2" width="29" customWidth="1"/>
    <col min="3" max="3" width="12.2" customWidth="1"/>
    <col min="10" max="10" width="17.3333333333333" customWidth="1"/>
  </cols>
  <sheetData>
    <row r="1" spans="1:11">
      <c r="A1" s="1" t="s">
        <v>479</v>
      </c>
      <c r="B1" s="2" t="s">
        <v>480</v>
      </c>
      <c r="C1" s="3"/>
      <c r="D1" s="3"/>
      <c r="E1" s="3"/>
      <c r="F1" s="35"/>
      <c r="G1" s="36" t="s">
        <v>481</v>
      </c>
      <c r="H1" s="2" t="s">
        <v>482</v>
      </c>
      <c r="I1" s="35"/>
      <c r="J1" s="55" t="s">
        <v>34</v>
      </c>
      <c r="K1" s="56"/>
    </row>
    <row r="2" spans="1:11">
      <c r="A2" s="1" t="s">
        <v>38</v>
      </c>
      <c r="B2" s="4" t="s">
        <v>483</v>
      </c>
      <c r="C2" s="5" t="s">
        <v>484</v>
      </c>
      <c r="D2" s="6" t="s">
        <v>485</v>
      </c>
      <c r="E2" s="37"/>
      <c r="F2" s="38"/>
      <c r="G2" s="39" t="s">
        <v>41</v>
      </c>
      <c r="H2" s="40" t="s">
        <v>486</v>
      </c>
      <c r="I2" s="57"/>
      <c r="J2" s="43" t="s">
        <v>43</v>
      </c>
      <c r="K2" s="58"/>
    </row>
    <row r="3" spans="1:11">
      <c r="A3" s="1" t="s">
        <v>45</v>
      </c>
      <c r="B3" s="4" t="s">
        <v>487</v>
      </c>
      <c r="C3" s="5" t="s">
        <v>47</v>
      </c>
      <c r="D3" s="7"/>
      <c r="E3" s="41"/>
      <c r="F3" s="42"/>
      <c r="G3" s="43" t="s">
        <v>34</v>
      </c>
      <c r="H3" s="44"/>
      <c r="I3" s="59"/>
      <c r="J3" s="60"/>
      <c r="K3" s="61"/>
    </row>
    <row r="4" spans="1:11">
      <c r="A4" s="8" t="s">
        <v>49</v>
      </c>
      <c r="B4" s="9"/>
      <c r="C4" s="9"/>
      <c r="D4" s="9"/>
      <c r="E4" s="9"/>
      <c r="F4" s="9"/>
      <c r="G4" s="9"/>
      <c r="H4" s="9"/>
      <c r="I4" s="9"/>
      <c r="J4" s="9"/>
      <c r="K4" s="62"/>
    </row>
    <row r="5" spans="1:11">
      <c r="A5" s="10" t="s">
        <v>50</v>
      </c>
      <c r="B5" s="11"/>
      <c r="C5" s="12"/>
      <c r="D5" s="13" t="s">
        <v>5</v>
      </c>
      <c r="E5" s="45" t="s">
        <v>52</v>
      </c>
      <c r="F5" s="13" t="s">
        <v>488</v>
      </c>
      <c r="G5" s="45" t="s">
        <v>52</v>
      </c>
      <c r="H5" s="46" t="s">
        <v>53</v>
      </c>
      <c r="I5" s="63" t="s">
        <v>52</v>
      </c>
      <c r="J5" s="64" t="s">
        <v>6</v>
      </c>
      <c r="K5" s="65" t="s">
        <v>7</v>
      </c>
    </row>
    <row r="6" spans="1:11">
      <c r="A6" s="14" t="s">
        <v>9</v>
      </c>
      <c r="B6" s="15" t="s">
        <v>489</v>
      </c>
      <c r="C6" s="16" t="s">
        <v>60</v>
      </c>
      <c r="D6" s="17">
        <v>3</v>
      </c>
      <c r="E6" s="25" t="s">
        <v>490</v>
      </c>
      <c r="F6" s="47">
        <v>2</v>
      </c>
      <c r="G6" s="48" t="s">
        <v>491</v>
      </c>
      <c r="H6" s="49">
        <v>362</v>
      </c>
      <c r="I6" s="66" t="s">
        <v>69</v>
      </c>
      <c r="J6" s="49">
        <f>H6*F6*D6</f>
        <v>2172</v>
      </c>
      <c r="K6" s="67"/>
    </row>
    <row r="7" ht="41" spans="1:11">
      <c r="A7" s="18"/>
      <c r="B7" s="15" t="s">
        <v>492</v>
      </c>
      <c r="C7" s="16" t="s">
        <v>56</v>
      </c>
      <c r="D7" s="17">
        <v>1</v>
      </c>
      <c r="E7" s="25" t="s">
        <v>490</v>
      </c>
      <c r="F7" s="47">
        <v>2</v>
      </c>
      <c r="G7" s="48" t="s">
        <v>491</v>
      </c>
      <c r="H7" s="49">
        <v>2089</v>
      </c>
      <c r="I7" s="66" t="s">
        <v>69</v>
      </c>
      <c r="J7" s="49">
        <f>H7*F7*D7</f>
        <v>4178</v>
      </c>
      <c r="K7" s="67" t="s">
        <v>493</v>
      </c>
    </row>
    <row r="8" ht="41" spans="1:11">
      <c r="A8" s="18"/>
      <c r="B8" s="15" t="s">
        <v>494</v>
      </c>
      <c r="C8" s="16" t="s">
        <v>56</v>
      </c>
      <c r="D8" s="17">
        <v>1</v>
      </c>
      <c r="E8" s="25" t="s">
        <v>490</v>
      </c>
      <c r="F8" s="47">
        <v>2</v>
      </c>
      <c r="G8" s="48" t="s">
        <v>491</v>
      </c>
      <c r="H8" s="49">
        <v>1578</v>
      </c>
      <c r="I8" s="66" t="s">
        <v>69</v>
      </c>
      <c r="J8" s="49">
        <f>H8*F8*D8</f>
        <v>3156</v>
      </c>
      <c r="K8" s="67" t="s">
        <v>493</v>
      </c>
    </row>
    <row r="9" ht="41" spans="1:11">
      <c r="A9" s="18"/>
      <c r="B9" s="15" t="s">
        <v>495</v>
      </c>
      <c r="C9" s="16" t="s">
        <v>56</v>
      </c>
      <c r="D9" s="17">
        <v>2</v>
      </c>
      <c r="E9" s="25" t="s">
        <v>490</v>
      </c>
      <c r="F9" s="47">
        <v>2</v>
      </c>
      <c r="G9" s="48" t="s">
        <v>491</v>
      </c>
      <c r="H9" s="49">
        <v>2243</v>
      </c>
      <c r="I9" s="66" t="s">
        <v>69</v>
      </c>
      <c r="J9" s="49">
        <f t="shared" ref="J9:J15" si="0">H9*F9*D9</f>
        <v>8972</v>
      </c>
      <c r="K9" s="67" t="s">
        <v>493</v>
      </c>
    </row>
    <row r="10" ht="41" spans="1:11">
      <c r="A10" s="19"/>
      <c r="B10" s="15" t="s">
        <v>496</v>
      </c>
      <c r="C10" s="16" t="s">
        <v>56</v>
      </c>
      <c r="D10" s="17">
        <v>4</v>
      </c>
      <c r="E10" s="25" t="s">
        <v>490</v>
      </c>
      <c r="F10" s="47">
        <v>2</v>
      </c>
      <c r="G10" s="48" t="s">
        <v>491</v>
      </c>
      <c r="H10" s="49">
        <v>2432</v>
      </c>
      <c r="I10" s="66" t="s">
        <v>69</v>
      </c>
      <c r="J10" s="49">
        <f t="shared" si="0"/>
        <v>19456</v>
      </c>
      <c r="K10" s="67" t="s">
        <v>493</v>
      </c>
    </row>
    <row r="11" spans="1:11">
      <c r="A11" s="20" t="s">
        <v>63</v>
      </c>
      <c r="B11" s="21"/>
      <c r="C11" s="22"/>
      <c r="D11" s="21"/>
      <c r="E11" s="21"/>
      <c r="F11" s="21"/>
      <c r="G11" s="21"/>
      <c r="H11" s="21"/>
      <c r="I11" s="68"/>
      <c r="J11" s="69">
        <f>SUM(J6:J10)</f>
        <v>37934</v>
      </c>
      <c r="K11" s="70"/>
    </row>
    <row r="12" ht="41" spans="1:11">
      <c r="A12" s="14" t="s">
        <v>12</v>
      </c>
      <c r="B12" s="23" t="s">
        <v>497</v>
      </c>
      <c r="C12" s="23" t="s">
        <v>67</v>
      </c>
      <c r="D12" s="24">
        <v>11</v>
      </c>
      <c r="E12" s="16" t="s">
        <v>498</v>
      </c>
      <c r="F12" s="24">
        <v>1</v>
      </c>
      <c r="G12" s="48" t="s">
        <v>491</v>
      </c>
      <c r="H12" s="50">
        <v>500</v>
      </c>
      <c r="I12" s="66" t="s">
        <v>69</v>
      </c>
      <c r="J12" s="49">
        <f t="shared" si="0"/>
        <v>5500</v>
      </c>
      <c r="K12" s="67" t="s">
        <v>499</v>
      </c>
    </row>
    <row r="13" ht="41" spans="1:11">
      <c r="A13" s="18"/>
      <c r="B13" s="16" t="s">
        <v>500</v>
      </c>
      <c r="C13" s="16" t="s">
        <v>67</v>
      </c>
      <c r="D13" s="24">
        <v>11</v>
      </c>
      <c r="E13" s="16" t="s">
        <v>498</v>
      </c>
      <c r="F13" s="24">
        <v>1</v>
      </c>
      <c r="G13" s="48" t="s">
        <v>491</v>
      </c>
      <c r="H13" s="50">
        <v>800</v>
      </c>
      <c r="I13" s="66" t="s">
        <v>69</v>
      </c>
      <c r="J13" s="49">
        <f t="shared" si="0"/>
        <v>8800</v>
      </c>
      <c r="K13" s="67" t="s">
        <v>499</v>
      </c>
    </row>
    <row r="14" ht="34.95" customHeight="1" spans="1:11">
      <c r="A14" s="18"/>
      <c r="B14" s="16" t="s">
        <v>501</v>
      </c>
      <c r="C14" s="16" t="s">
        <v>67</v>
      </c>
      <c r="D14" s="24">
        <v>5</v>
      </c>
      <c r="E14" s="16" t="s">
        <v>502</v>
      </c>
      <c r="F14" s="24">
        <v>1</v>
      </c>
      <c r="G14" s="48" t="s">
        <v>503</v>
      </c>
      <c r="H14" s="50">
        <v>1200</v>
      </c>
      <c r="I14" s="66" t="s">
        <v>69</v>
      </c>
      <c r="J14" s="49">
        <f t="shared" si="0"/>
        <v>6000</v>
      </c>
      <c r="K14" s="67"/>
    </row>
    <row r="15" ht="41" spans="1:11">
      <c r="A15" s="19"/>
      <c r="B15" s="16" t="s">
        <v>501</v>
      </c>
      <c r="C15" s="16" t="s">
        <v>198</v>
      </c>
      <c r="D15" s="24">
        <v>1</v>
      </c>
      <c r="E15" s="16" t="s">
        <v>502</v>
      </c>
      <c r="F15" s="24">
        <v>0</v>
      </c>
      <c r="G15" s="48" t="s">
        <v>503</v>
      </c>
      <c r="H15" s="50">
        <v>1800</v>
      </c>
      <c r="I15" s="66" t="s">
        <v>69</v>
      </c>
      <c r="J15" s="49">
        <f t="shared" si="0"/>
        <v>0</v>
      </c>
      <c r="K15" s="67" t="s">
        <v>504</v>
      </c>
    </row>
    <row r="16" spans="1:11">
      <c r="A16" s="20" t="s">
        <v>63</v>
      </c>
      <c r="B16" s="21"/>
      <c r="C16" s="21"/>
      <c r="D16" s="21"/>
      <c r="E16" s="21"/>
      <c r="F16" s="21"/>
      <c r="G16" s="21"/>
      <c r="H16" s="21" t="s">
        <v>75</v>
      </c>
      <c r="I16" s="68"/>
      <c r="J16" s="69">
        <f>SUM(J12:J15)</f>
        <v>20300</v>
      </c>
      <c r="K16" s="70"/>
    </row>
    <row r="17" spans="1:11">
      <c r="A17" s="14" t="s">
        <v>14</v>
      </c>
      <c r="B17" s="25" t="s">
        <v>505</v>
      </c>
      <c r="C17" s="25" t="s">
        <v>78</v>
      </c>
      <c r="D17" s="26">
        <v>10</v>
      </c>
      <c r="E17" s="25" t="s">
        <v>79</v>
      </c>
      <c r="F17" s="26">
        <v>1</v>
      </c>
      <c r="G17" s="25" t="s">
        <v>80</v>
      </c>
      <c r="H17" s="50">
        <v>1450</v>
      </c>
      <c r="I17" s="66" t="s">
        <v>69</v>
      </c>
      <c r="J17" s="49">
        <f>H17*F17*D17</f>
        <v>14500</v>
      </c>
      <c r="K17" s="71" t="s">
        <v>506</v>
      </c>
    </row>
    <row r="18" spans="1:11">
      <c r="A18" s="19"/>
      <c r="B18" s="16" t="s">
        <v>507</v>
      </c>
      <c r="C18" s="16" t="s">
        <v>78</v>
      </c>
      <c r="D18" s="24">
        <v>10</v>
      </c>
      <c r="E18" s="25" t="s">
        <v>79</v>
      </c>
      <c r="F18" s="26">
        <v>1</v>
      </c>
      <c r="G18" s="25" t="s">
        <v>80</v>
      </c>
      <c r="H18" s="50">
        <v>680</v>
      </c>
      <c r="I18" s="66" t="s">
        <v>69</v>
      </c>
      <c r="J18" s="49">
        <f>H18*F18*D18</f>
        <v>6800</v>
      </c>
      <c r="K18" s="72"/>
    </row>
    <row r="19" spans="1:11">
      <c r="A19" s="20" t="s">
        <v>63</v>
      </c>
      <c r="B19" s="21"/>
      <c r="C19" s="21"/>
      <c r="D19" s="21"/>
      <c r="E19" s="21"/>
      <c r="F19" s="21"/>
      <c r="G19" s="21"/>
      <c r="H19" s="21"/>
      <c r="I19" s="68"/>
      <c r="J19" s="69">
        <f>SUM(J17:J18)</f>
        <v>21300</v>
      </c>
      <c r="K19" s="70"/>
    </row>
    <row r="20" spans="1:11">
      <c r="A20" s="14" t="s">
        <v>508</v>
      </c>
      <c r="B20" s="25" t="s">
        <v>509</v>
      </c>
      <c r="C20" s="25" t="s">
        <v>510</v>
      </c>
      <c r="D20" s="26">
        <v>1</v>
      </c>
      <c r="E20" s="25" t="s">
        <v>135</v>
      </c>
      <c r="F20" s="26">
        <v>1</v>
      </c>
      <c r="G20" s="25" t="s">
        <v>511</v>
      </c>
      <c r="H20" s="50">
        <v>150000</v>
      </c>
      <c r="I20" s="66" t="s">
        <v>69</v>
      </c>
      <c r="J20" s="49">
        <f>H20*F20*D20</f>
        <v>150000</v>
      </c>
      <c r="K20" s="71"/>
    </row>
    <row r="21" spans="1:11">
      <c r="A21" s="18"/>
      <c r="B21" s="25" t="s">
        <v>512</v>
      </c>
      <c r="C21" s="25" t="s">
        <v>513</v>
      </c>
      <c r="D21" s="26">
        <v>1</v>
      </c>
      <c r="E21" s="25" t="s">
        <v>135</v>
      </c>
      <c r="F21" s="26">
        <v>1</v>
      </c>
      <c r="G21" s="25" t="s">
        <v>514</v>
      </c>
      <c r="H21" s="50">
        <v>90000</v>
      </c>
      <c r="I21" s="66" t="s">
        <v>69</v>
      </c>
      <c r="J21" s="49">
        <f>H21*F21*D21</f>
        <v>90000</v>
      </c>
      <c r="K21" s="71"/>
    </row>
    <row r="22" spans="1:11">
      <c r="A22" s="19"/>
      <c r="B22" s="25" t="s">
        <v>512</v>
      </c>
      <c r="C22" s="16" t="s">
        <v>515</v>
      </c>
      <c r="D22" s="24">
        <v>100</v>
      </c>
      <c r="E22" s="25" t="s">
        <v>490</v>
      </c>
      <c r="F22" s="26">
        <v>1</v>
      </c>
      <c r="G22" s="25" t="s">
        <v>122</v>
      </c>
      <c r="H22" s="51">
        <v>30</v>
      </c>
      <c r="I22" s="66" t="s">
        <v>69</v>
      </c>
      <c r="J22" s="49">
        <f>H22*F22*D22</f>
        <v>3000</v>
      </c>
      <c r="K22" s="71"/>
    </row>
    <row r="23" spans="1:11">
      <c r="A23" s="20" t="s">
        <v>63</v>
      </c>
      <c r="B23" s="21"/>
      <c r="C23" s="21"/>
      <c r="D23" s="21"/>
      <c r="E23" s="21"/>
      <c r="F23" s="21"/>
      <c r="G23" s="21"/>
      <c r="H23" s="21"/>
      <c r="I23" s="68"/>
      <c r="J23" s="69">
        <f>SUM(J20:J22)</f>
        <v>243000</v>
      </c>
      <c r="K23" s="70"/>
    </row>
    <row r="24" spans="1:11">
      <c r="A24" s="14" t="s">
        <v>18</v>
      </c>
      <c r="B24" s="24" t="s">
        <v>505</v>
      </c>
      <c r="C24" s="24" t="s">
        <v>97</v>
      </c>
      <c r="D24" s="24">
        <v>150</v>
      </c>
      <c r="E24" s="16" t="s">
        <v>490</v>
      </c>
      <c r="F24" s="24">
        <v>1</v>
      </c>
      <c r="G24" s="16" t="s">
        <v>122</v>
      </c>
      <c r="H24" s="50">
        <v>358</v>
      </c>
      <c r="I24" s="66" t="s">
        <v>69</v>
      </c>
      <c r="J24" s="49">
        <f t="shared" ref="J24:J29" si="1">H24*F24*D24</f>
        <v>53700</v>
      </c>
      <c r="K24" s="67"/>
    </row>
    <row r="25" spans="1:11">
      <c r="A25" s="20" t="s">
        <v>63</v>
      </c>
      <c r="B25" s="21"/>
      <c r="C25" s="21"/>
      <c r="D25" s="21"/>
      <c r="E25" s="21"/>
      <c r="F25" s="21"/>
      <c r="G25" s="21"/>
      <c r="H25" s="21" t="s">
        <v>75</v>
      </c>
      <c r="I25" s="68"/>
      <c r="J25" s="69">
        <f>SUM(J24:J24)</f>
        <v>53700</v>
      </c>
      <c r="K25" s="70"/>
    </row>
    <row r="26" spans="1:11">
      <c r="A26" s="19" t="s">
        <v>20</v>
      </c>
      <c r="B26" s="24" t="s">
        <v>101</v>
      </c>
      <c r="C26" s="16" t="s">
        <v>20</v>
      </c>
      <c r="D26" s="24">
        <v>11</v>
      </c>
      <c r="E26" s="16" t="s">
        <v>490</v>
      </c>
      <c r="F26" s="24">
        <v>1</v>
      </c>
      <c r="G26" s="16" t="s">
        <v>122</v>
      </c>
      <c r="H26" s="50">
        <v>50</v>
      </c>
      <c r="I26" s="66" t="s">
        <v>69</v>
      </c>
      <c r="J26" s="49">
        <f t="shared" si="1"/>
        <v>550</v>
      </c>
      <c r="K26" s="67"/>
    </row>
    <row r="27" spans="1:11">
      <c r="A27" s="20" t="s">
        <v>63</v>
      </c>
      <c r="B27" s="21"/>
      <c r="C27" s="21"/>
      <c r="D27" s="21"/>
      <c r="E27" s="21"/>
      <c r="F27" s="21"/>
      <c r="G27" s="21"/>
      <c r="H27" s="21" t="s">
        <v>75</v>
      </c>
      <c r="I27" s="68"/>
      <c r="J27" s="69">
        <f>SUM(J26:J26)</f>
        <v>550</v>
      </c>
      <c r="K27" s="70"/>
    </row>
    <row r="28" spans="1:11">
      <c r="A28" s="14" t="s">
        <v>22</v>
      </c>
      <c r="B28" s="24" t="s">
        <v>516</v>
      </c>
      <c r="C28" s="23" t="s">
        <v>72</v>
      </c>
      <c r="D28" s="24">
        <v>2</v>
      </c>
      <c r="E28" s="52" t="s">
        <v>135</v>
      </c>
      <c r="F28" s="53">
        <v>0</v>
      </c>
      <c r="G28" s="52" t="s">
        <v>122</v>
      </c>
      <c r="H28" s="54">
        <v>50</v>
      </c>
      <c r="I28" s="66" t="s">
        <v>69</v>
      </c>
      <c r="J28" s="49">
        <f t="shared" si="1"/>
        <v>0</v>
      </c>
      <c r="K28" s="67" t="s">
        <v>517</v>
      </c>
    </row>
    <row r="29" spans="1:11">
      <c r="A29" s="19"/>
      <c r="B29" s="24" t="s">
        <v>107</v>
      </c>
      <c r="C29" s="23" t="s">
        <v>72</v>
      </c>
      <c r="D29" s="24">
        <v>6</v>
      </c>
      <c r="E29" s="52" t="s">
        <v>135</v>
      </c>
      <c r="F29" s="53">
        <v>0</v>
      </c>
      <c r="G29" s="52" t="s">
        <v>122</v>
      </c>
      <c r="H29" s="54">
        <v>50</v>
      </c>
      <c r="I29" s="66" t="s">
        <v>69</v>
      </c>
      <c r="J29" s="49">
        <f t="shared" si="1"/>
        <v>0</v>
      </c>
      <c r="K29" s="67" t="s">
        <v>517</v>
      </c>
    </row>
    <row r="30" spans="1:11">
      <c r="A30" s="20" t="s">
        <v>63</v>
      </c>
      <c r="B30" s="21"/>
      <c r="C30" s="21"/>
      <c r="D30" s="21"/>
      <c r="E30" s="21"/>
      <c r="F30" s="21"/>
      <c r="G30" s="21"/>
      <c r="H30" s="21"/>
      <c r="I30" s="68"/>
      <c r="J30" s="69">
        <f>SUM(J28:J29)</f>
        <v>0</v>
      </c>
      <c r="K30" s="70"/>
    </row>
    <row r="31" ht="28" spans="1:11">
      <c r="A31" s="14" t="s">
        <v>140</v>
      </c>
      <c r="B31" s="24" t="s">
        <v>518</v>
      </c>
      <c r="C31" s="23" t="s">
        <v>140</v>
      </c>
      <c r="D31" s="24">
        <v>4</v>
      </c>
      <c r="E31" s="52" t="s">
        <v>490</v>
      </c>
      <c r="F31" s="53">
        <v>2</v>
      </c>
      <c r="G31" s="52" t="s">
        <v>225</v>
      </c>
      <c r="H31" s="54">
        <v>800</v>
      </c>
      <c r="I31" s="66" t="s">
        <v>69</v>
      </c>
      <c r="J31" s="49">
        <f>H31*F31*D31</f>
        <v>6400</v>
      </c>
      <c r="K31" s="67" t="s">
        <v>519</v>
      </c>
    </row>
    <row r="32" spans="1:11">
      <c r="A32" s="19"/>
      <c r="B32" s="24" t="s">
        <v>518</v>
      </c>
      <c r="C32" s="23" t="s">
        <v>520</v>
      </c>
      <c r="D32" s="24">
        <v>4</v>
      </c>
      <c r="E32" s="52" t="s">
        <v>490</v>
      </c>
      <c r="F32" s="53">
        <v>2</v>
      </c>
      <c r="G32" s="52" t="s">
        <v>225</v>
      </c>
      <c r="H32" s="54">
        <v>60</v>
      </c>
      <c r="I32" s="66" t="s">
        <v>69</v>
      </c>
      <c r="J32" s="49">
        <f>H32*F32*D32</f>
        <v>480</v>
      </c>
      <c r="K32" s="73"/>
    </row>
    <row r="33" spans="1:11">
      <c r="A33" s="20" t="s">
        <v>63</v>
      </c>
      <c r="B33" s="21"/>
      <c r="C33" s="21"/>
      <c r="D33" s="21"/>
      <c r="E33" s="21"/>
      <c r="F33" s="21"/>
      <c r="G33" s="21"/>
      <c r="H33" s="21" t="s">
        <v>75</v>
      </c>
      <c r="I33" s="68"/>
      <c r="J33" s="69">
        <f>SUM(J31:J32)</f>
        <v>6880</v>
      </c>
      <c r="K33" s="70"/>
    </row>
    <row r="34" spans="1:11">
      <c r="A34" s="19" t="s">
        <v>26</v>
      </c>
      <c r="B34" s="24" t="s">
        <v>162</v>
      </c>
      <c r="C34" s="16" t="s">
        <v>72</v>
      </c>
      <c r="D34" s="24">
        <v>1</v>
      </c>
      <c r="E34" s="16" t="s">
        <v>10</v>
      </c>
      <c r="F34" s="24">
        <v>1</v>
      </c>
      <c r="G34" s="16" t="s">
        <v>10</v>
      </c>
      <c r="H34" s="50">
        <v>10000</v>
      </c>
      <c r="I34" s="66" t="s">
        <v>69</v>
      </c>
      <c r="J34" s="49">
        <f>H34*F34*D34</f>
        <v>10000</v>
      </c>
      <c r="K34" s="67"/>
    </row>
    <row r="35" spans="1:11">
      <c r="A35" s="20" t="s">
        <v>63</v>
      </c>
      <c r="B35" s="21"/>
      <c r="C35" s="21"/>
      <c r="D35" s="21"/>
      <c r="E35" s="21"/>
      <c r="F35" s="21"/>
      <c r="G35" s="21"/>
      <c r="H35" s="21" t="s">
        <v>75</v>
      </c>
      <c r="I35" s="68"/>
      <c r="J35" s="69">
        <f>SUM(J34)</f>
        <v>10000</v>
      </c>
      <c r="K35" s="70"/>
    </row>
    <row r="36" spans="1:11">
      <c r="A36" s="27" t="s">
        <v>167</v>
      </c>
      <c r="B36" s="28"/>
      <c r="C36" s="28"/>
      <c r="D36" s="28"/>
      <c r="E36" s="28"/>
      <c r="F36" s="28"/>
      <c r="G36" s="28"/>
      <c r="H36" s="28"/>
      <c r="I36" s="74"/>
      <c r="J36" s="75">
        <f>SUM(J33,J27,J25,J23,J19,J16,J11,J35,J30)</f>
        <v>393664</v>
      </c>
      <c r="K36" s="76"/>
    </row>
    <row r="37" spans="1:11">
      <c r="A37" s="29" t="s">
        <v>521</v>
      </c>
      <c r="B37" s="30"/>
      <c r="C37" s="31"/>
      <c r="D37" s="32"/>
      <c r="E37" s="32"/>
      <c r="F37" s="32"/>
      <c r="G37" s="32"/>
      <c r="H37" s="32"/>
      <c r="I37" s="77"/>
      <c r="J37" s="78">
        <f>J36*4%</f>
        <v>15746.56</v>
      </c>
      <c r="K37" s="79"/>
    </row>
    <row r="38" spans="1:11">
      <c r="A38" s="29" t="s">
        <v>169</v>
      </c>
      <c r="B38" s="30"/>
      <c r="C38" s="30"/>
      <c r="D38" s="30"/>
      <c r="E38" s="30"/>
      <c r="F38" s="30"/>
      <c r="G38" s="30"/>
      <c r="H38" s="30"/>
      <c r="I38" s="80"/>
      <c r="J38" s="81">
        <f>(J36+J37)*6%</f>
        <v>24564.6336</v>
      </c>
      <c r="K38" s="82"/>
    </row>
    <row r="39" ht="18.35" spans="1:11">
      <c r="A39" s="33" t="s">
        <v>170</v>
      </c>
      <c r="B39" s="34"/>
      <c r="C39" s="34"/>
      <c r="D39" s="34"/>
      <c r="E39" s="34"/>
      <c r="F39" s="34"/>
      <c r="G39" s="34"/>
      <c r="H39" s="3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abSelected="1" zoomScale="80" zoomScaleNormal="80" workbookViewId="0">
      <selection activeCell="J84" sqref="J10 J14 J18 J25 J31 J34 J58 J77 J84"/>
    </sheetView>
  </sheetViews>
  <sheetFormatPr defaultColWidth="10.9333333333333" defaultRowHeight="17.6"/>
  <cols>
    <col min="1" max="1" width="17.8" customWidth="1"/>
    <col min="2" max="2" width="38" customWidth="1"/>
    <col min="3" max="3" width="16.8" customWidth="1"/>
    <col min="4" max="5" width="10.8" style="218"/>
    <col min="6" max="6" width="10.4666666666667" customWidth="1"/>
    <col min="8" max="8" width="13.3333333333333" customWidth="1"/>
    <col min="9" max="9" width="14.2" customWidth="1"/>
    <col min="10" max="10" width="15.4666666666667" customWidth="1"/>
    <col min="11" max="11" width="34.4666666666667" style="161" customWidth="1"/>
  </cols>
  <sheetData>
    <row r="1" spans="1:11">
      <c r="A1" s="224" t="s">
        <v>32</v>
      </c>
      <c r="B1" s="225"/>
      <c r="C1" s="226"/>
      <c r="D1" s="226"/>
      <c r="E1" s="226"/>
      <c r="F1" s="248"/>
      <c r="G1" s="249" t="s">
        <v>33</v>
      </c>
      <c r="H1" s="225"/>
      <c r="I1" s="248"/>
      <c r="J1" s="262" t="s">
        <v>34</v>
      </c>
      <c r="K1" s="263"/>
    </row>
    <row r="2" spans="1:11">
      <c r="A2" s="1" t="s">
        <v>35</v>
      </c>
      <c r="B2" s="2" t="s">
        <v>36</v>
      </c>
      <c r="C2" s="3"/>
      <c r="D2" s="3"/>
      <c r="E2" s="3"/>
      <c r="F2" s="35"/>
      <c r="G2" s="36" t="s">
        <v>37</v>
      </c>
      <c r="H2" s="2"/>
      <c r="I2" s="35"/>
      <c r="J2" s="55" t="s">
        <v>34</v>
      </c>
      <c r="K2" s="56"/>
    </row>
    <row r="3" spans="1:11">
      <c r="A3" s="1" t="s">
        <v>38</v>
      </c>
      <c r="B3" s="227" t="s">
        <v>39</v>
      </c>
      <c r="C3" s="5" t="s">
        <v>40</v>
      </c>
      <c r="D3" s="6">
        <v>130</v>
      </c>
      <c r="E3" s="37"/>
      <c r="F3" s="38"/>
      <c r="G3" s="39" t="s">
        <v>41</v>
      </c>
      <c r="H3" s="40" t="s">
        <v>42</v>
      </c>
      <c r="I3" s="57"/>
      <c r="J3" s="43" t="s">
        <v>43</v>
      </c>
      <c r="K3" s="264" t="s">
        <v>44</v>
      </c>
    </row>
    <row r="4" spans="1:11">
      <c r="A4" s="1" t="s">
        <v>45</v>
      </c>
      <c r="B4" s="227" t="s">
        <v>46</v>
      </c>
      <c r="C4" s="5" t="s">
        <v>47</v>
      </c>
      <c r="D4" s="228" t="s">
        <v>48</v>
      </c>
      <c r="E4" s="250"/>
      <c r="F4" s="251"/>
      <c r="G4" s="43" t="s">
        <v>34</v>
      </c>
      <c r="H4" s="44"/>
      <c r="I4" s="59">
        <v>13910193620</v>
      </c>
      <c r="J4" s="60"/>
      <c r="K4" s="61"/>
    </row>
    <row r="5" spans="1:11">
      <c r="A5" s="8" t="s">
        <v>49</v>
      </c>
      <c r="B5" s="9"/>
      <c r="C5" s="9"/>
      <c r="D5" s="9"/>
      <c r="E5" s="9"/>
      <c r="F5" s="9"/>
      <c r="G5" s="9"/>
      <c r="H5" s="9"/>
      <c r="I5" s="9"/>
      <c r="J5" s="9"/>
      <c r="K5" s="62"/>
    </row>
    <row r="6" spans="1:11">
      <c r="A6" s="189" t="s">
        <v>50</v>
      </c>
      <c r="B6" s="190"/>
      <c r="C6" s="191" t="s">
        <v>51</v>
      </c>
      <c r="D6" s="192" t="s">
        <v>5</v>
      </c>
      <c r="E6" s="199"/>
      <c r="F6" s="192" t="s">
        <v>52</v>
      </c>
      <c r="G6" s="199"/>
      <c r="H6" s="252" t="s">
        <v>53</v>
      </c>
      <c r="I6" s="265"/>
      <c r="J6" s="46" t="s">
        <v>54</v>
      </c>
      <c r="K6" s="65" t="s">
        <v>7</v>
      </c>
    </row>
    <row r="7" spans="1:11">
      <c r="A7" s="229" t="s">
        <v>9</v>
      </c>
      <c r="B7" s="16" t="s">
        <v>55</v>
      </c>
      <c r="C7" s="16" t="s">
        <v>56</v>
      </c>
      <c r="D7" s="196">
        <v>90</v>
      </c>
      <c r="E7" s="201"/>
      <c r="F7" s="253" t="s">
        <v>57</v>
      </c>
      <c r="G7" s="254"/>
      <c r="H7" s="255">
        <v>3000</v>
      </c>
      <c r="I7" s="266"/>
      <c r="J7" s="54">
        <f>D7*H7</f>
        <v>270000</v>
      </c>
      <c r="K7" s="267" t="s">
        <v>58</v>
      </c>
    </row>
    <row r="8" spans="1:11">
      <c r="A8" s="230"/>
      <c r="B8" s="16" t="s">
        <v>59</v>
      </c>
      <c r="C8" s="16" t="s">
        <v>60</v>
      </c>
      <c r="D8" s="196">
        <v>10</v>
      </c>
      <c r="E8" s="201"/>
      <c r="F8" s="253" t="s">
        <v>57</v>
      </c>
      <c r="G8" s="254"/>
      <c r="H8" s="253">
        <v>1500</v>
      </c>
      <c r="I8" s="254"/>
      <c r="J8" s="54">
        <f>D8*H8</f>
        <v>15000</v>
      </c>
      <c r="K8" s="268"/>
    </row>
    <row r="9" spans="1:11">
      <c r="A9" s="231"/>
      <c r="B9" s="232" t="s">
        <v>61</v>
      </c>
      <c r="C9" s="232" t="s">
        <v>62</v>
      </c>
      <c r="D9" s="233">
        <v>0</v>
      </c>
      <c r="E9" s="233"/>
      <c r="F9" s="253" t="s">
        <v>57</v>
      </c>
      <c r="G9" s="254"/>
      <c r="H9" s="233">
        <v>1000</v>
      </c>
      <c r="I9" s="233"/>
      <c r="J9" s="54">
        <f>D9*H9</f>
        <v>0</v>
      </c>
      <c r="K9" s="269"/>
    </row>
    <row r="10" spans="1:11">
      <c r="A10" s="20" t="s">
        <v>63</v>
      </c>
      <c r="B10" s="21"/>
      <c r="C10" s="21"/>
      <c r="D10" s="21"/>
      <c r="E10" s="21"/>
      <c r="F10" s="21"/>
      <c r="G10" s="21"/>
      <c r="H10" s="21"/>
      <c r="I10" s="68"/>
      <c r="J10" s="270">
        <f>SUM(J7:J9)</f>
        <v>285000</v>
      </c>
      <c r="K10" s="271"/>
    </row>
    <row r="11" ht="30" customHeight="1" spans="1:11">
      <c r="A11" s="189" t="s">
        <v>50</v>
      </c>
      <c r="B11" s="190"/>
      <c r="C11" s="191" t="s">
        <v>64</v>
      </c>
      <c r="D11" s="192" t="s">
        <v>5</v>
      </c>
      <c r="E11" s="199"/>
      <c r="F11" s="192" t="s">
        <v>52</v>
      </c>
      <c r="G11" s="199"/>
      <c r="H11" s="192" t="s">
        <v>53</v>
      </c>
      <c r="I11" s="199"/>
      <c r="J11" s="46" t="s">
        <v>54</v>
      </c>
      <c r="K11" s="65" t="s">
        <v>7</v>
      </c>
    </row>
    <row r="12" ht="31.95" customHeight="1" spans="1:11">
      <c r="A12" s="234" t="s">
        <v>65</v>
      </c>
      <c r="B12" s="235" t="s">
        <v>66</v>
      </c>
      <c r="C12" s="16" t="s">
        <v>67</v>
      </c>
      <c r="D12" s="236">
        <v>260</v>
      </c>
      <c r="E12" s="256"/>
      <c r="F12" s="233" t="s">
        <v>68</v>
      </c>
      <c r="G12" s="233"/>
      <c r="H12" s="257">
        <v>550</v>
      </c>
      <c r="I12" s="257" t="s">
        <v>69</v>
      </c>
      <c r="J12" s="272">
        <f>D12*H12</f>
        <v>143000</v>
      </c>
      <c r="K12" s="273" t="s">
        <v>70</v>
      </c>
    </row>
    <row r="13" ht="30" customHeight="1" spans="1:11">
      <c r="A13" s="234"/>
      <c r="B13" s="237" t="s">
        <v>71</v>
      </c>
      <c r="C13" s="16" t="s">
        <v>72</v>
      </c>
      <c r="D13" s="238">
        <v>10</v>
      </c>
      <c r="E13" s="238"/>
      <c r="F13" s="24" t="s">
        <v>73</v>
      </c>
      <c r="G13" s="24"/>
      <c r="H13" s="257">
        <v>550</v>
      </c>
      <c r="I13" s="257" t="s">
        <v>69</v>
      </c>
      <c r="J13" s="272">
        <f>D13*H13</f>
        <v>5500</v>
      </c>
      <c r="K13" s="274" t="s">
        <v>74</v>
      </c>
    </row>
    <row r="14" spans="1:11">
      <c r="A14" s="20" t="s">
        <v>63</v>
      </c>
      <c r="B14" s="21"/>
      <c r="C14" s="21"/>
      <c r="D14" s="21"/>
      <c r="E14" s="21"/>
      <c r="F14" s="21"/>
      <c r="G14" s="21"/>
      <c r="H14" s="21" t="s">
        <v>75</v>
      </c>
      <c r="I14" s="68"/>
      <c r="J14" s="69">
        <f>SUM(J12:J13)</f>
        <v>148500</v>
      </c>
      <c r="K14" s="271"/>
    </row>
    <row r="15" spans="1:11">
      <c r="A15" s="189" t="s">
        <v>50</v>
      </c>
      <c r="B15" s="190"/>
      <c r="C15" s="191" t="s">
        <v>76</v>
      </c>
      <c r="D15" s="192" t="s">
        <v>5</v>
      </c>
      <c r="E15" s="199"/>
      <c r="F15" s="192" t="s">
        <v>52</v>
      </c>
      <c r="G15" s="199"/>
      <c r="H15" s="192" t="s">
        <v>53</v>
      </c>
      <c r="I15" s="199"/>
      <c r="J15" s="46" t="s">
        <v>54</v>
      </c>
      <c r="K15" s="65" t="s">
        <v>7</v>
      </c>
    </row>
    <row r="16" spans="1:11">
      <c r="A16" s="14" t="s">
        <v>14</v>
      </c>
      <c r="B16" s="25" t="s">
        <v>77</v>
      </c>
      <c r="C16" s="25" t="s">
        <v>78</v>
      </c>
      <c r="D16" s="26">
        <v>50</v>
      </c>
      <c r="E16" s="25" t="s">
        <v>79</v>
      </c>
      <c r="F16" s="26">
        <v>3</v>
      </c>
      <c r="G16" s="25" t="s">
        <v>80</v>
      </c>
      <c r="H16" s="258">
        <v>1300</v>
      </c>
      <c r="I16" s="275" t="s">
        <v>69</v>
      </c>
      <c r="J16" s="54">
        <f>D16*F16*H16</f>
        <v>195000</v>
      </c>
      <c r="K16" s="276" t="s">
        <v>81</v>
      </c>
    </row>
    <row r="17" spans="1:11">
      <c r="A17" s="18"/>
      <c r="B17" s="25" t="s">
        <v>77</v>
      </c>
      <c r="C17" s="16" t="s">
        <v>82</v>
      </c>
      <c r="D17" s="24">
        <v>80</v>
      </c>
      <c r="E17" s="25" t="s">
        <v>79</v>
      </c>
      <c r="F17" s="26">
        <v>2</v>
      </c>
      <c r="G17" s="25" t="s">
        <v>80</v>
      </c>
      <c r="H17" s="258">
        <v>1300</v>
      </c>
      <c r="I17" s="275" t="s">
        <v>69</v>
      </c>
      <c r="J17" s="54">
        <f>D17*F17*H17</f>
        <v>208000</v>
      </c>
      <c r="K17" s="276" t="s">
        <v>83</v>
      </c>
    </row>
    <row r="18" spans="1:11">
      <c r="A18" s="20" t="s">
        <v>63</v>
      </c>
      <c r="B18" s="21"/>
      <c r="C18" s="21"/>
      <c r="D18" s="21"/>
      <c r="E18" s="21"/>
      <c r="F18" s="21"/>
      <c r="G18" s="21"/>
      <c r="H18" s="21"/>
      <c r="I18" s="68"/>
      <c r="J18" s="69">
        <f>SUM(J16:J17)</f>
        <v>403000</v>
      </c>
      <c r="K18" s="271"/>
    </row>
    <row r="19" spans="1:11">
      <c r="A19" s="189" t="s">
        <v>50</v>
      </c>
      <c r="B19" s="190"/>
      <c r="C19" s="191" t="s">
        <v>84</v>
      </c>
      <c r="D19" s="192" t="s">
        <v>5</v>
      </c>
      <c r="E19" s="199"/>
      <c r="F19" s="192" t="s">
        <v>52</v>
      </c>
      <c r="G19" s="199"/>
      <c r="H19" s="192" t="s">
        <v>53</v>
      </c>
      <c r="I19" s="199"/>
      <c r="J19" s="46" t="s">
        <v>54</v>
      </c>
      <c r="K19" s="65" t="s">
        <v>7</v>
      </c>
    </row>
    <row r="20" ht="32" customHeight="1" spans="1:11">
      <c r="A20" s="239" t="s">
        <v>85</v>
      </c>
      <c r="B20" s="16" t="s">
        <v>86</v>
      </c>
      <c r="C20" s="16" t="s">
        <v>87</v>
      </c>
      <c r="D20" s="240">
        <v>3</v>
      </c>
      <c r="E20" s="259"/>
      <c r="F20" s="240" t="s">
        <v>73</v>
      </c>
      <c r="G20" s="259"/>
      <c r="H20" s="258">
        <v>30000</v>
      </c>
      <c r="I20" s="275" t="s">
        <v>69</v>
      </c>
      <c r="J20" s="54"/>
      <c r="K20" s="277" t="s">
        <v>88</v>
      </c>
    </row>
    <row r="21" ht="32" customHeight="1" spans="1:11">
      <c r="A21" s="241"/>
      <c r="B21" s="16" t="s">
        <v>86</v>
      </c>
      <c r="C21" s="16" t="s">
        <v>89</v>
      </c>
      <c r="D21" s="240">
        <v>1</v>
      </c>
      <c r="E21" s="259"/>
      <c r="F21" s="240" t="s">
        <v>73</v>
      </c>
      <c r="G21" s="259"/>
      <c r="H21" s="258">
        <v>55000</v>
      </c>
      <c r="I21" s="275" t="s">
        <v>69</v>
      </c>
      <c r="J21" s="54"/>
      <c r="K21" s="277" t="s">
        <v>90</v>
      </c>
    </row>
    <row r="22" ht="32" customHeight="1" spans="1:11">
      <c r="A22" s="241"/>
      <c r="B22" s="16" t="s">
        <v>91</v>
      </c>
      <c r="C22" s="16" t="s">
        <v>89</v>
      </c>
      <c r="D22" s="240">
        <v>2</v>
      </c>
      <c r="E22" s="259"/>
      <c r="F22" s="240" t="s">
        <v>73</v>
      </c>
      <c r="G22" s="259"/>
      <c r="H22" s="258">
        <v>250000</v>
      </c>
      <c r="I22" s="275" t="s">
        <v>69</v>
      </c>
      <c r="J22" s="54"/>
      <c r="K22" s="277" t="s">
        <v>92</v>
      </c>
    </row>
    <row r="23" ht="32" customHeight="1" spans="1:11">
      <c r="A23" s="241"/>
      <c r="B23" s="16" t="s">
        <v>93</v>
      </c>
      <c r="C23" s="16" t="s">
        <v>87</v>
      </c>
      <c r="D23" s="240">
        <v>3</v>
      </c>
      <c r="E23" s="259"/>
      <c r="F23" s="240" t="s">
        <v>73</v>
      </c>
      <c r="G23" s="259"/>
      <c r="H23" s="258">
        <v>30000</v>
      </c>
      <c r="I23" s="275" t="s">
        <v>69</v>
      </c>
      <c r="J23" s="54"/>
      <c r="K23" s="277" t="s">
        <v>88</v>
      </c>
    </row>
    <row r="24" ht="32" customHeight="1" spans="1:11">
      <c r="A24" s="241"/>
      <c r="B24" s="16" t="s">
        <v>93</v>
      </c>
      <c r="C24" s="16" t="s">
        <v>89</v>
      </c>
      <c r="D24" s="240">
        <v>1</v>
      </c>
      <c r="E24" s="259"/>
      <c r="F24" s="240" t="s">
        <v>73</v>
      </c>
      <c r="G24" s="259"/>
      <c r="H24" s="258">
        <v>60000</v>
      </c>
      <c r="I24" s="275" t="s">
        <v>69</v>
      </c>
      <c r="J24" s="54"/>
      <c r="K24" s="277" t="s">
        <v>90</v>
      </c>
    </row>
    <row r="25" spans="1:11">
      <c r="A25" s="20" t="s">
        <v>63</v>
      </c>
      <c r="B25" s="21"/>
      <c r="C25" s="21"/>
      <c r="D25" s="21"/>
      <c r="E25" s="21"/>
      <c r="F25" s="21"/>
      <c r="G25" s="21"/>
      <c r="H25" s="21"/>
      <c r="I25" s="68"/>
      <c r="J25" s="69">
        <f>SUM(J20:J24)</f>
        <v>0</v>
      </c>
      <c r="K25" s="271"/>
    </row>
    <row r="26" spans="1:11">
      <c r="A26" s="189" t="s">
        <v>50</v>
      </c>
      <c r="B26" s="190"/>
      <c r="C26" s="191" t="s">
        <v>84</v>
      </c>
      <c r="D26" s="192" t="s">
        <v>5</v>
      </c>
      <c r="E26" s="199"/>
      <c r="F26" s="192" t="s">
        <v>52</v>
      </c>
      <c r="G26" s="199"/>
      <c r="H26" s="192" t="s">
        <v>53</v>
      </c>
      <c r="I26" s="199"/>
      <c r="J26" s="46" t="s">
        <v>54</v>
      </c>
      <c r="K26" s="65" t="s">
        <v>7</v>
      </c>
    </row>
    <row r="27" spans="1:11">
      <c r="A27" s="242" t="s">
        <v>18</v>
      </c>
      <c r="B27" s="24" t="s">
        <v>94</v>
      </c>
      <c r="C27" s="24" t="s">
        <v>72</v>
      </c>
      <c r="D27" s="196">
        <v>100</v>
      </c>
      <c r="E27" s="201"/>
      <c r="F27" s="196" t="s">
        <v>57</v>
      </c>
      <c r="G27" s="201"/>
      <c r="H27" s="258">
        <v>80</v>
      </c>
      <c r="I27" s="278" t="s">
        <v>69</v>
      </c>
      <c r="J27" s="54">
        <f>D27*H27</f>
        <v>8000</v>
      </c>
      <c r="K27" s="274" t="s">
        <v>95</v>
      </c>
    </row>
    <row r="28" spans="1:11">
      <c r="A28" s="242"/>
      <c r="B28" s="24" t="s">
        <v>94</v>
      </c>
      <c r="C28" s="24" t="s">
        <v>72</v>
      </c>
      <c r="D28" s="196">
        <v>260</v>
      </c>
      <c r="E28" s="201"/>
      <c r="F28" s="196" t="s">
        <v>57</v>
      </c>
      <c r="G28" s="201"/>
      <c r="H28" s="258">
        <v>80</v>
      </c>
      <c r="I28" s="278" t="s">
        <v>69</v>
      </c>
      <c r="J28" s="54">
        <f>D28*H28</f>
        <v>20800</v>
      </c>
      <c r="K28" s="274" t="s">
        <v>96</v>
      </c>
    </row>
    <row r="29" spans="1:11">
      <c r="A29" s="242"/>
      <c r="B29" s="25" t="s">
        <v>77</v>
      </c>
      <c r="C29" s="24" t="s">
        <v>97</v>
      </c>
      <c r="D29" s="196">
        <v>130</v>
      </c>
      <c r="E29" s="201"/>
      <c r="F29" s="196" t="s">
        <v>57</v>
      </c>
      <c r="G29" s="201"/>
      <c r="H29" s="258">
        <v>288</v>
      </c>
      <c r="I29" s="278" t="s">
        <v>69</v>
      </c>
      <c r="J29" s="54">
        <f>D29*H29</f>
        <v>37440</v>
      </c>
      <c r="K29" s="274" t="s">
        <v>98</v>
      </c>
    </row>
    <row r="30" spans="1:11">
      <c r="A30" s="242"/>
      <c r="B30" s="25" t="s">
        <v>77</v>
      </c>
      <c r="C30" s="24" t="s">
        <v>99</v>
      </c>
      <c r="D30" s="196">
        <v>130</v>
      </c>
      <c r="E30" s="201"/>
      <c r="F30" s="196" t="s">
        <v>57</v>
      </c>
      <c r="G30" s="201"/>
      <c r="H30" s="258">
        <v>308</v>
      </c>
      <c r="I30" s="278" t="s">
        <v>69</v>
      </c>
      <c r="J30" s="54">
        <f>D30*H30</f>
        <v>40040</v>
      </c>
      <c r="K30" s="274" t="s">
        <v>100</v>
      </c>
    </row>
    <row r="31" spans="1:11">
      <c r="A31" s="20" t="s">
        <v>63</v>
      </c>
      <c r="B31" s="21"/>
      <c r="C31" s="21"/>
      <c r="D31" s="21"/>
      <c r="E31" s="21"/>
      <c r="F31" s="21"/>
      <c r="G31" s="21"/>
      <c r="H31" s="21" t="s">
        <v>75</v>
      </c>
      <c r="I31" s="68"/>
      <c r="J31" s="69">
        <f>SUM(J27:J30)</f>
        <v>106280</v>
      </c>
      <c r="K31" s="271"/>
    </row>
    <row r="32" spans="1:11">
      <c r="A32" s="189" t="s">
        <v>50</v>
      </c>
      <c r="B32" s="190"/>
      <c r="C32" s="191" t="s">
        <v>84</v>
      </c>
      <c r="D32" s="192" t="s">
        <v>5</v>
      </c>
      <c r="E32" s="199"/>
      <c r="F32" s="192" t="s">
        <v>52</v>
      </c>
      <c r="G32" s="199"/>
      <c r="H32" s="192" t="s">
        <v>53</v>
      </c>
      <c r="I32" s="199"/>
      <c r="J32" s="46" t="s">
        <v>54</v>
      </c>
      <c r="K32" s="65" t="s">
        <v>7</v>
      </c>
    </row>
    <row r="33" spans="1:11">
      <c r="A33" s="19" t="s">
        <v>20</v>
      </c>
      <c r="B33" s="24" t="s">
        <v>101</v>
      </c>
      <c r="C33" s="16" t="s">
        <v>20</v>
      </c>
      <c r="D33" s="196">
        <v>130</v>
      </c>
      <c r="E33" s="201"/>
      <c r="F33" s="196" t="s">
        <v>57</v>
      </c>
      <c r="G33" s="201"/>
      <c r="H33" s="260">
        <v>30</v>
      </c>
      <c r="I33" s="275" t="s">
        <v>69</v>
      </c>
      <c r="J33" s="49">
        <f>D33*H33</f>
        <v>3900</v>
      </c>
      <c r="K33" s="268" t="s">
        <v>102</v>
      </c>
    </row>
    <row r="34" spans="1:11">
      <c r="A34" s="20" t="s">
        <v>63</v>
      </c>
      <c r="B34" s="21"/>
      <c r="C34" s="21"/>
      <c r="D34" s="21"/>
      <c r="E34" s="21"/>
      <c r="F34" s="21"/>
      <c r="G34" s="21"/>
      <c r="H34" s="21" t="s">
        <v>75</v>
      </c>
      <c r="I34" s="68"/>
      <c r="J34" s="69">
        <f>SUM(J33:J33)</f>
        <v>3900</v>
      </c>
      <c r="K34" s="271"/>
    </row>
    <row r="35" spans="1:11">
      <c r="A35" s="189" t="s">
        <v>50</v>
      </c>
      <c r="B35" s="190"/>
      <c r="C35" s="191" t="s">
        <v>84</v>
      </c>
      <c r="D35" s="192" t="s">
        <v>5</v>
      </c>
      <c r="E35" s="199"/>
      <c r="F35" s="192" t="s">
        <v>52</v>
      </c>
      <c r="G35" s="199"/>
      <c r="H35" s="192" t="s">
        <v>53</v>
      </c>
      <c r="I35" s="199"/>
      <c r="J35" s="46" t="s">
        <v>54</v>
      </c>
      <c r="K35" s="65" t="s">
        <v>7</v>
      </c>
    </row>
    <row r="36" spans="1:11">
      <c r="A36" s="14" t="s">
        <v>22</v>
      </c>
      <c r="B36" s="179" t="s">
        <v>103</v>
      </c>
      <c r="C36" s="23" t="s">
        <v>104</v>
      </c>
      <c r="D36" s="196">
        <v>30</v>
      </c>
      <c r="E36" s="201"/>
      <c r="F36" s="253" t="s">
        <v>105</v>
      </c>
      <c r="G36" s="254"/>
      <c r="H36" s="258">
        <v>50</v>
      </c>
      <c r="I36" s="66" t="s">
        <v>69</v>
      </c>
      <c r="J36" s="279">
        <f>D36*H36</f>
        <v>1500</v>
      </c>
      <c r="K36" s="274" t="s">
        <v>106</v>
      </c>
    </row>
    <row r="37" ht="19.95" customHeight="1" spans="1:11">
      <c r="A37" s="18"/>
      <c r="B37" s="179" t="s">
        <v>107</v>
      </c>
      <c r="C37" s="23" t="s">
        <v>104</v>
      </c>
      <c r="D37" s="196">
        <v>130</v>
      </c>
      <c r="E37" s="201"/>
      <c r="F37" s="253" t="s">
        <v>105</v>
      </c>
      <c r="G37" s="254"/>
      <c r="H37" s="258">
        <v>15</v>
      </c>
      <c r="I37" s="66" t="s">
        <v>69</v>
      </c>
      <c r="J37" s="279">
        <f>D37*H37</f>
        <v>1950</v>
      </c>
      <c r="K37" s="273" t="s">
        <v>108</v>
      </c>
    </row>
    <row r="38" ht="18" customHeight="1" spans="1:11">
      <c r="A38" s="18"/>
      <c r="B38" s="179" t="s">
        <v>109</v>
      </c>
      <c r="C38" s="23" t="s">
        <v>104</v>
      </c>
      <c r="D38" s="196">
        <v>130</v>
      </c>
      <c r="E38" s="201"/>
      <c r="F38" s="253" t="s">
        <v>110</v>
      </c>
      <c r="G38" s="254"/>
      <c r="H38" s="258">
        <v>200</v>
      </c>
      <c r="I38" s="66" t="s">
        <v>69</v>
      </c>
      <c r="J38" s="279">
        <f>D38*H38</f>
        <v>26000</v>
      </c>
      <c r="K38" s="273"/>
    </row>
    <row r="39" ht="18" customHeight="1" spans="1:11">
      <c r="A39" s="18"/>
      <c r="B39" s="179" t="s">
        <v>111</v>
      </c>
      <c r="C39" s="23" t="s">
        <v>104</v>
      </c>
      <c r="D39" s="196">
        <v>130</v>
      </c>
      <c r="E39" s="201"/>
      <c r="F39" s="253" t="s">
        <v>110</v>
      </c>
      <c r="G39" s="254"/>
      <c r="H39" s="258">
        <v>129</v>
      </c>
      <c r="I39" s="66" t="s">
        <v>69</v>
      </c>
      <c r="J39" s="279">
        <f>D39*H39</f>
        <v>16770</v>
      </c>
      <c r="K39" s="273"/>
    </row>
    <row r="40" ht="22.95" customHeight="1" spans="1:11">
      <c r="A40" s="18"/>
      <c r="B40" s="179" t="s">
        <v>112</v>
      </c>
      <c r="C40" s="23" t="s">
        <v>104</v>
      </c>
      <c r="D40" s="196">
        <v>130</v>
      </c>
      <c r="E40" s="201"/>
      <c r="F40" s="253" t="s">
        <v>113</v>
      </c>
      <c r="G40" s="254"/>
      <c r="H40" s="258">
        <v>158</v>
      </c>
      <c r="I40" s="66" t="s">
        <v>69</v>
      </c>
      <c r="J40" s="279">
        <f>D40*H40</f>
        <v>20540</v>
      </c>
      <c r="K40" s="273"/>
    </row>
    <row r="41" ht="22.95" customHeight="1" spans="1:11">
      <c r="A41" s="18"/>
      <c r="B41" s="179" t="s">
        <v>114</v>
      </c>
      <c r="C41" s="23" t="s">
        <v>104</v>
      </c>
      <c r="D41" s="196">
        <v>130</v>
      </c>
      <c r="E41" s="201"/>
      <c r="F41" s="253" t="s">
        <v>110</v>
      </c>
      <c r="G41" s="254"/>
      <c r="H41" s="258">
        <v>350</v>
      </c>
      <c r="I41" s="66" t="s">
        <v>69</v>
      </c>
      <c r="J41" s="279">
        <f>D41*H41</f>
        <v>45500</v>
      </c>
      <c r="K41" s="273"/>
    </row>
    <row r="42" ht="22.95" customHeight="1" spans="1:11">
      <c r="A42" s="18"/>
      <c r="B42" s="179" t="s">
        <v>115</v>
      </c>
      <c r="C42" s="23" t="s">
        <v>104</v>
      </c>
      <c r="D42" s="196">
        <v>130</v>
      </c>
      <c r="E42" s="201"/>
      <c r="F42" s="253" t="s">
        <v>110</v>
      </c>
      <c r="G42" s="254"/>
      <c r="H42" s="258">
        <v>298</v>
      </c>
      <c r="I42" s="66" t="s">
        <v>69</v>
      </c>
      <c r="J42" s="279">
        <f>D42*H42</f>
        <v>38740</v>
      </c>
      <c r="K42" s="273"/>
    </row>
    <row r="43" ht="22.95" customHeight="1" spans="1:11">
      <c r="A43" s="18"/>
      <c r="B43" s="179" t="s">
        <v>116</v>
      </c>
      <c r="C43" s="23" t="s">
        <v>104</v>
      </c>
      <c r="D43" s="196">
        <v>130</v>
      </c>
      <c r="E43" s="201"/>
      <c r="F43" s="253" t="s">
        <v>110</v>
      </c>
      <c r="G43" s="254"/>
      <c r="H43" s="258">
        <v>25</v>
      </c>
      <c r="I43" s="66" t="s">
        <v>69</v>
      </c>
      <c r="J43" s="279">
        <f t="shared" ref="J43:J51" si="0">D43*H43</f>
        <v>3250</v>
      </c>
      <c r="K43" s="280"/>
    </row>
    <row r="44" ht="22.95" customHeight="1" spans="1:11">
      <c r="A44" s="18"/>
      <c r="B44" s="179" t="s">
        <v>117</v>
      </c>
      <c r="C44" s="23" t="s">
        <v>104</v>
      </c>
      <c r="D44" s="196">
        <v>300</v>
      </c>
      <c r="E44" s="201"/>
      <c r="F44" s="253" t="s">
        <v>110</v>
      </c>
      <c r="G44" s="254"/>
      <c r="H44" s="258">
        <v>5</v>
      </c>
      <c r="I44" s="66" t="s">
        <v>69</v>
      </c>
      <c r="J44" s="279">
        <f t="shared" si="0"/>
        <v>1500</v>
      </c>
      <c r="K44" s="280"/>
    </row>
    <row r="45" ht="22.95" customHeight="1" spans="1:11">
      <c r="A45" s="18"/>
      <c r="B45" s="179" t="s">
        <v>118</v>
      </c>
      <c r="C45" s="23" t="s">
        <v>104</v>
      </c>
      <c r="D45" s="196">
        <v>150</v>
      </c>
      <c r="E45" s="201"/>
      <c r="F45" s="253" t="s">
        <v>110</v>
      </c>
      <c r="G45" s="254"/>
      <c r="H45" s="258">
        <v>10</v>
      </c>
      <c r="I45" s="66" t="s">
        <v>69</v>
      </c>
      <c r="J45" s="279">
        <f t="shared" si="0"/>
        <v>1500</v>
      </c>
      <c r="K45" s="280"/>
    </row>
    <row r="46" s="223" customFormat="1" spans="1:11">
      <c r="A46" s="243"/>
      <c r="B46" s="244" t="s">
        <v>119</v>
      </c>
      <c r="C46" s="245" t="s">
        <v>104</v>
      </c>
      <c r="D46" s="196">
        <v>40</v>
      </c>
      <c r="E46" s="201"/>
      <c r="F46" s="196" t="s">
        <v>120</v>
      </c>
      <c r="G46" s="201"/>
      <c r="H46" s="258">
        <v>50</v>
      </c>
      <c r="I46" s="281" t="s">
        <v>69</v>
      </c>
      <c r="J46" s="282">
        <f t="shared" si="0"/>
        <v>2000</v>
      </c>
      <c r="K46" s="268"/>
    </row>
    <row r="47" spans="1:11">
      <c r="A47" s="18"/>
      <c r="B47" s="179" t="s">
        <v>121</v>
      </c>
      <c r="C47" s="23" t="s">
        <v>72</v>
      </c>
      <c r="D47" s="196">
        <v>7</v>
      </c>
      <c r="E47" s="201"/>
      <c r="F47" s="196" t="s">
        <v>122</v>
      </c>
      <c r="G47" s="201"/>
      <c r="H47" s="258">
        <v>700</v>
      </c>
      <c r="I47" s="66" t="s">
        <v>69</v>
      </c>
      <c r="J47" s="279">
        <f t="shared" si="0"/>
        <v>4900</v>
      </c>
      <c r="K47" s="273"/>
    </row>
    <row r="48" spans="1:11">
      <c r="A48" s="18"/>
      <c r="B48" s="179" t="s">
        <v>123</v>
      </c>
      <c r="C48" s="23" t="s">
        <v>72</v>
      </c>
      <c r="D48" s="196">
        <v>5</v>
      </c>
      <c r="E48" s="201"/>
      <c r="F48" s="196" t="s">
        <v>122</v>
      </c>
      <c r="G48" s="201"/>
      <c r="H48" s="258">
        <v>1400</v>
      </c>
      <c r="I48" s="66" t="s">
        <v>69</v>
      </c>
      <c r="J48" s="279">
        <f t="shared" si="0"/>
        <v>7000</v>
      </c>
      <c r="K48" s="273"/>
    </row>
    <row r="49" spans="1:11">
      <c r="A49" s="18"/>
      <c r="B49" s="179" t="s">
        <v>124</v>
      </c>
      <c r="C49" s="23" t="s">
        <v>104</v>
      </c>
      <c r="D49" s="196">
        <v>10</v>
      </c>
      <c r="E49" s="201"/>
      <c r="F49" s="196" t="s">
        <v>110</v>
      </c>
      <c r="G49" s="201"/>
      <c r="H49" s="258">
        <v>180</v>
      </c>
      <c r="I49" s="66" t="s">
        <v>69</v>
      </c>
      <c r="J49" s="279">
        <f t="shared" si="0"/>
        <v>1800</v>
      </c>
      <c r="K49" s="273" t="s">
        <v>125</v>
      </c>
    </row>
    <row r="50" spans="1:11">
      <c r="A50" s="18"/>
      <c r="B50" s="179" t="s">
        <v>126</v>
      </c>
      <c r="C50" s="23" t="s">
        <v>104</v>
      </c>
      <c r="D50" s="196">
        <v>20</v>
      </c>
      <c r="E50" s="201"/>
      <c r="F50" s="253" t="s">
        <v>105</v>
      </c>
      <c r="G50" s="254"/>
      <c r="H50" s="258">
        <v>200</v>
      </c>
      <c r="I50" s="66" t="s">
        <v>69</v>
      </c>
      <c r="J50" s="279">
        <f t="shared" si="0"/>
        <v>4000</v>
      </c>
      <c r="K50" s="273" t="s">
        <v>127</v>
      </c>
    </row>
    <row r="51" spans="1:11">
      <c r="A51" s="18"/>
      <c r="B51" s="179" t="s">
        <v>128</v>
      </c>
      <c r="C51" s="23" t="s">
        <v>104</v>
      </c>
      <c r="D51" s="196">
        <v>15</v>
      </c>
      <c r="E51" s="201"/>
      <c r="F51" s="253" t="s">
        <v>129</v>
      </c>
      <c r="G51" s="254"/>
      <c r="H51" s="258">
        <v>600</v>
      </c>
      <c r="I51" s="66" t="s">
        <v>69</v>
      </c>
      <c r="J51" s="279">
        <f t="shared" si="0"/>
        <v>9000</v>
      </c>
      <c r="K51" s="273" t="s">
        <v>130</v>
      </c>
    </row>
    <row r="52" spans="1:11">
      <c r="A52" s="18"/>
      <c r="B52" s="179" t="s">
        <v>131</v>
      </c>
      <c r="C52" s="23" t="s">
        <v>104</v>
      </c>
      <c r="D52" s="196">
        <v>15</v>
      </c>
      <c r="E52" s="201"/>
      <c r="F52" s="253" t="s">
        <v>105</v>
      </c>
      <c r="G52" s="254"/>
      <c r="H52" s="258">
        <v>240</v>
      </c>
      <c r="I52" s="66" t="s">
        <v>69</v>
      </c>
      <c r="J52" s="279">
        <f t="shared" ref="J52:J57" si="1">D52*H52</f>
        <v>3600</v>
      </c>
      <c r="K52" s="274" t="s">
        <v>132</v>
      </c>
    </row>
    <row r="53" spans="1:11">
      <c r="A53" s="18"/>
      <c r="B53" s="179" t="s">
        <v>131</v>
      </c>
      <c r="C53" s="23" t="s">
        <v>104</v>
      </c>
      <c r="D53" s="196">
        <v>15</v>
      </c>
      <c r="E53" s="201"/>
      <c r="F53" s="253" t="s">
        <v>105</v>
      </c>
      <c r="G53" s="254"/>
      <c r="H53" s="258">
        <v>240</v>
      </c>
      <c r="I53" s="66" t="s">
        <v>69</v>
      </c>
      <c r="J53" s="279">
        <f t="shared" si="1"/>
        <v>3600</v>
      </c>
      <c r="K53" s="274" t="s">
        <v>133</v>
      </c>
    </row>
    <row r="54" spans="1:11">
      <c r="A54" s="18"/>
      <c r="B54" s="179" t="s">
        <v>134</v>
      </c>
      <c r="C54" s="23" t="s">
        <v>104</v>
      </c>
      <c r="D54" s="196">
        <v>1</v>
      </c>
      <c r="E54" s="201"/>
      <c r="F54" s="253" t="s">
        <v>135</v>
      </c>
      <c r="G54" s="254"/>
      <c r="H54" s="258">
        <v>4000</v>
      </c>
      <c r="I54" s="66" t="s">
        <v>69</v>
      </c>
      <c r="J54" s="279">
        <f t="shared" si="1"/>
        <v>4000</v>
      </c>
      <c r="K54" s="274"/>
    </row>
    <row r="55" spans="1:11">
      <c r="A55" s="18"/>
      <c r="B55" s="179" t="s">
        <v>136</v>
      </c>
      <c r="C55" s="23" t="s">
        <v>104</v>
      </c>
      <c r="D55" s="196">
        <v>3</v>
      </c>
      <c r="E55" s="201"/>
      <c r="F55" s="253" t="s">
        <v>110</v>
      </c>
      <c r="G55" s="254"/>
      <c r="H55" s="258">
        <v>10000</v>
      </c>
      <c r="I55" s="66" t="s">
        <v>69</v>
      </c>
      <c r="J55" s="279">
        <f t="shared" si="1"/>
        <v>30000</v>
      </c>
      <c r="K55" s="274"/>
    </row>
    <row r="56" spans="1:11">
      <c r="A56" s="18"/>
      <c r="B56" s="179" t="s">
        <v>137</v>
      </c>
      <c r="C56" s="23" t="s">
        <v>104</v>
      </c>
      <c r="D56" s="196">
        <v>1</v>
      </c>
      <c r="E56" s="201"/>
      <c r="F56" s="253" t="s">
        <v>73</v>
      </c>
      <c r="G56" s="254"/>
      <c r="H56" s="258">
        <v>2000</v>
      </c>
      <c r="I56" s="66" t="s">
        <v>69</v>
      </c>
      <c r="J56" s="279">
        <f t="shared" si="1"/>
        <v>2000</v>
      </c>
      <c r="K56" s="274" t="s">
        <v>138</v>
      </c>
    </row>
    <row r="57" spans="1:11">
      <c r="A57" s="18"/>
      <c r="B57" s="179" t="s">
        <v>139</v>
      </c>
      <c r="C57" s="23" t="s">
        <v>104</v>
      </c>
      <c r="D57" s="196">
        <v>1</v>
      </c>
      <c r="E57" s="201"/>
      <c r="F57" s="253" t="s">
        <v>73</v>
      </c>
      <c r="G57" s="254"/>
      <c r="H57" s="54">
        <v>2000</v>
      </c>
      <c r="I57" s="66" t="s">
        <v>69</v>
      </c>
      <c r="J57" s="279">
        <f t="shared" si="1"/>
        <v>2000</v>
      </c>
      <c r="K57" s="274" t="s">
        <v>138</v>
      </c>
    </row>
    <row r="58" spans="1:11">
      <c r="A58" s="20" t="s">
        <v>63</v>
      </c>
      <c r="B58" s="21"/>
      <c r="C58" s="21"/>
      <c r="D58" s="21"/>
      <c r="E58" s="21"/>
      <c r="F58" s="21"/>
      <c r="G58" s="21"/>
      <c r="H58" s="21"/>
      <c r="I58" s="68"/>
      <c r="J58" s="69">
        <f>SUM(J36:J57)</f>
        <v>231150</v>
      </c>
      <c r="K58" s="271"/>
    </row>
    <row r="59" spans="1:11">
      <c r="A59" s="189" t="s">
        <v>50</v>
      </c>
      <c r="B59" s="190"/>
      <c r="C59" s="191" t="s">
        <v>84</v>
      </c>
      <c r="D59" s="192" t="s">
        <v>5</v>
      </c>
      <c r="E59" s="199"/>
      <c r="F59" s="192" t="s">
        <v>52</v>
      </c>
      <c r="G59" s="199"/>
      <c r="H59" s="192" t="s">
        <v>53</v>
      </c>
      <c r="I59" s="199"/>
      <c r="J59" s="46" t="s">
        <v>54</v>
      </c>
      <c r="K59" s="65" t="s">
        <v>7</v>
      </c>
    </row>
    <row r="60" spans="1:11">
      <c r="A60" s="246" t="s">
        <v>140</v>
      </c>
      <c r="B60" s="24" t="s">
        <v>141</v>
      </c>
      <c r="C60" s="23" t="s">
        <v>140</v>
      </c>
      <c r="D60" s="196">
        <v>1</v>
      </c>
      <c r="E60" s="201"/>
      <c r="F60" s="196" t="s">
        <v>57</v>
      </c>
      <c r="G60" s="201"/>
      <c r="H60" s="261">
        <v>1300</v>
      </c>
      <c r="I60" s="275" t="s">
        <v>69</v>
      </c>
      <c r="J60" s="272">
        <f>H60*D60</f>
        <v>1300</v>
      </c>
      <c r="K60" s="274" t="s">
        <v>142</v>
      </c>
    </row>
    <row r="61" spans="1:11">
      <c r="A61" s="247"/>
      <c r="B61" s="24" t="s">
        <v>143</v>
      </c>
      <c r="C61" s="23" t="s">
        <v>140</v>
      </c>
      <c r="D61" s="196">
        <v>6</v>
      </c>
      <c r="E61" s="201"/>
      <c r="F61" s="196" t="s">
        <v>57</v>
      </c>
      <c r="G61" s="201"/>
      <c r="H61" s="261">
        <v>800</v>
      </c>
      <c r="I61" s="275" t="s">
        <v>69</v>
      </c>
      <c r="J61" s="272">
        <f>H61*D61</f>
        <v>4800</v>
      </c>
      <c r="K61" s="274"/>
    </row>
    <row r="62" spans="1:11">
      <c r="A62" s="247"/>
      <c r="B62" s="24" t="s">
        <v>144</v>
      </c>
      <c r="C62" s="23" t="s">
        <v>140</v>
      </c>
      <c r="D62" s="196">
        <v>30</v>
      </c>
      <c r="E62" s="201"/>
      <c r="F62" s="196" t="s">
        <v>57</v>
      </c>
      <c r="G62" s="201"/>
      <c r="H62" s="261">
        <v>700</v>
      </c>
      <c r="I62" s="275" t="s">
        <v>69</v>
      </c>
      <c r="J62" s="272">
        <f>H62*D62</f>
        <v>21000</v>
      </c>
      <c r="K62" s="274"/>
    </row>
    <row r="63" spans="1:11">
      <c r="A63" s="247"/>
      <c r="B63" s="24" t="s">
        <v>145</v>
      </c>
      <c r="C63" s="23" t="s">
        <v>140</v>
      </c>
      <c r="D63" s="196">
        <v>24</v>
      </c>
      <c r="E63" s="201"/>
      <c r="F63" s="196" t="s">
        <v>57</v>
      </c>
      <c r="G63" s="201"/>
      <c r="H63" s="261">
        <v>550</v>
      </c>
      <c r="I63" s="275" t="s">
        <v>69</v>
      </c>
      <c r="J63" s="272">
        <f>H63*D63</f>
        <v>13200</v>
      </c>
      <c r="K63" s="274"/>
    </row>
    <row r="64" spans="1:11">
      <c r="A64" s="247"/>
      <c r="B64" s="24" t="s">
        <v>146</v>
      </c>
      <c r="C64" s="23" t="s">
        <v>140</v>
      </c>
      <c r="D64" s="196">
        <v>6</v>
      </c>
      <c r="E64" s="201"/>
      <c r="F64" s="196" t="s">
        <v>57</v>
      </c>
      <c r="G64" s="201"/>
      <c r="H64" s="261">
        <v>1000</v>
      </c>
      <c r="I64" s="275" t="s">
        <v>69</v>
      </c>
      <c r="J64" s="272">
        <f t="shared" ref="J64:J75" si="2">H64*D64</f>
        <v>6000</v>
      </c>
      <c r="K64" s="274" t="s">
        <v>147</v>
      </c>
    </row>
    <row r="65" spans="1:11">
      <c r="A65" s="247"/>
      <c r="B65" s="24" t="s">
        <v>148</v>
      </c>
      <c r="C65" s="23" t="s">
        <v>140</v>
      </c>
      <c r="D65" s="196">
        <v>12</v>
      </c>
      <c r="E65" s="201"/>
      <c r="F65" s="196" t="s">
        <v>57</v>
      </c>
      <c r="G65" s="201"/>
      <c r="H65" s="261">
        <v>550</v>
      </c>
      <c r="I65" s="275" t="s">
        <v>69</v>
      </c>
      <c r="J65" s="272">
        <f t="shared" si="2"/>
        <v>6600</v>
      </c>
      <c r="K65" s="274"/>
    </row>
    <row r="66" spans="1:11">
      <c r="A66" s="247"/>
      <c r="B66" s="24" t="s">
        <v>149</v>
      </c>
      <c r="C66" s="23" t="s">
        <v>140</v>
      </c>
      <c r="D66" s="196">
        <v>8</v>
      </c>
      <c r="E66" s="201"/>
      <c r="F66" s="196" t="s">
        <v>57</v>
      </c>
      <c r="G66" s="201"/>
      <c r="H66" s="261">
        <v>550</v>
      </c>
      <c r="I66" s="275" t="s">
        <v>69</v>
      </c>
      <c r="J66" s="272">
        <f t="shared" si="2"/>
        <v>4400</v>
      </c>
      <c r="K66" s="274"/>
    </row>
    <row r="67" spans="1:11">
      <c r="A67" s="247"/>
      <c r="B67" s="24" t="s">
        <v>150</v>
      </c>
      <c r="C67" s="23" t="s">
        <v>140</v>
      </c>
      <c r="D67" s="196">
        <v>4</v>
      </c>
      <c r="E67" s="201"/>
      <c r="F67" s="196" t="s">
        <v>57</v>
      </c>
      <c r="G67" s="201"/>
      <c r="H67" s="261">
        <v>3500</v>
      </c>
      <c r="I67" s="275" t="s">
        <v>69</v>
      </c>
      <c r="J67" s="272">
        <f t="shared" si="2"/>
        <v>14000</v>
      </c>
      <c r="K67" s="274"/>
    </row>
    <row r="68" spans="1:11">
      <c r="A68" s="247"/>
      <c r="B68" s="24" t="s">
        <v>151</v>
      </c>
      <c r="C68" s="23" t="s">
        <v>140</v>
      </c>
      <c r="D68" s="196">
        <v>4</v>
      </c>
      <c r="E68" s="201"/>
      <c r="F68" s="196" t="s">
        <v>57</v>
      </c>
      <c r="G68" s="201"/>
      <c r="H68" s="261">
        <v>3500</v>
      </c>
      <c r="I68" s="275" t="s">
        <v>69</v>
      </c>
      <c r="J68" s="272">
        <f t="shared" si="2"/>
        <v>14000</v>
      </c>
      <c r="K68" s="274"/>
    </row>
    <row r="69" spans="1:11">
      <c r="A69" s="247"/>
      <c r="B69" s="24" t="s">
        <v>152</v>
      </c>
      <c r="C69" s="23" t="s">
        <v>140</v>
      </c>
      <c r="D69" s="196">
        <v>4</v>
      </c>
      <c r="E69" s="201"/>
      <c r="F69" s="196" t="s">
        <v>57</v>
      </c>
      <c r="G69" s="201"/>
      <c r="H69" s="261">
        <v>1200</v>
      </c>
      <c r="I69" s="275" t="s">
        <v>69</v>
      </c>
      <c r="J69" s="272">
        <f t="shared" si="2"/>
        <v>4800</v>
      </c>
      <c r="K69" s="274"/>
    </row>
    <row r="70" spans="1:11">
      <c r="A70" s="247"/>
      <c r="B70" s="24" t="s">
        <v>153</v>
      </c>
      <c r="C70" s="23" t="s">
        <v>140</v>
      </c>
      <c r="D70" s="196">
        <v>4</v>
      </c>
      <c r="E70" s="201"/>
      <c r="F70" s="196" t="s">
        <v>57</v>
      </c>
      <c r="G70" s="201"/>
      <c r="H70" s="261">
        <v>1200</v>
      </c>
      <c r="I70" s="275" t="s">
        <v>69</v>
      </c>
      <c r="J70" s="272">
        <f t="shared" si="2"/>
        <v>4800</v>
      </c>
      <c r="K70" s="274"/>
    </row>
    <row r="71" spans="1:11">
      <c r="A71" s="247"/>
      <c r="B71" s="24" t="s">
        <v>154</v>
      </c>
      <c r="C71" s="23" t="s">
        <v>140</v>
      </c>
      <c r="D71" s="196">
        <v>6</v>
      </c>
      <c r="E71" s="201"/>
      <c r="F71" s="196" t="s">
        <v>57</v>
      </c>
      <c r="G71" s="201"/>
      <c r="H71" s="261">
        <v>5000</v>
      </c>
      <c r="I71" s="275" t="s">
        <v>69</v>
      </c>
      <c r="J71" s="272">
        <f>H71*D71</f>
        <v>30000</v>
      </c>
      <c r="K71" s="274"/>
    </row>
    <row r="72" spans="1:11">
      <c r="A72" s="242" t="s">
        <v>155</v>
      </c>
      <c r="B72" s="24" t="s">
        <v>156</v>
      </c>
      <c r="C72" s="23" t="s">
        <v>72</v>
      </c>
      <c r="D72" s="196">
        <v>30</v>
      </c>
      <c r="E72" s="201"/>
      <c r="F72" s="196" t="s">
        <v>57</v>
      </c>
      <c r="G72" s="201"/>
      <c r="H72" s="261">
        <v>80</v>
      </c>
      <c r="I72" s="275" t="s">
        <v>69</v>
      </c>
      <c r="J72" s="272">
        <f>H72*D72</f>
        <v>2400</v>
      </c>
      <c r="K72" s="289" t="s">
        <v>138</v>
      </c>
    </row>
    <row r="73" spans="1:11">
      <c r="A73" s="242"/>
      <c r="B73" s="24" t="s">
        <v>157</v>
      </c>
      <c r="C73" s="23" t="s">
        <v>72</v>
      </c>
      <c r="D73" s="196">
        <v>30</v>
      </c>
      <c r="E73" s="201"/>
      <c r="F73" s="196" t="s">
        <v>57</v>
      </c>
      <c r="G73" s="201"/>
      <c r="H73" s="261">
        <v>30</v>
      </c>
      <c r="I73" s="275" t="s">
        <v>69</v>
      </c>
      <c r="J73" s="272">
        <f>H73*D73</f>
        <v>900</v>
      </c>
      <c r="K73" s="289" t="s">
        <v>138</v>
      </c>
    </row>
    <row r="74" spans="1:11">
      <c r="A74" s="242"/>
      <c r="B74" s="24" t="s">
        <v>158</v>
      </c>
      <c r="C74" s="23" t="s">
        <v>72</v>
      </c>
      <c r="D74" s="196">
        <v>16</v>
      </c>
      <c r="E74" s="201"/>
      <c r="F74" s="196" t="s">
        <v>57</v>
      </c>
      <c r="G74" s="201"/>
      <c r="H74" s="261">
        <v>350</v>
      </c>
      <c r="I74" s="275" t="s">
        <v>69</v>
      </c>
      <c r="J74" s="272">
        <f>H74*D74</f>
        <v>5600</v>
      </c>
      <c r="K74" s="289" t="s">
        <v>138</v>
      </c>
    </row>
    <row r="75" spans="1:11">
      <c r="A75" s="242"/>
      <c r="B75" s="24" t="s">
        <v>159</v>
      </c>
      <c r="C75" s="23" t="s">
        <v>72</v>
      </c>
      <c r="D75" s="196">
        <v>7</v>
      </c>
      <c r="E75" s="201"/>
      <c r="F75" s="196" t="s">
        <v>57</v>
      </c>
      <c r="G75" s="201"/>
      <c r="H75" s="261">
        <v>2000</v>
      </c>
      <c r="I75" s="275" t="s">
        <v>69</v>
      </c>
      <c r="J75" s="272">
        <f>H75*D75</f>
        <v>14000</v>
      </c>
      <c r="K75" s="289" t="s">
        <v>138</v>
      </c>
    </row>
    <row r="76" spans="1:11">
      <c r="A76" s="242"/>
      <c r="B76" s="24" t="s">
        <v>160</v>
      </c>
      <c r="C76" s="23" t="s">
        <v>72</v>
      </c>
      <c r="D76" s="196"/>
      <c r="E76" s="201"/>
      <c r="F76" s="196" t="s">
        <v>161</v>
      </c>
      <c r="G76" s="201"/>
      <c r="H76" s="261">
        <v>50</v>
      </c>
      <c r="I76" s="275" t="s">
        <v>69</v>
      </c>
      <c r="J76" s="272">
        <f>H76*D76</f>
        <v>0</v>
      </c>
      <c r="K76" s="289" t="s">
        <v>138</v>
      </c>
    </row>
    <row r="77" spans="1:11">
      <c r="A77" s="20" t="s">
        <v>63</v>
      </c>
      <c r="B77" s="21"/>
      <c r="C77" s="21"/>
      <c r="D77" s="21"/>
      <c r="E77" s="21"/>
      <c r="F77" s="21"/>
      <c r="G77" s="21"/>
      <c r="H77" s="21" t="s">
        <v>75</v>
      </c>
      <c r="I77" s="68"/>
      <c r="J77" s="69">
        <f>SUM(J60:J76)</f>
        <v>147800</v>
      </c>
      <c r="K77" s="271"/>
    </row>
    <row r="78" spans="1:11">
      <c r="A78" s="189" t="s">
        <v>50</v>
      </c>
      <c r="B78" s="190"/>
      <c r="C78" s="191" t="s">
        <v>84</v>
      </c>
      <c r="D78" s="192" t="s">
        <v>5</v>
      </c>
      <c r="E78" s="199"/>
      <c r="F78" s="192" t="s">
        <v>52</v>
      </c>
      <c r="G78" s="199"/>
      <c r="H78" s="192" t="s">
        <v>53</v>
      </c>
      <c r="I78" s="199"/>
      <c r="J78" s="46" t="s">
        <v>54</v>
      </c>
      <c r="K78" s="65" t="s">
        <v>7</v>
      </c>
    </row>
    <row r="79" spans="1:11">
      <c r="A79" s="242" t="s">
        <v>26</v>
      </c>
      <c r="B79" s="24" t="s">
        <v>162</v>
      </c>
      <c r="C79" s="16" t="s">
        <v>72</v>
      </c>
      <c r="D79" s="24">
        <v>1</v>
      </c>
      <c r="E79" s="24"/>
      <c r="F79" s="196" t="s">
        <v>122</v>
      </c>
      <c r="G79" s="201"/>
      <c r="H79" s="258">
        <v>20000</v>
      </c>
      <c r="I79" s="278" t="s">
        <v>69</v>
      </c>
      <c r="J79" s="290">
        <f>D79*H79</f>
        <v>20000</v>
      </c>
      <c r="K79" s="268"/>
    </row>
    <row r="80" spans="1:11">
      <c r="A80" s="242"/>
      <c r="B80" s="24" t="s">
        <v>163</v>
      </c>
      <c r="C80" s="16" t="s">
        <v>72</v>
      </c>
      <c r="D80" s="24"/>
      <c r="E80" s="16"/>
      <c r="F80" s="24"/>
      <c r="G80" s="16"/>
      <c r="H80" s="258"/>
      <c r="I80" s="278" t="s">
        <v>69</v>
      </c>
      <c r="J80" s="290"/>
      <c r="K80" s="268"/>
    </row>
    <row r="81" spans="1:11">
      <c r="A81" s="242"/>
      <c r="B81" s="24" t="s">
        <v>164</v>
      </c>
      <c r="C81" s="16" t="s">
        <v>72</v>
      </c>
      <c r="D81" s="24"/>
      <c r="E81" s="16"/>
      <c r="F81" s="24"/>
      <c r="G81" s="16"/>
      <c r="H81" s="258"/>
      <c r="I81" s="278" t="s">
        <v>69</v>
      </c>
      <c r="J81" s="290"/>
      <c r="K81" s="268"/>
    </row>
    <row r="82" spans="1:11">
      <c r="A82" s="242"/>
      <c r="B82" s="24" t="s">
        <v>165</v>
      </c>
      <c r="C82" s="16" t="s">
        <v>72</v>
      </c>
      <c r="D82" s="24"/>
      <c r="E82" s="16"/>
      <c r="F82" s="24"/>
      <c r="G82" s="16"/>
      <c r="H82" s="258"/>
      <c r="I82" s="278" t="s">
        <v>69</v>
      </c>
      <c r="J82" s="290"/>
      <c r="K82" s="268"/>
    </row>
    <row r="83" spans="1:11">
      <c r="A83" s="242"/>
      <c r="B83" s="24" t="s">
        <v>166</v>
      </c>
      <c r="C83" s="16" t="s">
        <v>72</v>
      </c>
      <c r="D83" s="24"/>
      <c r="E83" s="16"/>
      <c r="F83" s="24"/>
      <c r="G83" s="16"/>
      <c r="H83" s="258"/>
      <c r="I83" s="278" t="s">
        <v>69</v>
      </c>
      <c r="J83" s="290"/>
      <c r="K83" s="268"/>
    </row>
    <row r="84" spans="1:11">
      <c r="A84" s="20" t="s">
        <v>63</v>
      </c>
      <c r="B84" s="21"/>
      <c r="C84" s="21"/>
      <c r="D84" s="21"/>
      <c r="E84" s="21"/>
      <c r="F84" s="21"/>
      <c r="G84" s="21"/>
      <c r="H84" s="21" t="s">
        <v>75</v>
      </c>
      <c r="I84" s="68"/>
      <c r="J84" s="69">
        <f>SUM(J79:J83)</f>
        <v>20000</v>
      </c>
      <c r="K84" s="271"/>
    </row>
    <row r="85" spans="1:11">
      <c r="A85" s="27" t="s">
        <v>167</v>
      </c>
      <c r="B85" s="28"/>
      <c r="C85" s="28"/>
      <c r="D85" s="28"/>
      <c r="E85" s="28"/>
      <c r="F85" s="28"/>
      <c r="G85" s="28"/>
      <c r="H85" s="28"/>
      <c r="I85" s="74"/>
      <c r="J85" s="75">
        <f>J10+J14+J18+J25+J31+J34+J58+J77+J84</f>
        <v>1345630</v>
      </c>
      <c r="K85" s="291"/>
    </row>
    <row r="86" ht="16.95" customHeight="1" spans="1:11">
      <c r="A86" s="283" t="s">
        <v>168</v>
      </c>
      <c r="B86" s="284"/>
      <c r="C86" s="284"/>
      <c r="D86" s="284"/>
      <c r="E86" s="284"/>
      <c r="F86" s="284"/>
      <c r="G86" s="284"/>
      <c r="H86" s="284"/>
      <c r="I86" s="292">
        <v>0.06</v>
      </c>
      <c r="J86" s="78">
        <f>J85*I86</f>
        <v>80737.8</v>
      </c>
      <c r="K86" s="293"/>
    </row>
    <row r="87" spans="1:11">
      <c r="A87" s="285" t="s">
        <v>169</v>
      </c>
      <c r="B87" s="286"/>
      <c r="C87" s="286"/>
      <c r="D87" s="286"/>
      <c r="E87" s="286"/>
      <c r="F87" s="286"/>
      <c r="G87" s="286"/>
      <c r="H87" s="286"/>
      <c r="I87" s="294"/>
      <c r="J87" s="81">
        <f>(J85+J86)*6%</f>
        <v>85582.068</v>
      </c>
      <c r="K87" s="269"/>
    </row>
    <row r="88" ht="18.35" spans="1:11">
      <c r="A88" s="287" t="s">
        <v>170</v>
      </c>
      <c r="B88" s="288"/>
      <c r="C88" s="288"/>
      <c r="D88" s="288"/>
      <c r="E88" s="288"/>
      <c r="F88" s="288"/>
      <c r="G88" s="288"/>
      <c r="H88" s="288"/>
      <c r="I88" s="295"/>
      <c r="J88" s="296">
        <f>SUM(J85:J87)</f>
        <v>1511949.868</v>
      </c>
      <c r="K88" s="297"/>
    </row>
  </sheetData>
  <sheetProtection autoFilter="0"/>
  <mergeCells count="183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A10:I10"/>
    <mergeCell ref="A11:B11"/>
    <mergeCell ref="D11:E11"/>
    <mergeCell ref="F11:G11"/>
    <mergeCell ref="H11:I11"/>
    <mergeCell ref="D12:E12"/>
    <mergeCell ref="F12:G12"/>
    <mergeCell ref="D13:E13"/>
    <mergeCell ref="F13:G13"/>
    <mergeCell ref="A14:I14"/>
    <mergeCell ref="A15:B15"/>
    <mergeCell ref="D15:E15"/>
    <mergeCell ref="F15:G15"/>
    <mergeCell ref="H15:I15"/>
    <mergeCell ref="A18:I18"/>
    <mergeCell ref="A19:B19"/>
    <mergeCell ref="D19:E19"/>
    <mergeCell ref="F19:G19"/>
    <mergeCell ref="H19:I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A25:I25"/>
    <mergeCell ref="A26:B26"/>
    <mergeCell ref="D26:E26"/>
    <mergeCell ref="F26:G26"/>
    <mergeCell ref="H26:I26"/>
    <mergeCell ref="D27:E27"/>
    <mergeCell ref="F27:G27"/>
    <mergeCell ref="D28:E28"/>
    <mergeCell ref="F28:G28"/>
    <mergeCell ref="D29:E29"/>
    <mergeCell ref="F29:G29"/>
    <mergeCell ref="D30:E30"/>
    <mergeCell ref="F30:G30"/>
    <mergeCell ref="A31:I31"/>
    <mergeCell ref="A32:B32"/>
    <mergeCell ref="D32:E32"/>
    <mergeCell ref="F32:G32"/>
    <mergeCell ref="H32:I32"/>
    <mergeCell ref="D33:E33"/>
    <mergeCell ref="F33:G33"/>
    <mergeCell ref="A34:I34"/>
    <mergeCell ref="A35:B35"/>
    <mergeCell ref="D35:E35"/>
    <mergeCell ref="F35:G35"/>
    <mergeCell ref="H35:I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A58:I58"/>
    <mergeCell ref="A59:B59"/>
    <mergeCell ref="D59:E59"/>
    <mergeCell ref="F59:G59"/>
    <mergeCell ref="H59:I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A77:I77"/>
    <mergeCell ref="A78:B78"/>
    <mergeCell ref="D78:E78"/>
    <mergeCell ref="F78:G78"/>
    <mergeCell ref="H78:I78"/>
    <mergeCell ref="D79:E79"/>
    <mergeCell ref="F79:G79"/>
    <mergeCell ref="A84:I84"/>
    <mergeCell ref="A85:I85"/>
    <mergeCell ref="A86:H86"/>
    <mergeCell ref="A87:I87"/>
    <mergeCell ref="A88:I88"/>
    <mergeCell ref="A7:A9"/>
    <mergeCell ref="A12:A13"/>
    <mergeCell ref="A16:A17"/>
    <mergeCell ref="A20:A24"/>
    <mergeCell ref="A27:A30"/>
    <mergeCell ref="A36:A57"/>
    <mergeCell ref="A60:A71"/>
    <mergeCell ref="A72:A76"/>
    <mergeCell ref="A79:A83"/>
    <mergeCell ref="K60:K63"/>
    <mergeCell ref="K64:K71"/>
  </mergeCells>
  <dataValidations count="7">
    <dataValidation type="list" allowBlank="1" showInputMessage="1" showErrorMessage="1" sqref="C33">
      <formula1>"签证服务费,旅游签证,商务签证,保险,其他"</formula1>
    </dataValidation>
    <dataValidation type="list" allowBlank="1" showInputMessage="1" showErrorMessage="1" sqref="C42 C36:C41 C43:C57">
      <formula1>"工作人员,餐费,住宿,交通,通信费,导游超时费,其他,物料"</formula1>
    </dataValidation>
    <dataValidation type="list" allowBlank="1" showInputMessage="1" showErrorMessage="1" sqref="C71 C60:C70 C72:C76">
      <formula1>"工作人员,餐费,住宿,交通,通信费,导游超时费,其他"</formula1>
    </dataValidation>
    <dataValidation type="list" allowBlank="1" showInputMessage="1" showErrorMessage="1" sqref="C7:C8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3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6:C17">
      <formula1>"高级大床,高级双床,豪华大床,豪华双床,行政大床,行政双床,小套房,加床,加餐,WIFI,单人房差,其他"</formula1>
    </dataValidation>
    <dataValidation type="list" allowBlank="1" showInputMessage="1" showErrorMessage="1" sqref="C27:C30">
      <formula1>"酒店早餐,自助午餐,围桌午餐,自助晚餐,围桌晚餐,鸡尾酒会,酒水,特色餐,其他"</formula1>
    </dataValidation>
  </dataValidations>
  <hyperlinks>
    <hyperlink ref="D4" r:id="rId1" display="make@cct.cn" tooltip="mailto:make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B17" sqref="B17"/>
    </sheetView>
  </sheetViews>
  <sheetFormatPr defaultColWidth="10.9333333333333" defaultRowHeight="17.6"/>
  <cols>
    <col min="1" max="1" width="21.3333333333333" customWidth="1"/>
    <col min="2" max="2" width="32" customWidth="1"/>
    <col min="3" max="3" width="17.6" customWidth="1"/>
    <col min="4" max="5" width="11" customWidth="1"/>
    <col min="6" max="6" width="14.8" customWidth="1"/>
    <col min="7" max="7" width="11" customWidth="1"/>
    <col min="11" max="11" width="27.8" customWidth="1"/>
    <col min="12" max="12" width="20.8" customWidth="1"/>
  </cols>
  <sheetData>
    <row r="1" ht="22.95" customHeight="1" spans="1:9">
      <c r="A1" s="203" t="s">
        <v>171</v>
      </c>
      <c r="B1" s="203">
        <v>1</v>
      </c>
      <c r="C1" s="203">
        <v>6</v>
      </c>
      <c r="D1" s="203">
        <v>23</v>
      </c>
      <c r="E1" s="203">
        <v>58</v>
      </c>
      <c r="F1" s="217"/>
      <c r="G1" s="203">
        <v>88</v>
      </c>
      <c r="H1" s="218"/>
      <c r="I1" s="218"/>
    </row>
    <row r="2" ht="36" customHeight="1" spans="1:9">
      <c r="A2" s="203" t="s">
        <v>84</v>
      </c>
      <c r="B2" s="203" t="s">
        <v>172</v>
      </c>
      <c r="C2" s="203" t="s">
        <v>173</v>
      </c>
      <c r="D2" s="203" t="s">
        <v>174</v>
      </c>
      <c r="E2" s="203" t="s">
        <v>175</v>
      </c>
      <c r="F2" s="203" t="s">
        <v>6</v>
      </c>
      <c r="G2" s="203" t="s">
        <v>176</v>
      </c>
      <c r="H2" s="218"/>
      <c r="I2" s="218"/>
    </row>
    <row r="3" spans="1:9">
      <c r="A3" s="204" t="s">
        <v>177</v>
      </c>
      <c r="B3" s="204">
        <v>628943</v>
      </c>
      <c r="C3" s="204">
        <v>1224200</v>
      </c>
      <c r="D3" s="204">
        <v>37934</v>
      </c>
      <c r="E3" s="204">
        <v>15000</v>
      </c>
      <c r="F3" s="204">
        <f>B3*$B$1+C3*$C$1+D3*$D$1+E3*$E$1</f>
        <v>9716625</v>
      </c>
      <c r="G3" s="219">
        <f t="shared" ref="G3:G12" si="0">F3/$F$14</f>
        <v>0.234962525331628</v>
      </c>
      <c r="H3" s="218"/>
      <c r="I3" s="218"/>
    </row>
    <row r="4" spans="1:9">
      <c r="A4" s="204" t="s">
        <v>178</v>
      </c>
      <c r="B4" s="204">
        <v>2968850</v>
      </c>
      <c r="C4" s="204">
        <v>868000</v>
      </c>
      <c r="D4" s="204">
        <v>21300</v>
      </c>
      <c r="E4" s="204">
        <v>15000</v>
      </c>
      <c r="F4" s="204">
        <f t="shared" ref="F4:F12" si="1">B4*$B$1+C4*$C$1+D4*$D$1+E4*$E$1</f>
        <v>9536750</v>
      </c>
      <c r="G4" s="219">
        <f t="shared" si="0"/>
        <v>0.230612878798596</v>
      </c>
      <c r="H4" s="218"/>
      <c r="I4" s="218"/>
    </row>
    <row r="5" spans="1:9">
      <c r="A5" s="204" t="s">
        <v>65</v>
      </c>
      <c r="B5" s="204">
        <v>1089800</v>
      </c>
      <c r="C5" s="204">
        <v>284000</v>
      </c>
      <c r="D5" s="204">
        <v>20300</v>
      </c>
      <c r="E5" s="204">
        <v>0</v>
      </c>
      <c r="F5" s="204">
        <f t="shared" si="1"/>
        <v>3260700</v>
      </c>
      <c r="G5" s="220">
        <f t="shared" si="0"/>
        <v>0.0788486029201332</v>
      </c>
      <c r="H5" s="218"/>
      <c r="I5" s="218"/>
    </row>
    <row r="6" spans="1:9">
      <c r="A6" s="204" t="s">
        <v>18</v>
      </c>
      <c r="B6" s="204">
        <v>841600</v>
      </c>
      <c r="C6" s="204">
        <v>60000</v>
      </c>
      <c r="D6" s="204">
        <v>53700</v>
      </c>
      <c r="E6" s="204">
        <v>0</v>
      </c>
      <c r="F6" s="204">
        <f t="shared" si="1"/>
        <v>2436700</v>
      </c>
      <c r="G6" s="219">
        <f t="shared" si="0"/>
        <v>0.058923050490842</v>
      </c>
      <c r="H6" s="218"/>
      <c r="I6" s="218"/>
    </row>
    <row r="7" spans="1:9">
      <c r="A7" s="204" t="s">
        <v>101</v>
      </c>
      <c r="B7" s="204">
        <v>126496</v>
      </c>
      <c r="C7" s="204">
        <v>17500</v>
      </c>
      <c r="D7" s="204">
        <v>550</v>
      </c>
      <c r="E7" s="204">
        <v>0</v>
      </c>
      <c r="F7" s="204">
        <f t="shared" si="1"/>
        <v>244146</v>
      </c>
      <c r="G7" s="219">
        <f t="shared" si="0"/>
        <v>0.00590381544102151</v>
      </c>
      <c r="H7" s="218"/>
      <c r="I7" s="218"/>
    </row>
    <row r="8" ht="24" customHeight="1" spans="1:9">
      <c r="A8" s="204" t="s">
        <v>179</v>
      </c>
      <c r="B8" s="204">
        <v>793400</v>
      </c>
      <c r="C8" s="204">
        <v>298714</v>
      </c>
      <c r="D8" s="204">
        <v>6880</v>
      </c>
      <c r="E8" s="204">
        <v>0</v>
      </c>
      <c r="F8" s="204">
        <f t="shared" si="1"/>
        <v>2743924</v>
      </c>
      <c r="G8" s="220">
        <f t="shared" si="0"/>
        <v>0.0663521863155223</v>
      </c>
      <c r="H8" s="218"/>
      <c r="I8" s="218"/>
    </row>
    <row r="9" spans="1:9">
      <c r="A9" s="204" t="s">
        <v>180</v>
      </c>
      <c r="B9" s="204">
        <v>892000</v>
      </c>
      <c r="C9" s="204">
        <v>279600</v>
      </c>
      <c r="D9" s="204">
        <v>0</v>
      </c>
      <c r="E9" s="204">
        <v>0</v>
      </c>
      <c r="F9" s="204">
        <f t="shared" si="1"/>
        <v>2569600</v>
      </c>
      <c r="G9" s="220">
        <f t="shared" si="0"/>
        <v>0.0621367712649352</v>
      </c>
      <c r="H9" s="218"/>
      <c r="I9" s="218"/>
    </row>
    <row r="10" spans="1:9">
      <c r="A10" s="204" t="s">
        <v>181</v>
      </c>
      <c r="B10" s="204">
        <v>618990</v>
      </c>
      <c r="C10" s="204">
        <v>16250</v>
      </c>
      <c r="D10" s="204">
        <v>5000</v>
      </c>
      <c r="E10" s="204">
        <v>0</v>
      </c>
      <c r="F10" s="204">
        <f t="shared" si="1"/>
        <v>831490</v>
      </c>
      <c r="G10" s="220">
        <f t="shared" si="0"/>
        <v>0.0201066718318341</v>
      </c>
      <c r="H10" s="218"/>
      <c r="I10" s="218"/>
    </row>
    <row r="11" spans="1:9">
      <c r="A11" s="204" t="s">
        <v>182</v>
      </c>
      <c r="B11" s="204">
        <v>184000</v>
      </c>
      <c r="C11" s="204">
        <v>125000</v>
      </c>
      <c r="D11" s="204">
        <v>10000</v>
      </c>
      <c r="E11" s="204">
        <v>0</v>
      </c>
      <c r="F11" s="204">
        <f t="shared" si="1"/>
        <v>1164000</v>
      </c>
      <c r="G11" s="219">
        <f t="shared" si="0"/>
        <v>0.0281472609559405</v>
      </c>
      <c r="H11" s="218"/>
      <c r="I11" s="218"/>
    </row>
    <row r="12" spans="1:12">
      <c r="A12" s="204" t="s">
        <v>183</v>
      </c>
      <c r="B12" s="204">
        <v>3000000</v>
      </c>
      <c r="C12" s="204">
        <v>400000</v>
      </c>
      <c r="D12" s="204">
        <v>150000</v>
      </c>
      <c r="E12" s="204">
        <v>0</v>
      </c>
      <c r="F12" s="204">
        <f t="shared" si="1"/>
        <v>8850000</v>
      </c>
      <c r="G12" s="219">
        <f t="shared" si="0"/>
        <v>0.214006236649547</v>
      </c>
      <c r="H12" s="218"/>
      <c r="I12" s="218"/>
      <c r="J12" s="218"/>
      <c r="K12" s="218"/>
      <c r="L12" s="218"/>
    </row>
    <row r="13" spans="1:12">
      <c r="A13" s="203" t="s">
        <v>184</v>
      </c>
      <c r="B13" s="204">
        <f>SUM(B3:B12)</f>
        <v>11144079</v>
      </c>
      <c r="C13" s="204">
        <f>SUM(C3:C12)</f>
        <v>3573264</v>
      </c>
      <c r="D13" s="204">
        <f>SUM(D3:D12)</f>
        <v>305664</v>
      </c>
      <c r="E13" s="204">
        <f>SUM(E3:E12)</f>
        <v>30000</v>
      </c>
      <c r="F13" s="204">
        <f>SUM(F3:F12)</f>
        <v>41353935</v>
      </c>
      <c r="G13" s="221"/>
      <c r="H13" s="218"/>
      <c r="I13" s="218"/>
      <c r="J13" s="218"/>
      <c r="K13" s="218"/>
      <c r="L13" s="218"/>
    </row>
    <row r="14" spans="1:12">
      <c r="A14" s="203" t="s">
        <v>185</v>
      </c>
      <c r="B14" s="204">
        <f>SUM(B3:B12)*B1</f>
        <v>11144079</v>
      </c>
      <c r="C14" s="204">
        <f>SUM(C3:C12)*C1</f>
        <v>21439584</v>
      </c>
      <c r="D14" s="204">
        <f>SUM(D3:D12)*D1</f>
        <v>7030272</v>
      </c>
      <c r="E14" s="204">
        <f>SUM(E3:E12)*E1</f>
        <v>1740000</v>
      </c>
      <c r="F14" s="204">
        <f>SUM(B14:E14)</f>
        <v>41353935</v>
      </c>
      <c r="G14" s="209">
        <f>F14/$F$14</f>
        <v>1</v>
      </c>
      <c r="H14" s="218"/>
      <c r="I14" s="218"/>
      <c r="J14" s="218"/>
      <c r="K14" s="218"/>
      <c r="L14" s="218"/>
    </row>
    <row r="17" ht="49.1" customHeight="1" spans="1:3">
      <c r="A17" s="205" t="s">
        <v>186</v>
      </c>
      <c r="B17" s="206" t="s">
        <v>187</v>
      </c>
      <c r="C17" s="207">
        <f>SUM(G12,G11,G7,G6,G4,G3)</f>
        <v>0.772555767667575</v>
      </c>
    </row>
    <row r="18" spans="1:3">
      <c r="A18" s="208"/>
      <c r="B18" s="204" t="s">
        <v>177</v>
      </c>
      <c r="C18" s="209">
        <v>0.234962525331628</v>
      </c>
    </row>
    <row r="19" spans="1:3">
      <c r="A19" s="210"/>
      <c r="B19" s="204" t="s">
        <v>178</v>
      </c>
      <c r="C19" s="209">
        <v>0.230612878798596</v>
      </c>
    </row>
    <row r="20" spans="1:3">
      <c r="A20" s="210"/>
      <c r="B20" s="204" t="s">
        <v>183</v>
      </c>
      <c r="C20" s="209">
        <v>0.214006236649547</v>
      </c>
    </row>
    <row r="21" spans="1:3">
      <c r="A21" s="210"/>
      <c r="B21" s="204" t="s">
        <v>18</v>
      </c>
      <c r="C21" s="209">
        <v>0.058923050490842</v>
      </c>
    </row>
    <row r="22" spans="1:3">
      <c r="A22" s="210"/>
      <c r="B22" s="204" t="s">
        <v>182</v>
      </c>
      <c r="C22" s="209">
        <v>0.0281472609559405</v>
      </c>
    </row>
    <row r="23" spans="1:3">
      <c r="A23" s="210"/>
      <c r="B23" s="204" t="s">
        <v>101</v>
      </c>
      <c r="C23" s="209">
        <v>0.00590381544102151</v>
      </c>
    </row>
    <row r="24" ht="36" spans="1:5">
      <c r="A24" s="211" t="s">
        <v>188</v>
      </c>
      <c r="B24" s="212" t="s">
        <v>189</v>
      </c>
      <c r="C24" s="213">
        <f>1-C17</f>
        <v>0.227444232332425</v>
      </c>
      <c r="D24" s="161"/>
      <c r="E24" s="222"/>
    </row>
    <row r="25" spans="1:5">
      <c r="A25" s="214"/>
      <c r="B25" s="204" t="s">
        <v>190</v>
      </c>
      <c r="C25" s="209">
        <v>0.128488957580458</v>
      </c>
      <c r="D25" s="161"/>
      <c r="E25" s="222"/>
    </row>
    <row r="26" spans="1:5">
      <c r="A26" s="215"/>
      <c r="B26" s="204" t="s">
        <v>65</v>
      </c>
      <c r="C26" s="209">
        <v>0.0788486029201332</v>
      </c>
      <c r="D26" s="161"/>
      <c r="E26" s="222"/>
    </row>
    <row r="27" spans="1:4">
      <c r="A27" s="216"/>
      <c r="B27" s="204" t="s">
        <v>181</v>
      </c>
      <c r="C27" s="209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A28" sqref="A2:H29"/>
    </sheetView>
  </sheetViews>
  <sheetFormatPr defaultColWidth="10.9333333333333" defaultRowHeight="17.6"/>
  <cols>
    <col min="2" max="2" width="20" customWidth="1"/>
    <col min="3" max="3" width="18.4666666666667" customWidth="1"/>
    <col min="8" max="8" width="38.6" customWidth="1"/>
  </cols>
  <sheetData>
    <row r="1" spans="1:9">
      <c r="A1" s="189" t="s">
        <v>50</v>
      </c>
      <c r="B1" s="190"/>
      <c r="C1" s="191" t="s">
        <v>64</v>
      </c>
      <c r="D1" s="192" t="s">
        <v>5</v>
      </c>
      <c r="E1" s="199"/>
      <c r="F1" s="192" t="s">
        <v>52</v>
      </c>
      <c r="G1" s="199"/>
      <c r="H1" s="200" t="s">
        <v>191</v>
      </c>
      <c r="I1" s="202"/>
    </row>
    <row r="2" spans="1:7">
      <c r="A2" s="193" t="s">
        <v>12</v>
      </c>
      <c r="B2" s="23" t="s">
        <v>192</v>
      </c>
      <c r="C2" s="23" t="s">
        <v>193</v>
      </c>
      <c r="D2" s="184">
        <v>1</v>
      </c>
      <c r="E2" s="184"/>
      <c r="F2" s="24" t="s">
        <v>194</v>
      </c>
      <c r="G2" s="24"/>
    </row>
    <row r="3" spans="1:7">
      <c r="A3" s="193"/>
      <c r="B3" s="23"/>
      <c r="C3" s="16" t="s">
        <v>195</v>
      </c>
      <c r="D3" s="184">
        <v>1</v>
      </c>
      <c r="E3" s="184"/>
      <c r="F3" s="24" t="s">
        <v>196</v>
      </c>
      <c r="G3" s="24"/>
    </row>
    <row r="4" spans="1:7">
      <c r="A4" s="193"/>
      <c r="B4" s="23"/>
      <c r="C4" s="16" t="s">
        <v>67</v>
      </c>
      <c r="D4" s="184">
        <v>1070</v>
      </c>
      <c r="E4" s="184"/>
      <c r="F4" s="24" t="s">
        <v>196</v>
      </c>
      <c r="G4" s="24"/>
    </row>
    <row r="5" spans="1:7">
      <c r="A5" s="193"/>
      <c r="B5" s="23"/>
      <c r="C5" s="16" t="s">
        <v>197</v>
      </c>
      <c r="D5" s="184">
        <v>1</v>
      </c>
      <c r="E5" s="184"/>
      <c r="F5" s="24" t="s">
        <v>196</v>
      </c>
      <c r="G5" s="24"/>
    </row>
    <row r="6" spans="1:7">
      <c r="A6" s="193"/>
      <c r="B6" s="23"/>
      <c r="C6" s="16" t="s">
        <v>198</v>
      </c>
      <c r="D6" s="184">
        <v>1</v>
      </c>
      <c r="E6" s="184"/>
      <c r="F6" s="24" t="s">
        <v>196</v>
      </c>
      <c r="G6" s="24"/>
    </row>
    <row r="7" spans="1:7">
      <c r="A7" s="193"/>
      <c r="B7" s="23"/>
      <c r="C7" s="16" t="s">
        <v>199</v>
      </c>
      <c r="D7" s="184">
        <v>1</v>
      </c>
      <c r="E7" s="184"/>
      <c r="F7" s="24" t="s">
        <v>196</v>
      </c>
      <c r="G7" s="24"/>
    </row>
    <row r="8" spans="1:7">
      <c r="A8" s="193"/>
      <c r="B8" s="23"/>
      <c r="C8" s="16" t="s">
        <v>200</v>
      </c>
      <c r="D8" s="184">
        <v>2</v>
      </c>
      <c r="E8" s="184"/>
      <c r="F8" s="24" t="s">
        <v>196</v>
      </c>
      <c r="G8" s="24"/>
    </row>
    <row r="9" spans="1:7">
      <c r="A9" s="193"/>
      <c r="B9" s="23"/>
      <c r="C9" s="16" t="s">
        <v>201</v>
      </c>
      <c r="D9" s="184">
        <v>1</v>
      </c>
      <c r="E9" s="184"/>
      <c r="F9" s="24" t="s">
        <v>196</v>
      </c>
      <c r="G9" s="24"/>
    </row>
    <row r="10" spans="1:7">
      <c r="A10" s="193"/>
      <c r="B10" s="23"/>
      <c r="C10" s="16" t="s">
        <v>202</v>
      </c>
      <c r="D10" s="184">
        <v>1</v>
      </c>
      <c r="E10" s="184"/>
      <c r="F10" s="24" t="s">
        <v>196</v>
      </c>
      <c r="G10" s="24"/>
    </row>
    <row r="11" spans="1:7">
      <c r="A11" s="193"/>
      <c r="B11" s="23"/>
      <c r="C11" s="16" t="s">
        <v>203</v>
      </c>
      <c r="D11" s="184">
        <v>1</v>
      </c>
      <c r="E11" s="184"/>
      <c r="F11" s="24" t="s">
        <v>196</v>
      </c>
      <c r="G11" s="24"/>
    </row>
    <row r="12" spans="1:7">
      <c r="A12" s="193"/>
      <c r="B12" s="23"/>
      <c r="C12" s="16" t="s">
        <v>204</v>
      </c>
      <c r="D12" s="184">
        <v>1</v>
      </c>
      <c r="E12" s="184"/>
      <c r="F12" s="24" t="s">
        <v>196</v>
      </c>
      <c r="G12" s="24"/>
    </row>
    <row r="13" spans="1:7">
      <c r="A13" s="193"/>
      <c r="B13" s="23"/>
      <c r="C13" s="16" t="s">
        <v>205</v>
      </c>
      <c r="D13" s="184">
        <v>1</v>
      </c>
      <c r="E13" s="184"/>
      <c r="F13" s="24" t="s">
        <v>196</v>
      </c>
      <c r="G13" s="24"/>
    </row>
    <row r="14" spans="1:7">
      <c r="A14" s="193"/>
      <c r="B14" s="23"/>
      <c r="C14" s="16" t="s">
        <v>206</v>
      </c>
      <c r="D14" s="184">
        <v>1</v>
      </c>
      <c r="E14" s="184"/>
      <c r="F14" s="24" t="s">
        <v>196</v>
      </c>
      <c r="G14" s="24"/>
    </row>
    <row r="15" spans="1:7">
      <c r="A15" s="193"/>
      <c r="B15" s="23" t="s">
        <v>207</v>
      </c>
      <c r="C15" s="23" t="s">
        <v>193</v>
      </c>
      <c r="D15" s="184">
        <v>1</v>
      </c>
      <c r="E15" s="184"/>
      <c r="F15" s="24" t="s">
        <v>208</v>
      </c>
      <c r="G15" s="24"/>
    </row>
    <row r="16" spans="1:7">
      <c r="A16" s="193"/>
      <c r="B16" s="23"/>
      <c r="C16" s="16" t="s">
        <v>195</v>
      </c>
      <c r="D16" s="184">
        <v>1</v>
      </c>
      <c r="E16" s="184"/>
      <c r="F16" s="24" t="s">
        <v>208</v>
      </c>
      <c r="G16" s="24"/>
    </row>
    <row r="17" spans="1:7">
      <c r="A17" s="193"/>
      <c r="B17" s="23"/>
      <c r="C17" s="16" t="s">
        <v>67</v>
      </c>
      <c r="D17" s="184">
        <v>747</v>
      </c>
      <c r="E17" s="184"/>
      <c r="F17" s="24" t="s">
        <v>208</v>
      </c>
      <c r="G17" s="24"/>
    </row>
    <row r="18" spans="1:7">
      <c r="A18" s="193"/>
      <c r="B18" s="23"/>
      <c r="C18" s="16" t="s">
        <v>197</v>
      </c>
      <c r="D18" s="184">
        <v>12</v>
      </c>
      <c r="E18" s="184"/>
      <c r="F18" s="24" t="s">
        <v>208</v>
      </c>
      <c r="G18" s="24"/>
    </row>
    <row r="19" spans="1:7">
      <c r="A19" s="193"/>
      <c r="B19" s="23"/>
      <c r="C19" s="16" t="s">
        <v>198</v>
      </c>
      <c r="D19" s="184">
        <v>24</v>
      </c>
      <c r="E19" s="184"/>
      <c r="F19" s="24" t="s">
        <v>208</v>
      </c>
      <c r="G19" s="24"/>
    </row>
    <row r="20" spans="1:7">
      <c r="A20" s="193"/>
      <c r="B20" s="23"/>
      <c r="C20" s="16" t="s">
        <v>199</v>
      </c>
      <c r="D20" s="184">
        <v>1</v>
      </c>
      <c r="E20" s="184"/>
      <c r="F20" s="24" t="s">
        <v>208</v>
      </c>
      <c r="G20" s="24"/>
    </row>
    <row r="21" spans="1:7">
      <c r="A21" s="193"/>
      <c r="B21" s="23"/>
      <c r="C21" s="16" t="s">
        <v>200</v>
      </c>
      <c r="D21" s="184">
        <v>42</v>
      </c>
      <c r="E21" s="184"/>
      <c r="F21" s="24" t="s">
        <v>208</v>
      </c>
      <c r="G21" s="24"/>
    </row>
    <row r="22" spans="1:7">
      <c r="A22" s="193"/>
      <c r="B22" s="23"/>
      <c r="C22" s="16" t="s">
        <v>201</v>
      </c>
      <c r="D22" s="184">
        <v>1</v>
      </c>
      <c r="E22" s="184"/>
      <c r="F22" s="24" t="s">
        <v>208</v>
      </c>
      <c r="G22" s="24"/>
    </row>
    <row r="23" spans="1:7">
      <c r="A23" s="193"/>
      <c r="B23" s="23"/>
      <c r="C23" s="16" t="s">
        <v>202</v>
      </c>
      <c r="D23" s="184">
        <v>1</v>
      </c>
      <c r="E23" s="184"/>
      <c r="F23" s="24" t="s">
        <v>208</v>
      </c>
      <c r="G23" s="24"/>
    </row>
    <row r="24" spans="1:7">
      <c r="A24" s="193"/>
      <c r="B24" s="23"/>
      <c r="C24" s="16" t="s">
        <v>203</v>
      </c>
      <c r="D24" s="184">
        <v>1</v>
      </c>
      <c r="E24" s="184"/>
      <c r="F24" s="24" t="s">
        <v>208</v>
      </c>
      <c r="G24" s="24"/>
    </row>
    <row r="25" spans="1:7">
      <c r="A25" s="193"/>
      <c r="B25" s="23"/>
      <c r="C25" s="16" t="s">
        <v>204</v>
      </c>
      <c r="D25" s="184">
        <v>1</v>
      </c>
      <c r="E25" s="184"/>
      <c r="F25" s="24" t="s">
        <v>208</v>
      </c>
      <c r="G25" s="24"/>
    </row>
    <row r="26" spans="1:7">
      <c r="A26" s="193"/>
      <c r="B26" s="23"/>
      <c r="C26" s="16" t="s">
        <v>205</v>
      </c>
      <c r="D26" s="184">
        <v>1</v>
      </c>
      <c r="E26" s="184"/>
      <c r="F26" s="24" t="s">
        <v>208</v>
      </c>
      <c r="G26" s="24"/>
    </row>
    <row r="27" spans="1:7">
      <c r="A27" s="193"/>
      <c r="B27" s="23"/>
      <c r="C27" s="16" t="s">
        <v>206</v>
      </c>
      <c r="D27" s="184">
        <v>1</v>
      </c>
      <c r="E27" s="184"/>
      <c r="F27" s="24" t="s">
        <v>208</v>
      </c>
      <c r="G27" s="24"/>
    </row>
    <row r="28" spans="1:7">
      <c r="A28" s="193"/>
      <c r="B28" s="23" t="s">
        <v>209</v>
      </c>
      <c r="C28" s="16" t="s">
        <v>210</v>
      </c>
      <c r="D28" s="184">
        <v>80000</v>
      </c>
      <c r="E28" s="184"/>
      <c r="F28" s="24" t="s">
        <v>73</v>
      </c>
      <c r="G28" s="24"/>
    </row>
    <row r="29" spans="1:7">
      <c r="A29" s="193"/>
      <c r="B29" s="23"/>
      <c r="C29" s="16" t="s">
        <v>72</v>
      </c>
      <c r="D29" s="184">
        <v>132400</v>
      </c>
      <c r="E29" s="184"/>
      <c r="F29" s="24" t="s">
        <v>73</v>
      </c>
      <c r="G29" s="24"/>
    </row>
    <row r="30" spans="1:7">
      <c r="A30" s="194"/>
      <c r="B30" s="194"/>
      <c r="C30" s="194"/>
      <c r="D30" s="194"/>
      <c r="E30" s="194"/>
      <c r="F30" s="194"/>
      <c r="G30" s="194"/>
    </row>
    <row r="31" spans="1:7">
      <c r="A31" s="195" t="s">
        <v>140</v>
      </c>
      <c r="B31" s="24" t="s">
        <v>141</v>
      </c>
      <c r="C31" s="23" t="s">
        <v>140</v>
      </c>
      <c r="D31" s="196">
        <v>147</v>
      </c>
      <c r="E31" s="201"/>
      <c r="F31" s="196" t="s">
        <v>57</v>
      </c>
      <c r="G31" s="201"/>
    </row>
    <row r="32" spans="1:7">
      <c r="A32" s="197"/>
      <c r="B32" s="24" t="s">
        <v>143</v>
      </c>
      <c r="C32" s="23" t="s">
        <v>140</v>
      </c>
      <c r="D32" s="196">
        <v>669</v>
      </c>
      <c r="E32" s="201"/>
      <c r="F32" s="196" t="s">
        <v>57</v>
      </c>
      <c r="G32" s="201"/>
    </row>
    <row r="33" spans="1:7">
      <c r="A33" s="197"/>
      <c r="B33" s="24" t="s">
        <v>144</v>
      </c>
      <c r="C33" s="23" t="s">
        <v>140</v>
      </c>
      <c r="D33" s="196">
        <v>800</v>
      </c>
      <c r="E33" s="201"/>
      <c r="F33" s="196" t="s">
        <v>57</v>
      </c>
      <c r="G33" s="201"/>
    </row>
    <row r="34" spans="1:7">
      <c r="A34" s="197"/>
      <c r="B34" s="24" t="s">
        <v>211</v>
      </c>
      <c r="C34" s="23" t="s">
        <v>140</v>
      </c>
      <c r="D34" s="196">
        <v>240</v>
      </c>
      <c r="E34" s="201"/>
      <c r="F34" s="196" t="s">
        <v>57</v>
      </c>
      <c r="G34" s="201"/>
    </row>
    <row r="35" spans="1:7">
      <c r="A35" s="197"/>
      <c r="B35" s="24" t="s">
        <v>146</v>
      </c>
      <c r="C35" s="23" t="s">
        <v>140</v>
      </c>
      <c r="D35" s="196">
        <v>200</v>
      </c>
      <c r="E35" s="201"/>
      <c r="F35" s="196" t="s">
        <v>57</v>
      </c>
      <c r="G35" s="201"/>
    </row>
    <row r="36" spans="1:7">
      <c r="A36" s="197"/>
      <c r="B36" s="24" t="s">
        <v>153</v>
      </c>
      <c r="C36" s="23" t="s">
        <v>140</v>
      </c>
      <c r="D36" s="196">
        <v>30</v>
      </c>
      <c r="E36" s="201"/>
      <c r="F36" s="196" t="s">
        <v>57</v>
      </c>
      <c r="G36" s="201"/>
    </row>
    <row r="37" spans="1:7">
      <c r="A37" s="197"/>
      <c r="B37" s="24" t="s">
        <v>212</v>
      </c>
      <c r="C37" s="23" t="s">
        <v>140</v>
      </c>
      <c r="D37" s="196">
        <v>52</v>
      </c>
      <c r="E37" s="201"/>
      <c r="F37" s="196" t="s">
        <v>57</v>
      </c>
      <c r="G37" s="201"/>
    </row>
    <row r="38" spans="1:7">
      <c r="A38" s="197"/>
      <c r="B38" s="24" t="s">
        <v>150</v>
      </c>
      <c r="C38" s="23" t="s">
        <v>140</v>
      </c>
      <c r="D38" s="196">
        <v>11</v>
      </c>
      <c r="E38" s="201"/>
      <c r="F38" s="196" t="s">
        <v>57</v>
      </c>
      <c r="G38" s="201"/>
    </row>
    <row r="39" spans="1:7">
      <c r="A39" s="197"/>
      <c r="B39" s="24" t="s">
        <v>213</v>
      </c>
      <c r="C39" s="23" t="s">
        <v>140</v>
      </c>
      <c r="D39" s="196">
        <v>441</v>
      </c>
      <c r="E39" s="201"/>
      <c r="F39" s="196" t="s">
        <v>57</v>
      </c>
      <c r="G39" s="201"/>
    </row>
    <row r="40" spans="1:7">
      <c r="A40" s="197"/>
      <c r="B40" s="24" t="s">
        <v>152</v>
      </c>
      <c r="C40" s="23" t="s">
        <v>140</v>
      </c>
      <c r="D40" s="196">
        <v>22</v>
      </c>
      <c r="E40" s="201"/>
      <c r="F40" s="196" t="s">
        <v>57</v>
      </c>
      <c r="G40" s="201"/>
    </row>
    <row r="41" spans="1:7">
      <c r="A41" s="197"/>
      <c r="B41" s="24" t="s">
        <v>214</v>
      </c>
      <c r="C41" s="23" t="s">
        <v>140</v>
      </c>
      <c r="D41" s="196">
        <v>30</v>
      </c>
      <c r="E41" s="201"/>
      <c r="F41" s="196" t="s">
        <v>57</v>
      </c>
      <c r="G41" s="201"/>
    </row>
    <row r="42" spans="1:7">
      <c r="A42" s="197"/>
      <c r="B42" s="24" t="s">
        <v>151</v>
      </c>
      <c r="C42" s="23" t="s">
        <v>140</v>
      </c>
      <c r="D42" s="196">
        <v>7</v>
      </c>
      <c r="E42" s="201"/>
      <c r="F42" s="196" t="s">
        <v>57</v>
      </c>
      <c r="G42" s="201"/>
    </row>
    <row r="43" spans="1:7">
      <c r="A43" s="197"/>
      <c r="B43" s="24" t="s">
        <v>215</v>
      </c>
      <c r="C43" s="23" t="s">
        <v>140</v>
      </c>
      <c r="D43" s="196">
        <v>423</v>
      </c>
      <c r="E43" s="201"/>
      <c r="F43" s="196" t="s">
        <v>57</v>
      </c>
      <c r="G43" s="201"/>
    </row>
    <row r="44" spans="1:7">
      <c r="A44" s="197"/>
      <c r="B44" s="24" t="s">
        <v>216</v>
      </c>
      <c r="C44" s="23" t="s">
        <v>140</v>
      </c>
      <c r="D44" s="196">
        <v>58</v>
      </c>
      <c r="E44" s="201"/>
      <c r="F44" s="196" t="s">
        <v>57</v>
      </c>
      <c r="G44" s="201"/>
    </row>
    <row r="45" spans="1:7">
      <c r="A45" s="197"/>
      <c r="B45" s="24" t="s">
        <v>217</v>
      </c>
      <c r="C45" s="23" t="s">
        <v>140</v>
      </c>
      <c r="D45" s="196">
        <v>92</v>
      </c>
      <c r="E45" s="201"/>
      <c r="F45" s="196" t="s">
        <v>57</v>
      </c>
      <c r="G45" s="201"/>
    </row>
    <row r="46" spans="1:7">
      <c r="A46" s="197"/>
      <c r="B46" s="24" t="s">
        <v>218</v>
      </c>
      <c r="C46" s="23" t="s">
        <v>140</v>
      </c>
      <c r="D46" s="196">
        <v>21</v>
      </c>
      <c r="E46" s="201"/>
      <c r="F46" s="196" t="s">
        <v>57</v>
      </c>
      <c r="G46" s="201"/>
    </row>
    <row r="47" spans="1:7">
      <c r="A47" s="197"/>
      <c r="B47" s="24" t="s">
        <v>219</v>
      </c>
      <c r="C47" s="23" t="s">
        <v>140</v>
      </c>
      <c r="D47" s="196">
        <v>1014</v>
      </c>
      <c r="E47" s="201"/>
      <c r="F47" s="196" t="s">
        <v>57</v>
      </c>
      <c r="G47" s="201"/>
    </row>
    <row r="48" spans="1:7">
      <c r="A48" s="198"/>
      <c r="B48" s="24" t="s">
        <v>220</v>
      </c>
      <c r="C48" s="23" t="s">
        <v>140</v>
      </c>
      <c r="D48" s="196">
        <v>437</v>
      </c>
      <c r="E48" s="201"/>
      <c r="F48" s="196" t="s">
        <v>57</v>
      </c>
      <c r="G48" s="201"/>
    </row>
    <row r="49" spans="1:7">
      <c r="A49" s="183" t="s">
        <v>155</v>
      </c>
      <c r="B49" s="24" t="s">
        <v>156</v>
      </c>
      <c r="C49" s="23" t="s">
        <v>72</v>
      </c>
      <c r="D49" s="196">
        <v>2680</v>
      </c>
      <c r="E49" s="201"/>
      <c r="F49" s="196" t="s">
        <v>57</v>
      </c>
      <c r="G49" s="201"/>
    </row>
    <row r="50" spans="1:7">
      <c r="A50" s="183"/>
      <c r="B50" s="24" t="s">
        <v>221</v>
      </c>
      <c r="C50" s="23" t="s">
        <v>72</v>
      </c>
      <c r="D50" s="196">
        <v>184</v>
      </c>
      <c r="E50" s="201"/>
      <c r="F50" s="196" t="s">
        <v>57</v>
      </c>
      <c r="G50" s="201"/>
    </row>
    <row r="51" spans="1:7">
      <c r="A51" s="183"/>
      <c r="B51" s="24" t="s">
        <v>158</v>
      </c>
      <c r="C51" s="23" t="s">
        <v>72</v>
      </c>
      <c r="D51" s="196">
        <v>306</v>
      </c>
      <c r="E51" s="201"/>
      <c r="F51" s="196" t="s">
        <v>57</v>
      </c>
      <c r="G51" s="201"/>
    </row>
    <row r="52" spans="1:7">
      <c r="A52" s="183"/>
      <c r="B52" s="24" t="s">
        <v>222</v>
      </c>
      <c r="C52" s="23" t="s">
        <v>72</v>
      </c>
      <c r="D52" s="196">
        <v>2496</v>
      </c>
      <c r="E52" s="201"/>
      <c r="F52" s="196" t="s">
        <v>57</v>
      </c>
      <c r="G52" s="201"/>
    </row>
    <row r="53" spans="1:7">
      <c r="A53" s="183"/>
      <c r="B53" s="24" t="s">
        <v>160</v>
      </c>
      <c r="C53" s="23" t="s">
        <v>72</v>
      </c>
      <c r="D53" s="196">
        <v>2180</v>
      </c>
      <c r="E53" s="201"/>
      <c r="F53" s="196" t="s">
        <v>57</v>
      </c>
      <c r="G53" s="201"/>
    </row>
    <row r="54" spans="1:7">
      <c r="A54" s="183"/>
      <c r="B54" s="24" t="s">
        <v>223</v>
      </c>
      <c r="C54" s="23" t="s">
        <v>72</v>
      </c>
      <c r="D54" s="196">
        <v>140</v>
      </c>
      <c r="E54" s="201"/>
      <c r="F54" s="196" t="s">
        <v>57</v>
      </c>
      <c r="G54" s="201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A28" sqref="A28:H29"/>
    </sheetView>
  </sheetViews>
  <sheetFormatPr defaultColWidth="10.9333333333333" defaultRowHeight="17.6" outlineLevelCol="5"/>
  <cols>
    <col min="2" max="2" width="48" customWidth="1"/>
    <col min="3" max="3" width="6.8" customWidth="1"/>
    <col min="4" max="4" width="6.33333333333333" customWidth="1"/>
    <col min="5" max="5" width="21" customWidth="1"/>
    <col min="6" max="6" width="35.6" customWidth="1"/>
  </cols>
  <sheetData>
    <row r="1" spans="1:6">
      <c r="A1" s="11" t="s">
        <v>50</v>
      </c>
      <c r="B1" s="11" t="s">
        <v>224</v>
      </c>
      <c r="C1" s="13" t="s">
        <v>5</v>
      </c>
      <c r="D1" s="13" t="s">
        <v>225</v>
      </c>
      <c r="E1" s="13" t="s">
        <v>7</v>
      </c>
      <c r="F1" s="187" t="s">
        <v>226</v>
      </c>
    </row>
    <row r="2" spans="1:5">
      <c r="A2" s="186">
        <v>1</v>
      </c>
      <c r="B2" s="186" t="s">
        <v>227</v>
      </c>
      <c r="C2" s="186">
        <v>18</v>
      </c>
      <c r="D2" s="186">
        <v>1</v>
      </c>
      <c r="E2" s="188"/>
    </row>
    <row r="3" spans="1:5">
      <c r="A3" s="186">
        <v>2</v>
      </c>
      <c r="B3" s="186" t="s">
        <v>228</v>
      </c>
      <c r="C3" s="186">
        <v>284</v>
      </c>
      <c r="D3" s="186">
        <v>1</v>
      </c>
      <c r="E3" s="188"/>
    </row>
    <row r="4" spans="1:5">
      <c r="A4" s="186">
        <v>3</v>
      </c>
      <c r="B4" s="186" t="s">
        <v>229</v>
      </c>
      <c r="C4" s="186">
        <v>1</v>
      </c>
      <c r="D4" s="186">
        <v>1</v>
      </c>
      <c r="E4" s="188"/>
    </row>
    <row r="5" spans="1:5">
      <c r="A5" s="186">
        <v>4</v>
      </c>
      <c r="B5" s="186" t="s">
        <v>230</v>
      </c>
      <c r="C5" s="186">
        <v>76</v>
      </c>
      <c r="D5" s="186">
        <v>1</v>
      </c>
      <c r="E5" s="188"/>
    </row>
    <row r="6" spans="1:5">
      <c r="A6" s="186">
        <v>5</v>
      </c>
      <c r="B6" s="186" t="s">
        <v>231</v>
      </c>
      <c r="C6" s="186">
        <v>2</v>
      </c>
      <c r="D6" s="186">
        <v>6</v>
      </c>
      <c r="E6" s="188"/>
    </row>
    <row r="7" spans="1:5">
      <c r="A7" s="186">
        <v>6</v>
      </c>
      <c r="B7" s="186" t="s">
        <v>232</v>
      </c>
      <c r="C7" s="186">
        <v>2</v>
      </c>
      <c r="D7" s="186">
        <v>1</v>
      </c>
      <c r="E7" s="188"/>
    </row>
    <row r="8" spans="1:5">
      <c r="A8" s="186">
        <v>7</v>
      </c>
      <c r="B8" s="186" t="s">
        <v>233</v>
      </c>
      <c r="C8" s="186">
        <v>32</v>
      </c>
      <c r="D8" s="186">
        <v>8.5</v>
      </c>
      <c r="E8" s="188"/>
    </row>
    <row r="9" spans="1:5">
      <c r="A9" s="186">
        <v>8</v>
      </c>
      <c r="B9" s="186" t="s">
        <v>234</v>
      </c>
      <c r="C9" s="186">
        <v>32</v>
      </c>
      <c r="D9" s="186">
        <v>1</v>
      </c>
      <c r="E9" s="188"/>
    </row>
    <row r="10" spans="1:5">
      <c r="A10" s="186">
        <v>9</v>
      </c>
      <c r="B10" s="186" t="s">
        <v>235</v>
      </c>
      <c r="C10" s="186">
        <v>40</v>
      </c>
      <c r="D10" s="186">
        <v>1</v>
      </c>
      <c r="E10" s="188"/>
    </row>
    <row r="11" spans="1:5">
      <c r="A11" s="186">
        <v>10</v>
      </c>
      <c r="B11" s="186" t="s">
        <v>236</v>
      </c>
      <c r="C11" s="186">
        <v>15</v>
      </c>
      <c r="D11" s="186">
        <v>1</v>
      </c>
      <c r="E11" s="188"/>
    </row>
    <row r="12" spans="1:5">
      <c r="A12" s="186">
        <v>11</v>
      </c>
      <c r="B12" s="186" t="s">
        <v>234</v>
      </c>
      <c r="C12" s="186">
        <v>40</v>
      </c>
      <c r="D12" s="186">
        <v>1</v>
      </c>
      <c r="E12" s="188"/>
    </row>
    <row r="13" spans="1:5">
      <c r="A13" s="186">
        <v>12</v>
      </c>
      <c r="B13" s="186" t="s">
        <v>237</v>
      </c>
      <c r="C13" s="186">
        <v>10</v>
      </c>
      <c r="D13" s="186">
        <v>1</v>
      </c>
      <c r="E13" s="188"/>
    </row>
    <row r="14" spans="1:5">
      <c r="A14" s="186">
        <v>13</v>
      </c>
      <c r="B14" s="186" t="s">
        <v>238</v>
      </c>
      <c r="C14" s="186">
        <v>10</v>
      </c>
      <c r="D14" s="186">
        <v>2</v>
      </c>
      <c r="E14" s="188"/>
    </row>
    <row r="15" spans="1:5">
      <c r="A15" s="186">
        <v>14</v>
      </c>
      <c r="B15" s="186" t="s">
        <v>239</v>
      </c>
      <c r="C15" s="186">
        <v>8</v>
      </c>
      <c r="D15" s="186">
        <v>2</v>
      </c>
      <c r="E15" s="188"/>
    </row>
    <row r="16" spans="1:5">
      <c r="A16" s="186">
        <v>15</v>
      </c>
      <c r="B16" s="186" t="s">
        <v>240</v>
      </c>
      <c r="C16" s="186">
        <v>5</v>
      </c>
      <c r="D16" s="186">
        <v>2</v>
      </c>
      <c r="E16" s="188"/>
    </row>
    <row r="17" spans="1:5">
      <c r="A17" s="186">
        <v>16</v>
      </c>
      <c r="B17" s="186" t="s">
        <v>241</v>
      </c>
      <c r="C17" s="186">
        <v>1</v>
      </c>
      <c r="D17" s="186">
        <v>2</v>
      </c>
      <c r="E17" s="188"/>
    </row>
    <row r="18" spans="1:5">
      <c r="A18" s="186">
        <v>17</v>
      </c>
      <c r="B18" s="186" t="s">
        <v>242</v>
      </c>
      <c r="C18" s="186">
        <v>429</v>
      </c>
      <c r="D18" s="186">
        <v>14</v>
      </c>
      <c r="E18" s="188"/>
    </row>
    <row r="19" spans="1:5">
      <c r="A19" s="186">
        <v>18</v>
      </c>
      <c r="B19" s="186" t="s">
        <v>243</v>
      </c>
      <c r="C19" s="186">
        <v>429</v>
      </c>
      <c r="D19" s="186">
        <v>1</v>
      </c>
      <c r="E19" s="188"/>
    </row>
    <row r="20" spans="1:5">
      <c r="A20" s="186">
        <v>19</v>
      </c>
      <c r="B20" s="186" t="s">
        <v>244</v>
      </c>
      <c r="C20" s="186">
        <v>429</v>
      </c>
      <c r="D20" s="186">
        <v>1</v>
      </c>
      <c r="E20" s="188"/>
    </row>
    <row r="21" spans="1:5">
      <c r="A21" s="186">
        <v>20</v>
      </c>
      <c r="B21" s="186" t="s">
        <v>245</v>
      </c>
      <c r="C21" s="186">
        <v>284</v>
      </c>
      <c r="D21" s="186">
        <v>1</v>
      </c>
      <c r="E21" s="188"/>
    </row>
    <row r="22" spans="1:5">
      <c r="A22" s="186">
        <v>21</v>
      </c>
      <c r="B22" s="186" t="s">
        <v>246</v>
      </c>
      <c r="C22" s="186">
        <v>429</v>
      </c>
      <c r="D22" s="186">
        <v>1</v>
      </c>
      <c r="E22" s="188"/>
    </row>
    <row r="23" spans="1:5">
      <c r="A23" s="186">
        <v>22</v>
      </c>
      <c r="B23" s="186" t="s">
        <v>247</v>
      </c>
      <c r="C23" s="186">
        <v>284</v>
      </c>
      <c r="D23" s="186">
        <v>1</v>
      </c>
      <c r="E23" s="188"/>
    </row>
    <row r="24" spans="1:5">
      <c r="A24" s="186">
        <v>23</v>
      </c>
      <c r="B24" s="186" t="s">
        <v>248</v>
      </c>
      <c r="C24" s="186">
        <v>284</v>
      </c>
      <c r="D24" s="186">
        <v>1</v>
      </c>
      <c r="E24" s="188"/>
    </row>
    <row r="25" spans="1:5">
      <c r="A25" s="186">
        <v>24</v>
      </c>
      <c r="B25" s="186" t="s">
        <v>249</v>
      </c>
      <c r="C25" s="186">
        <v>284</v>
      </c>
      <c r="D25" s="186">
        <v>1</v>
      </c>
      <c r="E25" s="188"/>
    </row>
    <row r="26" spans="1:5">
      <c r="A26" s="186">
        <v>25</v>
      </c>
      <c r="B26" s="186" t="s">
        <v>250</v>
      </c>
      <c r="C26" s="186">
        <v>284</v>
      </c>
      <c r="D26" s="186">
        <v>1</v>
      </c>
      <c r="E26" s="188"/>
    </row>
    <row r="27" spans="1:5">
      <c r="A27" s="186">
        <v>26</v>
      </c>
      <c r="B27" s="186" t="s">
        <v>251</v>
      </c>
      <c r="C27" s="186">
        <v>0</v>
      </c>
      <c r="D27" s="186">
        <v>1</v>
      </c>
      <c r="E27" s="188"/>
    </row>
    <row r="28" spans="1:5">
      <c r="A28" s="186">
        <v>27</v>
      </c>
      <c r="B28" s="186" t="s">
        <v>252</v>
      </c>
      <c r="C28" s="186">
        <v>1000</v>
      </c>
      <c r="D28" s="186">
        <v>5</v>
      </c>
      <c r="E28" s="188"/>
    </row>
    <row r="29" spans="1:5">
      <c r="A29" s="186">
        <v>28</v>
      </c>
      <c r="B29" s="186" t="s">
        <v>119</v>
      </c>
      <c r="C29" s="186">
        <v>200</v>
      </c>
      <c r="D29" s="186">
        <v>1</v>
      </c>
      <c r="E29" s="188"/>
    </row>
    <row r="30" spans="1:5">
      <c r="A30" s="186">
        <v>29</v>
      </c>
      <c r="B30" s="186" t="s">
        <v>253</v>
      </c>
      <c r="C30" s="186">
        <v>4</v>
      </c>
      <c r="D30" s="186">
        <v>1</v>
      </c>
      <c r="E30" s="188"/>
    </row>
    <row r="31" spans="1:5">
      <c r="A31" s="186">
        <v>30</v>
      </c>
      <c r="B31" s="186" t="s">
        <v>254</v>
      </c>
      <c r="C31" s="186">
        <v>1</v>
      </c>
      <c r="D31" s="186">
        <v>1</v>
      </c>
      <c r="E31" s="188"/>
    </row>
    <row r="32" spans="1:5">
      <c r="A32" s="186">
        <v>31</v>
      </c>
      <c r="B32" s="186" t="s">
        <v>139</v>
      </c>
      <c r="C32" s="186">
        <v>1</v>
      </c>
      <c r="D32" s="186">
        <v>1</v>
      </c>
      <c r="E32" s="188"/>
    </row>
    <row r="33" spans="1:5">
      <c r="A33" s="186">
        <v>32</v>
      </c>
      <c r="B33" s="186" t="s">
        <v>123</v>
      </c>
      <c r="C33" s="186">
        <v>1</v>
      </c>
      <c r="D33" s="186">
        <v>1</v>
      </c>
      <c r="E33" s="182"/>
    </row>
    <row r="34" spans="1:5">
      <c r="A34" s="186">
        <v>33</v>
      </c>
      <c r="B34" s="186" t="s">
        <v>121</v>
      </c>
      <c r="C34" s="186">
        <v>1</v>
      </c>
      <c r="D34" s="186">
        <v>1</v>
      </c>
      <c r="E34" s="182"/>
    </row>
    <row r="35" spans="1:5">
      <c r="A35" s="186">
        <v>34</v>
      </c>
      <c r="B35" s="186" t="s">
        <v>255</v>
      </c>
      <c r="C35" s="182"/>
      <c r="D35" s="182"/>
      <c r="E35" s="182"/>
    </row>
    <row r="36" spans="1:5">
      <c r="A36" s="186">
        <v>35</v>
      </c>
      <c r="B36" s="186" t="s">
        <v>256</v>
      </c>
      <c r="C36" s="182"/>
      <c r="D36" s="182"/>
      <c r="E36" s="182"/>
    </row>
    <row r="37" spans="1:5">
      <c r="A37" s="186">
        <v>36</v>
      </c>
      <c r="B37" s="186" t="s">
        <v>257</v>
      </c>
      <c r="C37" s="182"/>
      <c r="D37" s="182"/>
      <c r="E37" s="182"/>
    </row>
    <row r="38" spans="1:5">
      <c r="A38" s="186">
        <v>37</v>
      </c>
      <c r="B38" s="186" t="s">
        <v>258</v>
      </c>
      <c r="C38" s="182"/>
      <c r="D38" s="182"/>
      <c r="E38" s="182"/>
    </row>
    <row r="39" spans="1:5">
      <c r="A39" s="186">
        <v>38</v>
      </c>
      <c r="B39" s="186" t="s">
        <v>259</v>
      </c>
      <c r="C39" s="182"/>
      <c r="D39" s="182"/>
      <c r="E39" s="182"/>
    </row>
    <row r="40" spans="1:5">
      <c r="A40" s="186">
        <v>39</v>
      </c>
      <c r="B40" s="186" t="s">
        <v>260</v>
      </c>
      <c r="C40" s="182"/>
      <c r="D40" s="182"/>
      <c r="E40" s="182"/>
    </row>
    <row r="41" spans="1:5">
      <c r="A41" s="186">
        <v>40</v>
      </c>
      <c r="B41" s="186" t="s">
        <v>261</v>
      </c>
      <c r="C41" s="182"/>
      <c r="D41" s="182"/>
      <c r="E41" s="182"/>
    </row>
  </sheetData>
  <autoFilter xmlns:etc="http://www.wps.cn/officeDocument/2017/etCustomData" ref="A1:D41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28" sqref="A17:H29"/>
    </sheetView>
  </sheetViews>
  <sheetFormatPr defaultColWidth="10.9333333333333" defaultRowHeight="17.6"/>
  <cols>
    <col min="1" max="2" width="13.8" customWidth="1"/>
    <col min="7" max="8" width="18.8" customWidth="1"/>
    <col min="9" max="9" width="44" customWidth="1"/>
  </cols>
  <sheetData>
    <row r="1" spans="1:6">
      <c r="A1" s="185" t="s">
        <v>262</v>
      </c>
      <c r="B1" s="185"/>
      <c r="C1" s="185" t="s">
        <v>172</v>
      </c>
      <c r="D1" s="185" t="s">
        <v>173</v>
      </c>
      <c r="E1" s="185" t="s">
        <v>174</v>
      </c>
      <c r="F1" s="185" t="s">
        <v>175</v>
      </c>
    </row>
    <row r="2" spans="1:9">
      <c r="A2" s="177" t="s">
        <v>171</v>
      </c>
      <c r="B2" s="177" t="s">
        <v>263</v>
      </c>
      <c r="C2" s="177">
        <v>1</v>
      </c>
      <c r="D2" s="177">
        <v>6</v>
      </c>
      <c r="E2" s="177">
        <v>23</v>
      </c>
      <c r="F2" s="177">
        <v>58</v>
      </c>
      <c r="G2" s="177" t="s">
        <v>264</v>
      </c>
      <c r="H2" s="177" t="s">
        <v>265</v>
      </c>
      <c r="I2" s="177" t="s">
        <v>65</v>
      </c>
    </row>
    <row r="3" spans="1:9">
      <c r="A3" s="23" t="s">
        <v>192</v>
      </c>
      <c r="B3" s="23" t="s">
        <v>193</v>
      </c>
      <c r="C3" s="184">
        <v>1</v>
      </c>
      <c r="D3" s="182"/>
      <c r="E3" s="182"/>
      <c r="F3" s="182"/>
      <c r="G3" s="184">
        <f>C3*$C$2+D3*$D$2+E3*$E$2+F3*$F$2</f>
        <v>1</v>
      </c>
      <c r="H3" s="184">
        <f>ROUND(G3,1)</f>
        <v>1</v>
      </c>
      <c r="I3" s="182"/>
    </row>
    <row r="4" spans="1:9">
      <c r="A4" s="23"/>
      <c r="B4" s="16" t="s">
        <v>195</v>
      </c>
      <c r="C4" s="184">
        <v>1</v>
      </c>
      <c r="D4" s="182"/>
      <c r="E4" s="182"/>
      <c r="F4" s="182"/>
      <c r="G4" s="184">
        <f t="shared" ref="G4:G31" si="0">C4*$C$2+D4*$D$2+E4*$E$2+F4*$F$2</f>
        <v>1</v>
      </c>
      <c r="H4" s="184">
        <f t="shared" ref="H4:H30" si="1">ROUND(G4,1)</f>
        <v>1</v>
      </c>
      <c r="I4" s="182"/>
    </row>
    <row r="5" spans="1:9">
      <c r="A5" s="23"/>
      <c r="B5" s="16" t="s">
        <v>67</v>
      </c>
      <c r="C5" s="184">
        <v>396</v>
      </c>
      <c r="D5" s="184">
        <v>28</v>
      </c>
      <c r="E5" s="184">
        <v>22</v>
      </c>
      <c r="F5" s="182"/>
      <c r="G5" s="184">
        <f t="shared" si="0"/>
        <v>1070</v>
      </c>
      <c r="H5" s="184">
        <v>1100</v>
      </c>
      <c r="I5" s="184" t="s">
        <v>266</v>
      </c>
    </row>
    <row r="6" spans="1:9">
      <c r="A6" s="23"/>
      <c r="B6" s="16" t="s">
        <v>197</v>
      </c>
      <c r="C6" s="184">
        <v>1</v>
      </c>
      <c r="D6" s="182"/>
      <c r="E6" s="182"/>
      <c r="F6" s="182"/>
      <c r="G6" s="184">
        <f t="shared" si="0"/>
        <v>1</v>
      </c>
      <c r="H6" s="184">
        <f t="shared" si="1"/>
        <v>1</v>
      </c>
      <c r="I6" s="184" t="s">
        <v>267</v>
      </c>
    </row>
    <row r="7" spans="1:9">
      <c r="A7" s="23"/>
      <c r="B7" s="16" t="s">
        <v>198</v>
      </c>
      <c r="C7" s="184">
        <v>1</v>
      </c>
      <c r="D7" s="182"/>
      <c r="E7" s="182"/>
      <c r="F7" s="182"/>
      <c r="G7" s="184">
        <f t="shared" si="0"/>
        <v>1</v>
      </c>
      <c r="H7" s="184">
        <f t="shared" si="1"/>
        <v>1</v>
      </c>
      <c r="I7" s="184"/>
    </row>
    <row r="8" spans="1:9">
      <c r="A8" s="23"/>
      <c r="B8" s="16" t="s">
        <v>199</v>
      </c>
      <c r="C8" s="184">
        <v>1</v>
      </c>
      <c r="D8" s="182"/>
      <c r="E8" s="182"/>
      <c r="F8" s="182"/>
      <c r="G8" s="184">
        <f t="shared" si="0"/>
        <v>1</v>
      </c>
      <c r="H8" s="184">
        <f t="shared" si="1"/>
        <v>1</v>
      </c>
      <c r="I8" s="184"/>
    </row>
    <row r="9" spans="1:9">
      <c r="A9" s="23"/>
      <c r="B9" s="16" t="s">
        <v>200</v>
      </c>
      <c r="C9" s="184">
        <v>2</v>
      </c>
      <c r="D9" s="182"/>
      <c r="E9" s="182"/>
      <c r="F9" s="182"/>
      <c r="G9" s="184">
        <f t="shared" si="0"/>
        <v>2</v>
      </c>
      <c r="H9" s="184">
        <f t="shared" si="1"/>
        <v>2</v>
      </c>
      <c r="I9" s="184" t="s">
        <v>268</v>
      </c>
    </row>
    <row r="10" spans="1:9">
      <c r="A10" s="23"/>
      <c r="B10" s="16" t="s">
        <v>201</v>
      </c>
      <c r="C10" s="184">
        <v>1</v>
      </c>
      <c r="D10" s="182"/>
      <c r="E10" s="182"/>
      <c r="F10" s="182"/>
      <c r="G10" s="184">
        <f t="shared" si="0"/>
        <v>1</v>
      </c>
      <c r="H10" s="184">
        <f t="shared" si="1"/>
        <v>1</v>
      </c>
      <c r="I10" s="184"/>
    </row>
    <row r="11" spans="1:9">
      <c r="A11" s="23"/>
      <c r="B11" s="16" t="s">
        <v>202</v>
      </c>
      <c r="C11" s="184">
        <v>1</v>
      </c>
      <c r="D11" s="184"/>
      <c r="E11" s="182"/>
      <c r="F11" s="182"/>
      <c r="G11" s="184">
        <f t="shared" si="0"/>
        <v>1</v>
      </c>
      <c r="H11" s="184">
        <f t="shared" si="1"/>
        <v>1</v>
      </c>
      <c r="I11" s="184"/>
    </row>
    <row r="12" spans="1:9">
      <c r="A12" s="23"/>
      <c r="B12" s="16" t="s">
        <v>203</v>
      </c>
      <c r="C12" s="184">
        <v>1</v>
      </c>
      <c r="D12" s="182"/>
      <c r="E12" s="182"/>
      <c r="F12" s="182"/>
      <c r="G12" s="184">
        <f t="shared" si="0"/>
        <v>1</v>
      </c>
      <c r="H12" s="184">
        <f t="shared" si="1"/>
        <v>1</v>
      </c>
      <c r="I12" s="184"/>
    </row>
    <row r="13" spans="1:9">
      <c r="A13" s="23"/>
      <c r="B13" s="16" t="s">
        <v>204</v>
      </c>
      <c r="C13" s="184">
        <v>1</v>
      </c>
      <c r="D13" s="182"/>
      <c r="E13" s="182"/>
      <c r="F13" s="182"/>
      <c r="G13" s="184">
        <f t="shared" si="0"/>
        <v>1</v>
      </c>
      <c r="H13" s="184">
        <f t="shared" si="1"/>
        <v>1</v>
      </c>
      <c r="I13" s="184"/>
    </row>
    <row r="14" spans="1:9">
      <c r="A14" s="23"/>
      <c r="B14" s="16" t="s">
        <v>205</v>
      </c>
      <c r="C14" s="184">
        <v>1</v>
      </c>
      <c r="D14" s="182"/>
      <c r="E14" s="182"/>
      <c r="F14" s="182"/>
      <c r="G14" s="184">
        <f t="shared" si="0"/>
        <v>1</v>
      </c>
      <c r="H14" s="184">
        <f t="shared" si="1"/>
        <v>1</v>
      </c>
      <c r="I14" s="184"/>
    </row>
    <row r="15" spans="1:9">
      <c r="A15" s="23"/>
      <c r="B15" s="16" t="s">
        <v>206</v>
      </c>
      <c r="C15" s="184">
        <v>1</v>
      </c>
      <c r="D15" s="182"/>
      <c r="E15" s="182"/>
      <c r="F15" s="182"/>
      <c r="G15" s="184">
        <f t="shared" si="0"/>
        <v>1</v>
      </c>
      <c r="H15" s="184">
        <f t="shared" si="1"/>
        <v>1</v>
      </c>
      <c r="I15" s="184"/>
    </row>
    <row r="16" spans="1:9">
      <c r="A16" s="23"/>
      <c r="B16" s="16" t="s">
        <v>210</v>
      </c>
      <c r="C16" s="184">
        <v>1</v>
      </c>
      <c r="D16" s="182"/>
      <c r="E16" s="182"/>
      <c r="F16" s="182"/>
      <c r="G16" s="184">
        <f t="shared" si="0"/>
        <v>1</v>
      </c>
      <c r="H16" s="184">
        <f t="shared" si="1"/>
        <v>1</v>
      </c>
      <c r="I16" s="184"/>
    </row>
    <row r="17" spans="1:9">
      <c r="A17" s="23" t="s">
        <v>207</v>
      </c>
      <c r="B17" s="23" t="s">
        <v>193</v>
      </c>
      <c r="C17" s="184">
        <v>1</v>
      </c>
      <c r="D17" s="182"/>
      <c r="E17" s="182"/>
      <c r="F17" s="182"/>
      <c r="G17" s="184">
        <f t="shared" si="0"/>
        <v>1</v>
      </c>
      <c r="H17" s="184">
        <f t="shared" si="1"/>
        <v>1</v>
      </c>
      <c r="I17" s="182"/>
    </row>
    <row r="18" spans="1:9">
      <c r="A18" s="23"/>
      <c r="B18" s="16" t="s">
        <v>195</v>
      </c>
      <c r="C18" s="184">
        <v>1</v>
      </c>
      <c r="D18" s="182"/>
      <c r="E18" s="182"/>
      <c r="F18" s="182"/>
      <c r="G18" s="184">
        <f t="shared" si="0"/>
        <v>1</v>
      </c>
      <c r="H18" s="184">
        <f t="shared" si="1"/>
        <v>1</v>
      </c>
      <c r="I18" s="182"/>
    </row>
    <row r="19" spans="1:9">
      <c r="A19" s="23"/>
      <c r="B19" s="16" t="s">
        <v>67</v>
      </c>
      <c r="C19" s="184">
        <v>344</v>
      </c>
      <c r="D19" s="184">
        <v>48</v>
      </c>
      <c r="E19" s="184">
        <v>5</v>
      </c>
      <c r="F19" s="182"/>
      <c r="G19" s="184">
        <f t="shared" si="0"/>
        <v>747</v>
      </c>
      <c r="H19" s="184">
        <v>750</v>
      </c>
      <c r="I19" s="184" t="s">
        <v>269</v>
      </c>
    </row>
    <row r="20" spans="1:9">
      <c r="A20" s="23"/>
      <c r="B20" s="16" t="s">
        <v>197</v>
      </c>
      <c r="C20" s="184">
        <v>12</v>
      </c>
      <c r="D20" s="182"/>
      <c r="E20" s="182"/>
      <c r="F20" s="182"/>
      <c r="G20" s="184">
        <f t="shared" si="0"/>
        <v>12</v>
      </c>
      <c r="H20" s="184">
        <v>20</v>
      </c>
      <c r="I20" s="184" t="s">
        <v>267</v>
      </c>
    </row>
    <row r="21" spans="1:9">
      <c r="A21" s="23"/>
      <c r="B21" s="16" t="s">
        <v>198</v>
      </c>
      <c r="C21" s="184">
        <v>1</v>
      </c>
      <c r="D21" s="182"/>
      <c r="E21" s="184">
        <v>1</v>
      </c>
      <c r="F21" s="182"/>
      <c r="G21" s="184">
        <f t="shared" si="0"/>
        <v>24</v>
      </c>
      <c r="H21" s="184">
        <v>30</v>
      </c>
      <c r="I21" s="184"/>
    </row>
    <row r="22" spans="1:9">
      <c r="A22" s="23"/>
      <c r="B22" s="16" t="s">
        <v>199</v>
      </c>
      <c r="C22" s="184">
        <v>1</v>
      </c>
      <c r="D22" s="182"/>
      <c r="E22" s="182"/>
      <c r="F22" s="182"/>
      <c r="G22" s="184">
        <f t="shared" si="0"/>
        <v>1</v>
      </c>
      <c r="H22" s="184">
        <f t="shared" si="1"/>
        <v>1</v>
      </c>
      <c r="I22" s="184"/>
    </row>
    <row r="23" spans="1:9">
      <c r="A23" s="23"/>
      <c r="B23" s="16" t="s">
        <v>200</v>
      </c>
      <c r="C23" s="184">
        <v>42</v>
      </c>
      <c r="D23" s="182"/>
      <c r="E23" s="182"/>
      <c r="F23" s="182"/>
      <c r="G23" s="184">
        <f t="shared" si="0"/>
        <v>42</v>
      </c>
      <c r="H23" s="184">
        <v>50</v>
      </c>
      <c r="I23" s="184" t="s">
        <v>268</v>
      </c>
    </row>
    <row r="24" spans="1:9">
      <c r="A24" s="23"/>
      <c r="B24" s="16" t="s">
        <v>201</v>
      </c>
      <c r="C24" s="184">
        <v>1</v>
      </c>
      <c r="D24" s="182"/>
      <c r="E24" s="182"/>
      <c r="F24" s="182"/>
      <c r="G24" s="184">
        <f t="shared" si="0"/>
        <v>1</v>
      </c>
      <c r="H24" s="184">
        <f t="shared" si="1"/>
        <v>1</v>
      </c>
      <c r="I24" s="184"/>
    </row>
    <row r="25" spans="1:9">
      <c r="A25" s="23"/>
      <c r="B25" s="16" t="s">
        <v>202</v>
      </c>
      <c r="C25" s="184">
        <v>1</v>
      </c>
      <c r="D25" s="182"/>
      <c r="E25" s="182"/>
      <c r="F25" s="182"/>
      <c r="G25" s="184">
        <f t="shared" si="0"/>
        <v>1</v>
      </c>
      <c r="H25" s="184">
        <f t="shared" si="1"/>
        <v>1</v>
      </c>
      <c r="I25" s="184"/>
    </row>
    <row r="26" spans="1:9">
      <c r="A26" s="23"/>
      <c r="B26" s="16" t="s">
        <v>203</v>
      </c>
      <c r="C26" s="184">
        <v>1</v>
      </c>
      <c r="D26" s="182"/>
      <c r="E26" s="182"/>
      <c r="F26" s="182"/>
      <c r="G26" s="184">
        <f t="shared" si="0"/>
        <v>1</v>
      </c>
      <c r="H26" s="184">
        <f t="shared" si="1"/>
        <v>1</v>
      </c>
      <c r="I26" s="184"/>
    </row>
    <row r="27" spans="1:9">
      <c r="A27" s="23"/>
      <c r="B27" s="16" t="s">
        <v>204</v>
      </c>
      <c r="C27" s="184">
        <v>1</v>
      </c>
      <c r="D27" s="182"/>
      <c r="E27" s="182"/>
      <c r="F27" s="182"/>
      <c r="G27" s="184">
        <f t="shared" si="0"/>
        <v>1</v>
      </c>
      <c r="H27" s="184">
        <f t="shared" si="1"/>
        <v>1</v>
      </c>
      <c r="I27" s="184"/>
    </row>
    <row r="28" spans="1:9">
      <c r="A28" s="23"/>
      <c r="B28" s="16" t="s">
        <v>205</v>
      </c>
      <c r="C28" s="184">
        <v>1</v>
      </c>
      <c r="D28" s="182"/>
      <c r="E28" s="182"/>
      <c r="F28" s="182"/>
      <c r="G28" s="184">
        <f t="shared" si="0"/>
        <v>1</v>
      </c>
      <c r="H28" s="184">
        <f t="shared" si="1"/>
        <v>1</v>
      </c>
      <c r="I28" s="184"/>
    </row>
    <row r="29" spans="1:9">
      <c r="A29" s="23"/>
      <c r="B29" s="16" t="s">
        <v>206</v>
      </c>
      <c r="C29" s="184">
        <v>1</v>
      </c>
      <c r="D29" s="182"/>
      <c r="E29" s="182"/>
      <c r="F29" s="182"/>
      <c r="G29" s="184">
        <f t="shared" si="0"/>
        <v>1</v>
      </c>
      <c r="H29" s="184">
        <f t="shared" si="1"/>
        <v>1</v>
      </c>
      <c r="I29" s="184"/>
    </row>
    <row r="30" spans="1:9">
      <c r="A30" s="23" t="s">
        <v>209</v>
      </c>
      <c r="B30" s="16" t="s">
        <v>210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23"/>
      <c r="B31" s="16" t="s">
        <v>72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270</v>
      </c>
    </row>
  </sheetData>
  <autoFilter xmlns:etc="http://www.wps.cn/officeDocument/2017/etCustomData" ref="A2:I31" etc:filterBottomFollowUsedRange="0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8" sqref="A28:H29"/>
    </sheetView>
  </sheetViews>
  <sheetFormatPr defaultColWidth="10.9333333333333" defaultRowHeight="17.6"/>
  <cols>
    <col min="2" max="2" width="24.8" customWidth="1"/>
  </cols>
  <sheetData>
    <row r="1" spans="1:10">
      <c r="A1" s="11" t="s">
        <v>50</v>
      </c>
      <c r="B1" s="11"/>
      <c r="C1" s="11" t="s">
        <v>84</v>
      </c>
      <c r="D1" s="177">
        <v>1</v>
      </c>
      <c r="E1" s="177">
        <v>6</v>
      </c>
      <c r="F1" s="177">
        <v>23</v>
      </c>
      <c r="G1" s="177">
        <v>58</v>
      </c>
      <c r="H1" s="177" t="s">
        <v>264</v>
      </c>
      <c r="I1" s="177" t="s">
        <v>265</v>
      </c>
      <c r="J1" s="177" t="s">
        <v>7</v>
      </c>
    </row>
    <row r="2" spans="1:10">
      <c r="A2" s="183" t="s">
        <v>140</v>
      </c>
      <c r="B2" s="24" t="s">
        <v>141</v>
      </c>
      <c r="C2" s="23" t="s">
        <v>140</v>
      </c>
      <c r="D2" s="24">
        <v>75</v>
      </c>
      <c r="E2" s="52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24" t="s">
        <v>143</v>
      </c>
      <c r="C3" s="23" t="s">
        <v>140</v>
      </c>
      <c r="D3" s="24">
        <v>345</v>
      </c>
      <c r="E3" s="52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24" t="s">
        <v>144</v>
      </c>
      <c r="C4" s="23" t="s">
        <v>140</v>
      </c>
      <c r="D4" s="24">
        <f>260+120</f>
        <v>380</v>
      </c>
      <c r="E4" s="52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24" t="s">
        <v>211</v>
      </c>
      <c r="C5" s="23" t="s">
        <v>140</v>
      </c>
      <c r="D5" s="24"/>
      <c r="E5" s="52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24" t="s">
        <v>146</v>
      </c>
      <c r="C6" s="23" t="s">
        <v>140</v>
      </c>
      <c r="D6" s="24">
        <v>20</v>
      </c>
      <c r="E6" s="52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24" t="s">
        <v>153</v>
      </c>
      <c r="C7" s="23" t="s">
        <v>140</v>
      </c>
      <c r="D7" s="24">
        <v>30</v>
      </c>
      <c r="E7" s="182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24" t="s">
        <v>212</v>
      </c>
      <c r="C8" s="23" t="s">
        <v>140</v>
      </c>
      <c r="D8" s="24">
        <v>52</v>
      </c>
      <c r="E8" s="182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24" t="s">
        <v>150</v>
      </c>
      <c r="C9" s="23" t="s">
        <v>140</v>
      </c>
      <c r="D9" s="24">
        <v>11</v>
      </c>
      <c r="E9" s="52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24" t="s">
        <v>213</v>
      </c>
      <c r="C10" s="23" t="s">
        <v>140</v>
      </c>
      <c r="D10" s="24">
        <v>81</v>
      </c>
      <c r="E10" s="52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24" t="s">
        <v>152</v>
      </c>
      <c r="C11" s="23" t="s">
        <v>140</v>
      </c>
      <c r="D11" s="24">
        <v>22</v>
      </c>
      <c r="E11" s="52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24" t="s">
        <v>214</v>
      </c>
      <c r="C12" s="23" t="s">
        <v>140</v>
      </c>
      <c r="D12" s="24">
        <v>30</v>
      </c>
      <c r="E12" s="52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24" t="s">
        <v>151</v>
      </c>
      <c r="C13" s="23" t="s">
        <v>140</v>
      </c>
      <c r="D13" s="24">
        <v>7</v>
      </c>
      <c r="E13" s="182"/>
      <c r="F13" s="182"/>
      <c r="G13" s="182"/>
      <c r="H13" s="184">
        <f t="shared" si="0"/>
        <v>7</v>
      </c>
      <c r="I13" s="184">
        <v>10</v>
      </c>
      <c r="J13" s="182"/>
    </row>
    <row r="14" spans="1:10">
      <c r="A14" s="183"/>
      <c r="B14" s="24" t="s">
        <v>215</v>
      </c>
      <c r="C14" s="23" t="s">
        <v>140</v>
      </c>
      <c r="D14" s="184">
        <v>63</v>
      </c>
      <c r="E14" s="52">
        <v>60</v>
      </c>
      <c r="F14" s="182"/>
      <c r="G14" s="182"/>
      <c r="H14" s="184">
        <f t="shared" si="0"/>
        <v>423</v>
      </c>
      <c r="I14" s="184">
        <v>450</v>
      </c>
      <c r="J14" s="182"/>
    </row>
    <row r="15" spans="1:10">
      <c r="A15" s="183"/>
      <c r="B15" s="24" t="s">
        <v>216</v>
      </c>
      <c r="C15" s="23" t="s">
        <v>140</v>
      </c>
      <c r="D15" s="24">
        <v>58</v>
      </c>
      <c r="E15" s="182"/>
      <c r="F15" s="182"/>
      <c r="G15" s="182"/>
      <c r="H15" s="184">
        <f t="shared" si="0"/>
        <v>58</v>
      </c>
      <c r="I15" s="184">
        <v>60</v>
      </c>
      <c r="J15" s="182"/>
    </row>
    <row r="16" spans="1:10">
      <c r="A16" s="183"/>
      <c r="B16" s="24" t="s">
        <v>217</v>
      </c>
      <c r="C16" s="23" t="s">
        <v>140</v>
      </c>
      <c r="D16" s="24">
        <v>92</v>
      </c>
      <c r="E16" s="182"/>
      <c r="F16" s="182"/>
      <c r="G16" s="182"/>
      <c r="H16" s="184">
        <f t="shared" si="0"/>
        <v>92</v>
      </c>
      <c r="I16" s="184">
        <v>100</v>
      </c>
      <c r="J16" s="182"/>
    </row>
    <row r="17" spans="1:10">
      <c r="A17" s="183"/>
      <c r="B17" s="24" t="s">
        <v>218</v>
      </c>
      <c r="C17" s="23" t="s">
        <v>140</v>
      </c>
      <c r="D17" s="24">
        <v>21</v>
      </c>
      <c r="E17" s="182"/>
      <c r="F17" s="182"/>
      <c r="G17" s="182"/>
      <c r="H17" s="184">
        <f t="shared" si="0"/>
        <v>21</v>
      </c>
      <c r="I17" s="184">
        <v>30</v>
      </c>
      <c r="J17" s="182"/>
    </row>
    <row r="18" spans="1:10">
      <c r="A18" s="183"/>
      <c r="B18" s="24" t="s">
        <v>219</v>
      </c>
      <c r="C18" s="23" t="s">
        <v>140</v>
      </c>
      <c r="D18" s="24">
        <f>116+142</f>
        <v>258</v>
      </c>
      <c r="E18" s="24">
        <v>126</v>
      </c>
      <c r="F18" s="182"/>
      <c r="G18" s="182"/>
      <c r="H18" s="184">
        <f t="shared" si="0"/>
        <v>1014</v>
      </c>
      <c r="I18" s="184">
        <v>1100</v>
      </c>
      <c r="J18" s="182"/>
    </row>
    <row r="19" spans="1:10">
      <c r="A19" s="183"/>
      <c r="B19" s="24" t="s">
        <v>220</v>
      </c>
      <c r="C19" s="23" t="s">
        <v>140</v>
      </c>
      <c r="D19" s="24">
        <v>73</v>
      </c>
      <c r="E19" s="24">
        <v>30</v>
      </c>
      <c r="F19" s="24">
        <v>8</v>
      </c>
      <c r="G19" s="182"/>
      <c r="H19" s="184">
        <f t="shared" si="0"/>
        <v>437</v>
      </c>
      <c r="I19" s="184">
        <v>450</v>
      </c>
      <c r="J19" s="182"/>
    </row>
    <row r="20" spans="1:10">
      <c r="A20" s="183"/>
      <c r="B20" s="24" t="s">
        <v>156</v>
      </c>
      <c r="C20" s="23" t="s">
        <v>72</v>
      </c>
      <c r="D20" s="24">
        <f>260+1120</f>
        <v>1380</v>
      </c>
      <c r="E20" s="24">
        <f>66+120</f>
        <v>186</v>
      </c>
      <c r="F20" s="24">
        <v>8</v>
      </c>
      <c r="G20" s="182"/>
      <c r="H20" s="184">
        <f t="shared" si="0"/>
        <v>2680</v>
      </c>
      <c r="I20" s="184">
        <v>2700</v>
      </c>
      <c r="J20" s="182"/>
    </row>
    <row r="21" spans="1:10">
      <c r="A21" s="183"/>
      <c r="B21" s="24" t="s">
        <v>221</v>
      </c>
      <c r="C21" s="23" t="s">
        <v>72</v>
      </c>
      <c r="D21" s="24">
        <v>52</v>
      </c>
      <c r="E21" s="24">
        <f>22</f>
        <v>22</v>
      </c>
      <c r="F21" s="182"/>
      <c r="G21" s="182"/>
      <c r="H21" s="184">
        <f t="shared" si="0"/>
        <v>184</v>
      </c>
      <c r="I21" s="184">
        <v>200</v>
      </c>
      <c r="J21" s="182"/>
    </row>
    <row r="22" spans="1:10">
      <c r="A22" s="183"/>
      <c r="B22" s="24" t="s">
        <v>158</v>
      </c>
      <c r="C22" s="23" t="s">
        <v>72</v>
      </c>
      <c r="D22" s="24">
        <v>126</v>
      </c>
      <c r="E22" s="24">
        <v>30</v>
      </c>
      <c r="F22" s="182"/>
      <c r="G22" s="182"/>
      <c r="H22" s="184">
        <f t="shared" si="0"/>
        <v>306</v>
      </c>
      <c r="I22" s="184">
        <v>300</v>
      </c>
      <c r="J22" s="182"/>
    </row>
    <row r="23" spans="1:10">
      <c r="A23" s="183"/>
      <c r="B23" s="24" t="s">
        <v>222</v>
      </c>
      <c r="C23" s="23" t="s">
        <v>72</v>
      </c>
      <c r="D23" s="24">
        <f>260+8*140</f>
        <v>1380</v>
      </c>
      <c r="E23" s="24">
        <f>186</f>
        <v>186</v>
      </c>
      <c r="F23" s="182"/>
      <c r="G23" s="182"/>
      <c r="H23" s="184">
        <f t="shared" si="0"/>
        <v>2496</v>
      </c>
      <c r="I23" s="184">
        <v>2500</v>
      </c>
      <c r="J23" s="182"/>
    </row>
    <row r="24" spans="1:10">
      <c r="A24" s="183"/>
      <c r="B24" s="24" t="s">
        <v>160</v>
      </c>
      <c r="C24" s="23" t="s">
        <v>72</v>
      </c>
      <c r="D24" s="24">
        <f>260+480</f>
        <v>740</v>
      </c>
      <c r="E24" s="24">
        <f>60+180</f>
        <v>240</v>
      </c>
      <c r="F24" s="182"/>
      <c r="G24" s="182"/>
      <c r="H24" s="184">
        <f t="shared" si="0"/>
        <v>2180</v>
      </c>
      <c r="I24" s="184">
        <v>2200</v>
      </c>
      <c r="J24" s="182"/>
    </row>
    <row r="25" spans="1:10">
      <c r="A25" s="183"/>
      <c r="B25" s="24" t="s">
        <v>223</v>
      </c>
      <c r="C25" s="23" t="s">
        <v>72</v>
      </c>
      <c r="D25" s="24">
        <v>80</v>
      </c>
      <c r="E25" s="24">
        <v>10</v>
      </c>
      <c r="F25" s="182"/>
      <c r="G25" s="182"/>
      <c r="H25" s="184">
        <f t="shared" si="0"/>
        <v>140</v>
      </c>
      <c r="I25" s="184">
        <v>150</v>
      </c>
      <c r="J25" s="182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8" sqref="A28:H29"/>
    </sheetView>
  </sheetViews>
  <sheetFormatPr defaultColWidth="10.9333333333333" defaultRowHeight="17.6"/>
  <cols>
    <col min="1" max="1" width="18" customWidth="1"/>
    <col min="2" max="2" width="17" customWidth="1"/>
    <col min="4" max="4" width="11.2" customWidth="1"/>
    <col min="9" max="10" width="13.2" customWidth="1"/>
  </cols>
  <sheetData>
    <row r="1" spans="1:11">
      <c r="A1" s="177" t="s">
        <v>50</v>
      </c>
      <c r="B1" s="177" t="s">
        <v>84</v>
      </c>
      <c r="C1" s="177" t="s">
        <v>52</v>
      </c>
      <c r="D1" s="177">
        <v>1</v>
      </c>
      <c r="E1" s="177">
        <v>6</v>
      </c>
      <c r="F1" s="177">
        <v>23</v>
      </c>
      <c r="G1" s="177">
        <v>58</v>
      </c>
      <c r="H1" s="177" t="s">
        <v>264</v>
      </c>
      <c r="I1" s="177" t="s">
        <v>265</v>
      </c>
      <c r="J1" s="177" t="s">
        <v>265</v>
      </c>
      <c r="K1" s="177" t="s">
        <v>65</v>
      </c>
    </row>
    <row r="2" spans="1:11">
      <c r="A2" s="178" t="s">
        <v>181</v>
      </c>
      <c r="B2" s="179" t="s">
        <v>103</v>
      </c>
      <c r="C2" s="53" t="s">
        <v>105</v>
      </c>
      <c r="D2" s="53">
        <f>0.24*18</f>
        <v>4.32</v>
      </c>
      <c r="E2" s="53">
        <f>30*0.24</f>
        <v>7.2</v>
      </c>
      <c r="F2" s="53">
        <f>2*0.24</f>
        <v>0.48</v>
      </c>
      <c r="G2" s="182"/>
      <c r="H2" s="53">
        <f>D2*$D$1+E2*$E$1+F2*$F$1</f>
        <v>58.56</v>
      </c>
      <c r="I2" s="53">
        <f>ROUND(H2,0)</f>
        <v>59</v>
      </c>
      <c r="J2" s="53">
        <v>60</v>
      </c>
      <c r="K2" s="182"/>
    </row>
    <row r="3" spans="1:11">
      <c r="A3" s="180"/>
      <c r="B3" s="179" t="s">
        <v>271</v>
      </c>
      <c r="C3" s="53" t="s">
        <v>105</v>
      </c>
      <c r="D3" s="53">
        <v>1</v>
      </c>
      <c r="E3" s="53"/>
      <c r="F3" s="182"/>
      <c r="G3" s="182"/>
      <c r="H3" s="53">
        <f t="shared" ref="H3:H25" si="0">D3*$D$1+E3*$E$1+F3*$F$1</f>
        <v>1</v>
      </c>
      <c r="I3" s="53">
        <f t="shared" ref="I3:J25" si="1">ROUND(H3,0)</f>
        <v>1</v>
      </c>
      <c r="J3" s="53">
        <f t="shared" si="1"/>
        <v>1</v>
      </c>
      <c r="K3" s="182"/>
    </row>
    <row r="4" spans="1:11">
      <c r="A4" s="180"/>
      <c r="B4" s="179" t="s">
        <v>272</v>
      </c>
      <c r="C4" s="53" t="s">
        <v>110</v>
      </c>
      <c r="D4" s="53">
        <v>10</v>
      </c>
      <c r="E4" s="53"/>
      <c r="F4" s="182"/>
      <c r="G4" s="182"/>
      <c r="H4" s="53">
        <f t="shared" si="0"/>
        <v>10</v>
      </c>
      <c r="I4" s="53">
        <f t="shared" si="1"/>
        <v>10</v>
      </c>
      <c r="J4" s="53">
        <f t="shared" si="1"/>
        <v>10</v>
      </c>
      <c r="K4" s="182"/>
    </row>
    <row r="5" spans="1:11">
      <c r="A5" s="180"/>
      <c r="B5" s="179" t="s">
        <v>107</v>
      </c>
      <c r="C5" s="53" t="s">
        <v>105</v>
      </c>
      <c r="D5" s="53">
        <v>4.56</v>
      </c>
      <c r="E5" s="53">
        <f>30*0.06</f>
        <v>1.8</v>
      </c>
      <c r="F5" s="53">
        <f>6*0.06</f>
        <v>0.36</v>
      </c>
      <c r="G5" s="182"/>
      <c r="H5" s="53">
        <f t="shared" si="0"/>
        <v>23.64</v>
      </c>
      <c r="I5" s="53">
        <f t="shared" si="1"/>
        <v>24</v>
      </c>
      <c r="J5" s="53">
        <v>30</v>
      </c>
      <c r="K5" s="182"/>
    </row>
    <row r="6" spans="1:11">
      <c r="A6" s="180"/>
      <c r="B6" s="179" t="s">
        <v>109</v>
      </c>
      <c r="C6" s="53" t="s">
        <v>110</v>
      </c>
      <c r="D6" s="53">
        <v>339</v>
      </c>
      <c r="E6" s="53"/>
      <c r="F6" s="182"/>
      <c r="G6" s="182"/>
      <c r="H6" s="53">
        <f t="shared" si="0"/>
        <v>339</v>
      </c>
      <c r="I6" s="53">
        <f t="shared" si="1"/>
        <v>339</v>
      </c>
      <c r="J6" s="53">
        <v>350</v>
      </c>
      <c r="K6" s="182"/>
    </row>
    <row r="7" spans="1:11">
      <c r="A7" s="180"/>
      <c r="B7" s="179" t="s">
        <v>273</v>
      </c>
      <c r="C7" s="53" t="s">
        <v>105</v>
      </c>
      <c r="D7" s="53">
        <f>0.3*84</f>
        <v>25.2</v>
      </c>
      <c r="E7" s="53"/>
      <c r="F7" s="182"/>
      <c r="G7" s="182"/>
      <c r="H7" s="53">
        <f t="shared" si="0"/>
        <v>25.2</v>
      </c>
      <c r="I7" s="53">
        <f t="shared" si="1"/>
        <v>25</v>
      </c>
      <c r="J7" s="53">
        <f t="shared" si="1"/>
        <v>25</v>
      </c>
      <c r="K7" s="182"/>
    </row>
    <row r="8" spans="1:11">
      <c r="A8" s="180"/>
      <c r="B8" s="179" t="s">
        <v>274</v>
      </c>
      <c r="C8" s="53" t="s">
        <v>113</v>
      </c>
      <c r="D8" s="53">
        <v>284</v>
      </c>
      <c r="E8" s="53"/>
      <c r="F8" s="182"/>
      <c r="G8" s="182"/>
      <c r="H8" s="53">
        <f t="shared" si="0"/>
        <v>284</v>
      </c>
      <c r="I8" s="53">
        <f t="shared" si="1"/>
        <v>284</v>
      </c>
      <c r="J8" s="53">
        <v>300</v>
      </c>
      <c r="K8" s="182"/>
    </row>
    <row r="9" spans="1:11">
      <c r="A9" s="180"/>
      <c r="B9" s="179" t="s">
        <v>275</v>
      </c>
      <c r="C9" s="53" t="s">
        <v>113</v>
      </c>
      <c r="D9" s="53">
        <v>1</v>
      </c>
      <c r="E9" s="53"/>
      <c r="F9" s="182"/>
      <c r="G9" s="182"/>
      <c r="H9" s="53">
        <f t="shared" si="0"/>
        <v>1</v>
      </c>
      <c r="I9" s="53">
        <f t="shared" si="1"/>
        <v>1</v>
      </c>
      <c r="J9" s="53">
        <f t="shared" si="1"/>
        <v>1</v>
      </c>
      <c r="K9" s="182"/>
    </row>
    <row r="10" spans="1:11">
      <c r="A10" s="180"/>
      <c r="B10" s="179" t="s">
        <v>276</v>
      </c>
      <c r="C10" s="53" t="s">
        <v>277</v>
      </c>
      <c r="D10" s="53">
        <v>1</v>
      </c>
      <c r="E10" s="53"/>
      <c r="F10" s="182"/>
      <c r="G10" s="182"/>
      <c r="H10" s="53">
        <f t="shared" si="0"/>
        <v>1</v>
      </c>
      <c r="I10" s="53">
        <f t="shared" si="1"/>
        <v>1</v>
      </c>
      <c r="J10" s="53">
        <f t="shared" si="1"/>
        <v>1</v>
      </c>
      <c r="K10" s="182"/>
    </row>
    <row r="11" spans="1:11">
      <c r="A11" s="180"/>
      <c r="B11" s="179" t="s">
        <v>278</v>
      </c>
      <c r="C11" s="53" t="s">
        <v>135</v>
      </c>
      <c r="D11" s="53">
        <v>16</v>
      </c>
      <c r="E11" s="53"/>
      <c r="F11" s="182"/>
      <c r="G11" s="182"/>
      <c r="H11" s="53">
        <f t="shared" si="0"/>
        <v>16</v>
      </c>
      <c r="I11" s="53">
        <f t="shared" si="1"/>
        <v>16</v>
      </c>
      <c r="J11" s="53">
        <f t="shared" si="1"/>
        <v>16</v>
      </c>
      <c r="K11" s="182"/>
    </row>
    <row r="12" spans="1:11">
      <c r="A12" s="180"/>
      <c r="B12" s="179" t="s">
        <v>114</v>
      </c>
      <c r="C12" s="53" t="s">
        <v>110</v>
      </c>
      <c r="D12" s="53">
        <v>429</v>
      </c>
      <c r="E12" s="53"/>
      <c r="F12" s="182"/>
      <c r="G12" s="182"/>
      <c r="H12" s="53">
        <f t="shared" si="0"/>
        <v>429</v>
      </c>
      <c r="I12" s="53">
        <f t="shared" si="1"/>
        <v>429</v>
      </c>
      <c r="J12" s="53">
        <v>450</v>
      </c>
      <c r="K12" s="182"/>
    </row>
    <row r="13" spans="1:11">
      <c r="A13" s="180"/>
      <c r="B13" s="179" t="s">
        <v>279</v>
      </c>
      <c r="C13" s="53" t="s">
        <v>110</v>
      </c>
      <c r="D13" s="53">
        <v>429</v>
      </c>
      <c r="E13" s="53"/>
      <c r="F13" s="182"/>
      <c r="G13" s="182"/>
      <c r="H13" s="53">
        <f t="shared" si="0"/>
        <v>429</v>
      </c>
      <c r="I13" s="53">
        <f t="shared" si="1"/>
        <v>429</v>
      </c>
      <c r="J13" s="53">
        <v>450</v>
      </c>
      <c r="K13" s="182"/>
    </row>
    <row r="14" spans="1:11">
      <c r="A14" s="180"/>
      <c r="B14" s="179" t="s">
        <v>123</v>
      </c>
      <c r="C14" s="53" t="s">
        <v>73</v>
      </c>
      <c r="D14" s="53">
        <v>1</v>
      </c>
      <c r="E14" s="53"/>
      <c r="F14" s="182"/>
      <c r="G14" s="182"/>
      <c r="H14" s="53">
        <f t="shared" si="0"/>
        <v>1</v>
      </c>
      <c r="I14" s="53">
        <f t="shared" si="1"/>
        <v>1</v>
      </c>
      <c r="J14" s="53">
        <f t="shared" si="1"/>
        <v>1</v>
      </c>
      <c r="K14" s="182"/>
    </row>
    <row r="15" spans="1:11">
      <c r="A15" s="180"/>
      <c r="B15" s="179" t="s">
        <v>121</v>
      </c>
      <c r="C15" s="53" t="s">
        <v>73</v>
      </c>
      <c r="D15" s="53">
        <v>1</v>
      </c>
      <c r="E15" s="53"/>
      <c r="F15" s="182"/>
      <c r="G15" s="182"/>
      <c r="H15" s="53">
        <f t="shared" si="0"/>
        <v>1</v>
      </c>
      <c r="I15" s="53">
        <f t="shared" si="1"/>
        <v>1</v>
      </c>
      <c r="J15" s="53">
        <f t="shared" si="1"/>
        <v>1</v>
      </c>
      <c r="K15" s="182"/>
    </row>
    <row r="16" spans="1:11">
      <c r="A16" s="180"/>
      <c r="B16" s="179" t="s">
        <v>252</v>
      </c>
      <c r="C16" s="53" t="s">
        <v>280</v>
      </c>
      <c r="D16" s="53">
        <v>5000</v>
      </c>
      <c r="E16" s="53">
        <v>1300</v>
      </c>
      <c r="F16" s="182"/>
      <c r="G16" s="182"/>
      <c r="H16" s="53">
        <f t="shared" si="0"/>
        <v>12800</v>
      </c>
      <c r="I16" s="53">
        <f t="shared" si="1"/>
        <v>12800</v>
      </c>
      <c r="J16" s="53">
        <v>13000</v>
      </c>
      <c r="K16" s="182"/>
    </row>
    <row r="17" spans="1:11">
      <c r="A17" s="180"/>
      <c r="B17" s="179" t="s">
        <v>119</v>
      </c>
      <c r="C17" s="53" t="s">
        <v>120</v>
      </c>
      <c r="D17" s="53">
        <v>200</v>
      </c>
      <c r="E17" s="53"/>
      <c r="F17" s="182"/>
      <c r="G17" s="182"/>
      <c r="H17" s="53">
        <f t="shared" si="0"/>
        <v>200</v>
      </c>
      <c r="I17" s="53">
        <f t="shared" si="1"/>
        <v>200</v>
      </c>
      <c r="J17" s="53">
        <f t="shared" si="1"/>
        <v>200</v>
      </c>
      <c r="K17" s="182"/>
    </row>
    <row r="18" spans="1:11">
      <c r="A18" s="180"/>
      <c r="B18" s="179" t="s">
        <v>126</v>
      </c>
      <c r="C18" s="53" t="s">
        <v>105</v>
      </c>
      <c r="D18" s="53">
        <v>15</v>
      </c>
      <c r="E18" s="53"/>
      <c r="F18" s="182"/>
      <c r="G18" s="182"/>
      <c r="H18" s="53">
        <f t="shared" si="0"/>
        <v>15</v>
      </c>
      <c r="I18" s="53">
        <f t="shared" si="1"/>
        <v>15</v>
      </c>
      <c r="J18" s="53">
        <f t="shared" si="1"/>
        <v>15</v>
      </c>
      <c r="K18" s="182"/>
    </row>
    <row r="19" spans="1:11">
      <c r="A19" s="180"/>
      <c r="B19" s="179" t="s">
        <v>128</v>
      </c>
      <c r="C19" s="53" t="s">
        <v>129</v>
      </c>
      <c r="D19" s="53">
        <v>10</v>
      </c>
      <c r="E19" s="53"/>
      <c r="F19" s="182"/>
      <c r="G19" s="182"/>
      <c r="H19" s="53">
        <f t="shared" si="0"/>
        <v>10</v>
      </c>
      <c r="I19" s="53">
        <f t="shared" si="1"/>
        <v>10</v>
      </c>
      <c r="J19" s="53">
        <f t="shared" si="1"/>
        <v>10</v>
      </c>
      <c r="K19" s="182"/>
    </row>
    <row r="20" spans="1:11">
      <c r="A20" s="180"/>
      <c r="B20" s="179" t="s">
        <v>281</v>
      </c>
      <c r="C20" s="53" t="s">
        <v>129</v>
      </c>
      <c r="D20" s="53">
        <v>10</v>
      </c>
      <c r="E20" s="53"/>
      <c r="F20" s="182"/>
      <c r="G20" s="182"/>
      <c r="H20" s="53">
        <f t="shared" si="0"/>
        <v>10</v>
      </c>
      <c r="I20" s="53">
        <f t="shared" si="1"/>
        <v>10</v>
      </c>
      <c r="J20" s="53">
        <f t="shared" si="1"/>
        <v>10</v>
      </c>
      <c r="K20" s="182"/>
    </row>
    <row r="21" spans="1:11">
      <c r="A21" s="180"/>
      <c r="B21" s="179" t="s">
        <v>282</v>
      </c>
      <c r="C21" s="53" t="s">
        <v>129</v>
      </c>
      <c r="D21" s="53">
        <v>2</v>
      </c>
      <c r="E21" s="53"/>
      <c r="F21" s="182"/>
      <c r="G21" s="182"/>
      <c r="H21" s="53">
        <f t="shared" si="0"/>
        <v>2</v>
      </c>
      <c r="I21" s="53">
        <f t="shared" si="1"/>
        <v>2</v>
      </c>
      <c r="J21" s="53">
        <f t="shared" si="1"/>
        <v>2</v>
      </c>
      <c r="K21" s="182"/>
    </row>
    <row r="22" spans="1:11">
      <c r="A22" s="180"/>
      <c r="B22" s="179" t="s">
        <v>283</v>
      </c>
      <c r="C22" s="53" t="s">
        <v>129</v>
      </c>
      <c r="D22" s="53">
        <v>5</v>
      </c>
      <c r="E22" s="53"/>
      <c r="F22" s="182"/>
      <c r="G22" s="182"/>
      <c r="H22" s="53">
        <f t="shared" si="0"/>
        <v>5</v>
      </c>
      <c r="I22" s="53">
        <f t="shared" si="1"/>
        <v>5</v>
      </c>
      <c r="J22" s="53">
        <f t="shared" si="1"/>
        <v>5</v>
      </c>
      <c r="K22" s="182"/>
    </row>
    <row r="23" spans="1:11">
      <c r="A23" s="180"/>
      <c r="B23" s="179" t="s">
        <v>131</v>
      </c>
      <c r="C23" s="53" t="s">
        <v>105</v>
      </c>
      <c r="D23" s="53">
        <v>20</v>
      </c>
      <c r="E23" s="53"/>
      <c r="F23" s="182"/>
      <c r="G23" s="182"/>
      <c r="H23" s="53">
        <f t="shared" si="0"/>
        <v>20</v>
      </c>
      <c r="I23" s="53">
        <f t="shared" si="1"/>
        <v>20</v>
      </c>
      <c r="J23" s="53">
        <f t="shared" si="1"/>
        <v>20</v>
      </c>
      <c r="K23" s="182"/>
    </row>
    <row r="24" spans="1:11">
      <c r="A24" s="180"/>
      <c r="B24" s="179" t="s">
        <v>137</v>
      </c>
      <c r="C24" s="53" t="s">
        <v>73</v>
      </c>
      <c r="D24" s="53">
        <v>10000</v>
      </c>
      <c r="E24" s="53">
        <v>5000</v>
      </c>
      <c r="F24" s="182"/>
      <c r="G24" s="182"/>
      <c r="H24" s="53">
        <f t="shared" si="0"/>
        <v>40000</v>
      </c>
      <c r="I24" s="53">
        <f t="shared" si="1"/>
        <v>40000</v>
      </c>
      <c r="J24" s="53">
        <f t="shared" si="1"/>
        <v>40000</v>
      </c>
      <c r="K24" s="182"/>
    </row>
    <row r="25" spans="1:11">
      <c r="A25" s="181"/>
      <c r="B25" s="179" t="s">
        <v>139</v>
      </c>
      <c r="C25" s="53" t="s">
        <v>73</v>
      </c>
      <c r="D25" s="53">
        <v>5000</v>
      </c>
      <c r="E25" s="53"/>
      <c r="F25" s="182"/>
      <c r="G25" s="182"/>
      <c r="H25" s="53">
        <f t="shared" si="0"/>
        <v>5000</v>
      </c>
      <c r="I25" s="53">
        <f t="shared" si="1"/>
        <v>5000</v>
      </c>
      <c r="J25" s="53">
        <f t="shared" si="1"/>
        <v>5000</v>
      </c>
      <c r="K25" s="182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A28" sqref="A28:H29"/>
    </sheetView>
  </sheetViews>
  <sheetFormatPr defaultColWidth="10.9333333333333" defaultRowHeight="17.6" outlineLevelCol="6"/>
  <cols>
    <col min="2" max="2" width="61.6" customWidth="1"/>
    <col min="5" max="5" width="16" customWidth="1"/>
    <col min="7" max="7" width="23.3333333333333" customWidth="1"/>
  </cols>
  <sheetData>
    <row r="1" ht="20.4" spans="1:7">
      <c r="A1" s="126" t="s">
        <v>284</v>
      </c>
      <c r="B1" s="127"/>
      <c r="C1" s="128"/>
      <c r="D1" s="128"/>
      <c r="E1" s="128"/>
      <c r="F1" s="128"/>
      <c r="G1" s="127"/>
    </row>
    <row r="2" spans="1:7">
      <c r="A2" s="129" t="s">
        <v>285</v>
      </c>
      <c r="B2" s="130" t="s">
        <v>50</v>
      </c>
      <c r="C2" s="129" t="s">
        <v>5</v>
      </c>
      <c r="D2" s="129" t="s">
        <v>286</v>
      </c>
      <c r="E2" s="129" t="s">
        <v>53</v>
      </c>
      <c r="F2" s="129" t="s">
        <v>6</v>
      </c>
      <c r="G2" s="130" t="s">
        <v>7</v>
      </c>
    </row>
    <row r="3" spans="1:7">
      <c r="A3" s="131"/>
      <c r="B3" s="132" t="s">
        <v>9</v>
      </c>
      <c r="C3" s="133"/>
      <c r="D3" s="133"/>
      <c r="E3" s="133"/>
      <c r="F3" s="133"/>
      <c r="G3" s="149"/>
    </row>
    <row r="4" ht="28" spans="1:7">
      <c r="A4" s="134">
        <v>1</v>
      </c>
      <c r="B4" s="135" t="s">
        <v>287</v>
      </c>
      <c r="C4" s="134" t="e">
        <f>[1]各人群统表!D2</f>
        <v>#REF!</v>
      </c>
      <c r="D4" s="134">
        <v>2</v>
      </c>
      <c r="E4" s="150">
        <v>3500</v>
      </c>
      <c r="F4" s="151" t="e">
        <f t="shared" ref="F4:F10" si="0">C4*D4*E4</f>
        <v>#REF!</v>
      </c>
      <c r="G4" s="152" t="s">
        <v>288</v>
      </c>
    </row>
    <row r="5" ht="28" spans="1:7">
      <c r="A5" s="134">
        <v>2</v>
      </c>
      <c r="B5" s="135" t="s">
        <v>289</v>
      </c>
      <c r="C5" s="134" t="e">
        <f>[1]各人群统表!C3/2</f>
        <v>#REF!</v>
      </c>
      <c r="D5" s="134">
        <v>2</v>
      </c>
      <c r="E5" s="150">
        <v>3500</v>
      </c>
      <c r="F5" s="151" t="e">
        <f t="shared" si="0"/>
        <v>#REF!</v>
      </c>
      <c r="G5" s="152" t="s">
        <v>288</v>
      </c>
    </row>
    <row r="6" ht="28" spans="1:7">
      <c r="A6" s="134">
        <v>3</v>
      </c>
      <c r="B6" s="135" t="s">
        <v>290</v>
      </c>
      <c r="C6" s="134" t="e">
        <f>[1]各人群统表!C3/2</f>
        <v>#REF!</v>
      </c>
      <c r="D6" s="134">
        <v>2</v>
      </c>
      <c r="E6" s="150">
        <v>1735</v>
      </c>
      <c r="F6" s="151" t="e">
        <f t="shared" si="0"/>
        <v>#REF!</v>
      </c>
      <c r="G6" s="153" t="s">
        <v>291</v>
      </c>
    </row>
    <row r="7" ht="28" spans="1:7">
      <c r="A7" s="134">
        <v>4</v>
      </c>
      <c r="B7" s="135" t="s">
        <v>292</v>
      </c>
      <c r="C7" s="134" t="e">
        <f>(SUM([1]各人群统表!C4:C18)+1)/2</f>
        <v>#REF!</v>
      </c>
      <c r="D7" s="134">
        <v>2</v>
      </c>
      <c r="E7" s="150">
        <v>1285</v>
      </c>
      <c r="F7" s="151" t="e">
        <f t="shared" si="0"/>
        <v>#REF!</v>
      </c>
      <c r="G7" s="152" t="s">
        <v>293</v>
      </c>
    </row>
    <row r="8" ht="28" spans="1:7">
      <c r="A8" s="134">
        <v>5</v>
      </c>
      <c r="B8" s="135" t="s">
        <v>294</v>
      </c>
      <c r="C8" s="134" t="e">
        <f>(SUM([1]各人群统表!C4:C18)-1)/2</f>
        <v>#REF!</v>
      </c>
      <c r="D8" s="134">
        <v>2</v>
      </c>
      <c r="E8" s="150">
        <v>445</v>
      </c>
      <c r="F8" s="151" t="e">
        <f t="shared" si="0"/>
        <v>#REF!</v>
      </c>
      <c r="G8" s="153" t="s">
        <v>295</v>
      </c>
    </row>
    <row r="9" ht="31.95" customHeight="1" spans="1:7">
      <c r="A9" s="134">
        <v>6</v>
      </c>
      <c r="B9" s="135" t="s">
        <v>296</v>
      </c>
      <c r="C9" s="134" t="e">
        <f>C6+C8</f>
        <v>#REF!</v>
      </c>
      <c r="D9" s="134">
        <v>2</v>
      </c>
      <c r="E9" s="150">
        <v>30</v>
      </c>
      <c r="F9" s="151" t="e">
        <f t="shared" si="0"/>
        <v>#REF!</v>
      </c>
      <c r="G9" s="153"/>
    </row>
    <row r="10" spans="1:7">
      <c r="A10" s="134">
        <v>7</v>
      </c>
      <c r="B10" s="135" t="s">
        <v>297</v>
      </c>
      <c r="C10" s="134">
        <v>1</v>
      </c>
      <c r="D10" s="134">
        <v>1</v>
      </c>
      <c r="E10" s="150">
        <v>20000</v>
      </c>
      <c r="F10" s="151">
        <f t="shared" si="0"/>
        <v>20000</v>
      </c>
      <c r="G10" s="135" t="s">
        <v>298</v>
      </c>
    </row>
    <row r="11" spans="1:7">
      <c r="A11" s="136" t="s">
        <v>299</v>
      </c>
      <c r="B11" s="136"/>
      <c r="C11" s="136"/>
      <c r="D11" s="136"/>
      <c r="E11" s="136"/>
      <c r="F11" s="154" t="e">
        <f>SUM(F4:F10)*0.7</f>
        <v>#REF!</v>
      </c>
      <c r="G11" s="155"/>
    </row>
    <row r="12" spans="1:7">
      <c r="A12" s="133"/>
      <c r="B12" s="132" t="s">
        <v>178</v>
      </c>
      <c r="C12" s="133"/>
      <c r="D12" s="133"/>
      <c r="E12" s="133"/>
      <c r="F12" s="133"/>
      <c r="G12" s="149"/>
    </row>
    <row r="13" spans="1:7">
      <c r="A13" s="134">
        <v>1</v>
      </c>
      <c r="B13" s="137" t="s">
        <v>300</v>
      </c>
      <c r="C13" s="134">
        <v>1</v>
      </c>
      <c r="D13" s="134">
        <v>5</v>
      </c>
      <c r="E13" s="150">
        <v>30000</v>
      </c>
      <c r="F13" s="151">
        <f>C13*D13*E13</f>
        <v>150000</v>
      </c>
      <c r="G13" s="135" t="s">
        <v>301</v>
      </c>
    </row>
    <row r="14" spans="1:7">
      <c r="A14" s="134">
        <v>2</v>
      </c>
      <c r="B14" s="138" t="s">
        <v>302</v>
      </c>
      <c r="C14" s="134">
        <v>1</v>
      </c>
      <c r="D14" s="134">
        <v>5</v>
      </c>
      <c r="E14" s="150">
        <v>20000</v>
      </c>
      <c r="F14" s="151">
        <f t="shared" ref="F14:F21" si="1">C14*D14*E14</f>
        <v>100000</v>
      </c>
      <c r="G14" s="135"/>
    </row>
    <row r="15" spans="1:7">
      <c r="A15" s="134">
        <v>3</v>
      </c>
      <c r="B15" s="137" t="s">
        <v>303</v>
      </c>
      <c r="C15" s="134">
        <v>15</v>
      </c>
      <c r="D15" s="134">
        <v>6</v>
      </c>
      <c r="E15" s="150">
        <v>3280</v>
      </c>
      <c r="F15" s="151">
        <f t="shared" si="1"/>
        <v>295200</v>
      </c>
      <c r="G15" s="135" t="s">
        <v>301</v>
      </c>
    </row>
    <row r="16" spans="1:7">
      <c r="A16" s="134">
        <v>4</v>
      </c>
      <c r="B16" s="139" t="s">
        <v>304</v>
      </c>
      <c r="C16" s="134">
        <v>17</v>
      </c>
      <c r="D16" s="134">
        <v>6</v>
      </c>
      <c r="E16" s="150">
        <v>3250</v>
      </c>
      <c r="F16" s="151">
        <f t="shared" si="1"/>
        <v>331500</v>
      </c>
      <c r="G16" s="135"/>
    </row>
    <row r="17" spans="1:7">
      <c r="A17" s="134">
        <v>5</v>
      </c>
      <c r="B17" s="138" t="s">
        <v>305</v>
      </c>
      <c r="C17" s="134">
        <v>1</v>
      </c>
      <c r="D17" s="134">
        <v>5</v>
      </c>
      <c r="E17" s="150">
        <v>1500</v>
      </c>
      <c r="F17" s="151">
        <f t="shared" si="1"/>
        <v>7500</v>
      </c>
      <c r="G17" s="135"/>
    </row>
    <row r="18" spans="1:7">
      <c r="A18" s="134">
        <v>6</v>
      </c>
      <c r="B18" s="137" t="s">
        <v>306</v>
      </c>
      <c r="C18" s="140">
        <v>25</v>
      </c>
      <c r="D18" s="134">
        <v>4</v>
      </c>
      <c r="E18" s="150">
        <v>1500</v>
      </c>
      <c r="F18" s="151">
        <f t="shared" si="1"/>
        <v>150000</v>
      </c>
      <c r="G18" s="135"/>
    </row>
    <row r="19" spans="1:7">
      <c r="A19" s="134">
        <v>7</v>
      </c>
      <c r="B19" s="137" t="s">
        <v>306</v>
      </c>
      <c r="C19" s="134">
        <v>15</v>
      </c>
      <c r="D19" s="134">
        <v>6</v>
      </c>
      <c r="E19" s="150">
        <v>1500</v>
      </c>
      <c r="F19" s="151">
        <f t="shared" si="1"/>
        <v>135000</v>
      </c>
      <c r="G19" s="135"/>
    </row>
    <row r="20" spans="1:7">
      <c r="A20" s="134">
        <v>8</v>
      </c>
      <c r="B20" s="139" t="s">
        <v>307</v>
      </c>
      <c r="C20" s="134">
        <v>44</v>
      </c>
      <c r="D20" s="134">
        <v>6</v>
      </c>
      <c r="E20" s="150">
        <v>1450</v>
      </c>
      <c r="F20" s="151">
        <f t="shared" si="1"/>
        <v>382800</v>
      </c>
      <c r="G20" s="135"/>
    </row>
    <row r="21" spans="1:7">
      <c r="A21" s="134">
        <v>9</v>
      </c>
      <c r="B21" s="139" t="s">
        <v>307</v>
      </c>
      <c r="C21" s="134">
        <v>137</v>
      </c>
      <c r="D21" s="134">
        <v>3</v>
      </c>
      <c r="E21" s="150">
        <v>1450</v>
      </c>
      <c r="F21" s="151">
        <f t="shared" si="1"/>
        <v>595950</v>
      </c>
      <c r="G21" s="135"/>
    </row>
    <row r="22" spans="1:7">
      <c r="A22" s="134"/>
      <c r="B22" s="139" t="s">
        <v>308</v>
      </c>
      <c r="C22" s="134">
        <v>17</v>
      </c>
      <c r="D22" s="134">
        <v>6</v>
      </c>
      <c r="E22" s="150">
        <v>1450</v>
      </c>
      <c r="F22" s="151">
        <f t="shared" ref="F22:F27" si="2">C22*D22*E22</f>
        <v>147900</v>
      </c>
      <c r="G22" s="135"/>
    </row>
    <row r="23" spans="1:7">
      <c r="A23" s="134"/>
      <c r="B23" s="139" t="s">
        <v>308</v>
      </c>
      <c r="C23" s="134">
        <v>100</v>
      </c>
      <c r="D23" s="134">
        <v>3</v>
      </c>
      <c r="E23" s="150">
        <v>1450</v>
      </c>
      <c r="F23" s="151">
        <f t="shared" si="2"/>
        <v>435000</v>
      </c>
      <c r="G23" s="135"/>
    </row>
    <row r="24" spans="1:7">
      <c r="A24" s="134">
        <v>10</v>
      </c>
      <c r="B24" s="141" t="s">
        <v>309</v>
      </c>
      <c r="C24" s="142">
        <v>10</v>
      </c>
      <c r="D24" s="142">
        <v>3</v>
      </c>
      <c r="E24" s="156">
        <v>850</v>
      </c>
      <c r="F24" s="157">
        <f t="shared" si="2"/>
        <v>25500</v>
      </c>
      <c r="G24" s="135"/>
    </row>
    <row r="25" spans="1:7">
      <c r="A25" s="134">
        <v>11</v>
      </c>
      <c r="B25" s="141" t="s">
        <v>309</v>
      </c>
      <c r="C25" s="142">
        <v>10</v>
      </c>
      <c r="D25" s="142">
        <v>4</v>
      </c>
      <c r="E25" s="156">
        <v>850</v>
      </c>
      <c r="F25" s="157">
        <f t="shared" si="2"/>
        <v>34000</v>
      </c>
      <c r="G25" s="135"/>
    </row>
    <row r="26" spans="1:7">
      <c r="A26" s="134">
        <v>12</v>
      </c>
      <c r="B26" s="141" t="s">
        <v>309</v>
      </c>
      <c r="C26" s="142">
        <v>35</v>
      </c>
      <c r="D26" s="142">
        <v>6</v>
      </c>
      <c r="E26" s="156">
        <v>850</v>
      </c>
      <c r="F26" s="157">
        <f t="shared" si="2"/>
        <v>178500</v>
      </c>
      <c r="G26" s="135"/>
    </row>
    <row r="27" spans="1:7">
      <c r="A27" s="134">
        <v>13</v>
      </c>
      <c r="B27" s="135" t="s">
        <v>310</v>
      </c>
      <c r="C27" s="134">
        <f>SUM(C13:C26)</f>
        <v>428</v>
      </c>
      <c r="D27" s="134">
        <v>0</v>
      </c>
      <c r="E27" s="150">
        <v>300</v>
      </c>
      <c r="F27" s="151">
        <f t="shared" si="2"/>
        <v>0</v>
      </c>
      <c r="G27" s="135"/>
    </row>
    <row r="28" spans="1:7">
      <c r="A28" s="136" t="s">
        <v>299</v>
      </c>
      <c r="B28" s="136"/>
      <c r="C28" s="136"/>
      <c r="D28" s="136"/>
      <c r="E28" s="136"/>
      <c r="F28" s="154">
        <f>SUM(F13:F27)</f>
        <v>2968850</v>
      </c>
      <c r="G28" s="155"/>
    </row>
    <row r="29" spans="1:7">
      <c r="A29" s="133"/>
      <c r="B29" s="132" t="s">
        <v>311</v>
      </c>
      <c r="C29" s="133"/>
      <c r="D29" s="133"/>
      <c r="E29" s="133"/>
      <c r="F29" s="133"/>
      <c r="G29" s="149"/>
    </row>
    <row r="30" ht="55" spans="1:7">
      <c r="A30" s="134">
        <v>1</v>
      </c>
      <c r="B30" s="135" t="s">
        <v>312</v>
      </c>
      <c r="C30" s="134" t="e">
        <f>[1]各人群统表!D2</f>
        <v>#REF!</v>
      </c>
      <c r="D30" s="134">
        <v>6</v>
      </c>
      <c r="E30" s="150">
        <v>3800</v>
      </c>
      <c r="F30" s="151" t="e">
        <f t="shared" ref="F30:F42" si="3">C30*D30*E30</f>
        <v>#REF!</v>
      </c>
      <c r="G30" s="135" t="s">
        <v>313</v>
      </c>
    </row>
    <row r="31" ht="55" spans="1:7">
      <c r="A31" s="134">
        <v>2</v>
      </c>
      <c r="B31" s="135" t="s">
        <v>314</v>
      </c>
      <c r="C31" s="134" t="e">
        <f>[1]各人群统表!D3</f>
        <v>#REF!</v>
      </c>
      <c r="D31" s="134">
        <v>7</v>
      </c>
      <c r="E31" s="150">
        <v>1500</v>
      </c>
      <c r="F31" s="151" t="e">
        <f t="shared" si="3"/>
        <v>#REF!</v>
      </c>
      <c r="G31" s="135" t="s">
        <v>315</v>
      </c>
    </row>
    <row r="32" ht="64.95" customHeight="1" spans="1:7">
      <c r="A32" s="134">
        <v>3</v>
      </c>
      <c r="B32" s="143" t="s">
        <v>316</v>
      </c>
      <c r="C32" s="144" t="e">
        <f>SUM([1]各人群统表!P5:V5)*0.5</f>
        <v>#REF!</v>
      </c>
      <c r="D32" s="134">
        <v>2</v>
      </c>
      <c r="E32" s="150">
        <v>800</v>
      </c>
      <c r="F32" s="151" t="e">
        <f t="shared" si="3"/>
        <v>#REF!</v>
      </c>
      <c r="G32" s="135"/>
    </row>
    <row r="33" spans="1:7">
      <c r="A33" s="134">
        <v>4</v>
      </c>
      <c r="B33" s="145" t="s">
        <v>317</v>
      </c>
      <c r="C33" s="146">
        <v>2</v>
      </c>
      <c r="D33" s="147">
        <v>2</v>
      </c>
      <c r="E33" s="158">
        <v>1500</v>
      </c>
      <c r="F33" s="159">
        <f t="shared" si="3"/>
        <v>6000</v>
      </c>
      <c r="G33" s="135"/>
    </row>
    <row r="34" spans="1:7">
      <c r="A34" s="134">
        <v>5</v>
      </c>
      <c r="B34" s="143" t="s">
        <v>318</v>
      </c>
      <c r="C34" s="134">
        <v>1</v>
      </c>
      <c r="D34" s="134">
        <v>2</v>
      </c>
      <c r="E34" s="150">
        <v>1100</v>
      </c>
      <c r="F34" s="151">
        <f t="shared" si="3"/>
        <v>2200</v>
      </c>
      <c r="G34" s="135"/>
    </row>
    <row r="35" ht="82" spans="1:7">
      <c r="A35" s="134">
        <v>6</v>
      </c>
      <c r="B35" s="143" t="s">
        <v>319</v>
      </c>
      <c r="C35" s="134">
        <v>7</v>
      </c>
      <c r="D35" s="134">
        <v>5</v>
      </c>
      <c r="E35" s="150">
        <v>2800</v>
      </c>
      <c r="F35" s="151">
        <f t="shared" si="3"/>
        <v>98000</v>
      </c>
      <c r="G35" s="135" t="s">
        <v>320</v>
      </c>
    </row>
    <row r="36" ht="41" spans="1:7">
      <c r="A36" s="134">
        <v>7</v>
      </c>
      <c r="B36" s="143" t="s">
        <v>321</v>
      </c>
      <c r="C36" s="134">
        <v>12</v>
      </c>
      <c r="D36" s="134">
        <v>5</v>
      </c>
      <c r="E36" s="150">
        <v>1500</v>
      </c>
      <c r="F36" s="151">
        <f t="shared" si="3"/>
        <v>90000</v>
      </c>
      <c r="G36" s="135" t="s">
        <v>322</v>
      </c>
    </row>
    <row r="37" ht="41" spans="1:7">
      <c r="A37" s="134">
        <v>8</v>
      </c>
      <c r="B37" s="135" t="s">
        <v>323</v>
      </c>
      <c r="C37" s="134">
        <v>7</v>
      </c>
      <c r="D37" s="134">
        <v>1</v>
      </c>
      <c r="E37" s="150">
        <v>2800</v>
      </c>
      <c r="F37" s="151">
        <f t="shared" si="3"/>
        <v>19600</v>
      </c>
      <c r="G37" s="135" t="s">
        <v>324</v>
      </c>
    </row>
    <row r="38" ht="41" spans="1:7">
      <c r="A38" s="134">
        <v>9</v>
      </c>
      <c r="B38" s="135" t="s">
        <v>325</v>
      </c>
      <c r="C38" s="134">
        <v>14</v>
      </c>
      <c r="D38" s="134">
        <v>1</v>
      </c>
      <c r="E38" s="150">
        <v>1500</v>
      </c>
      <c r="F38" s="151">
        <f t="shared" si="3"/>
        <v>21000</v>
      </c>
      <c r="G38" s="135" t="s">
        <v>326</v>
      </c>
    </row>
    <row r="39" spans="1:7">
      <c r="A39" s="134">
        <v>10</v>
      </c>
      <c r="B39" s="135" t="s">
        <v>327</v>
      </c>
      <c r="C39" s="134">
        <v>6</v>
      </c>
      <c r="D39" s="134">
        <v>7</v>
      </c>
      <c r="E39" s="150">
        <v>1500</v>
      </c>
      <c r="F39" s="151">
        <f t="shared" si="3"/>
        <v>63000</v>
      </c>
      <c r="G39" s="135"/>
    </row>
    <row r="40" ht="28" spans="1:7">
      <c r="A40" s="134">
        <v>11</v>
      </c>
      <c r="B40" s="143" t="s">
        <v>328</v>
      </c>
      <c r="C40" s="134">
        <v>1</v>
      </c>
      <c r="D40" s="134">
        <v>1</v>
      </c>
      <c r="E40" s="150">
        <v>10000</v>
      </c>
      <c r="F40" s="151">
        <f t="shared" si="3"/>
        <v>10000</v>
      </c>
      <c r="G40" s="135" t="s">
        <v>329</v>
      </c>
    </row>
    <row r="41" ht="22.95" customHeight="1" spans="1:7">
      <c r="A41" s="134">
        <v>12</v>
      </c>
      <c r="B41" s="143" t="s">
        <v>330</v>
      </c>
      <c r="C41" s="134">
        <v>100</v>
      </c>
      <c r="D41" s="134">
        <v>4</v>
      </c>
      <c r="E41" s="150">
        <v>200</v>
      </c>
      <c r="F41" s="151">
        <f t="shared" si="3"/>
        <v>80000</v>
      </c>
      <c r="G41" s="135" t="s">
        <v>298</v>
      </c>
    </row>
    <row r="42" spans="1:7">
      <c r="A42" s="134">
        <v>13</v>
      </c>
      <c r="B42" s="143" t="s">
        <v>331</v>
      </c>
      <c r="C42" s="134">
        <v>2</v>
      </c>
      <c r="D42" s="134">
        <v>2</v>
      </c>
      <c r="E42" s="150">
        <v>600</v>
      </c>
      <c r="F42" s="151">
        <f t="shared" si="3"/>
        <v>2400</v>
      </c>
      <c r="G42" s="135" t="s">
        <v>298</v>
      </c>
    </row>
    <row r="43" spans="1:7">
      <c r="A43" s="136" t="s">
        <v>299</v>
      </c>
      <c r="B43" s="136"/>
      <c r="C43" s="136"/>
      <c r="D43" s="136"/>
      <c r="E43" s="136"/>
      <c r="F43" s="154" t="e">
        <f>SUM(F30:F42)</f>
        <v>#REF!</v>
      </c>
      <c r="G43" s="155"/>
    </row>
    <row r="44" spans="1:7">
      <c r="A44" s="133"/>
      <c r="B44" s="132" t="s">
        <v>18</v>
      </c>
      <c r="C44" s="133"/>
      <c r="D44" s="133"/>
      <c r="E44" s="133"/>
      <c r="F44" s="133"/>
      <c r="G44" s="149"/>
    </row>
    <row r="45" spans="1:7">
      <c r="A45" s="134">
        <v>1</v>
      </c>
      <c r="B45" s="135" t="s">
        <v>332</v>
      </c>
      <c r="C45" s="134" t="e">
        <f>[1]各人群统表!D2</f>
        <v>#REF!</v>
      </c>
      <c r="D45" s="134">
        <v>5</v>
      </c>
      <c r="E45" s="150">
        <v>400</v>
      </c>
      <c r="F45" s="151" t="e">
        <f>C45*D45*E45</f>
        <v>#REF!</v>
      </c>
      <c r="G45" s="135" t="s">
        <v>333</v>
      </c>
    </row>
    <row r="46" spans="1:7">
      <c r="A46" s="134">
        <v>2</v>
      </c>
      <c r="B46" s="135" t="s">
        <v>334</v>
      </c>
      <c r="C46" s="134" t="e">
        <f>[1]各人群统表!D3</f>
        <v>#REF!</v>
      </c>
      <c r="D46" s="134">
        <v>6</v>
      </c>
      <c r="E46" s="150">
        <v>400</v>
      </c>
      <c r="F46" s="151" t="e">
        <f>C46*D46*E46</f>
        <v>#REF!</v>
      </c>
      <c r="G46" s="135" t="s">
        <v>333</v>
      </c>
    </row>
    <row r="47" spans="1:7">
      <c r="A47" s="134">
        <v>3</v>
      </c>
      <c r="B47" s="135" t="s">
        <v>335</v>
      </c>
      <c r="C47" s="134" t="e">
        <f>[1]各人群统表!P5</f>
        <v>#REF!</v>
      </c>
      <c r="D47" s="134">
        <v>3</v>
      </c>
      <c r="E47" s="150">
        <v>400</v>
      </c>
      <c r="F47" s="151" t="e">
        <f t="shared" ref="F47:F56" si="4">C47*D47*E47</f>
        <v>#REF!</v>
      </c>
      <c r="G47" s="135" t="s">
        <v>333</v>
      </c>
    </row>
    <row r="48" spans="1:7">
      <c r="A48" s="134">
        <v>4</v>
      </c>
      <c r="B48" s="135" t="s">
        <v>335</v>
      </c>
      <c r="C48" s="134" t="e">
        <f>[1]各人群统表!Q5</f>
        <v>#REF!</v>
      </c>
      <c r="D48" s="134">
        <v>4</v>
      </c>
      <c r="E48" s="150">
        <v>400</v>
      </c>
      <c r="F48" s="151" t="e">
        <f t="shared" si="4"/>
        <v>#REF!</v>
      </c>
      <c r="G48" s="135" t="s">
        <v>333</v>
      </c>
    </row>
    <row r="49" spans="1:7">
      <c r="A49" s="134">
        <v>5</v>
      </c>
      <c r="B49" s="135" t="s">
        <v>335</v>
      </c>
      <c r="C49" s="134" t="e">
        <f>[1]各人群统表!R5</f>
        <v>#REF!</v>
      </c>
      <c r="D49" s="134">
        <v>5</v>
      </c>
      <c r="E49" s="150">
        <v>400</v>
      </c>
      <c r="F49" s="151" t="e">
        <f t="shared" si="4"/>
        <v>#REF!</v>
      </c>
      <c r="G49" s="135" t="s">
        <v>333</v>
      </c>
    </row>
    <row r="50" spans="1:7">
      <c r="A50" s="134">
        <v>6</v>
      </c>
      <c r="B50" s="135" t="s">
        <v>335</v>
      </c>
      <c r="C50" s="134" t="e">
        <f>[1]各人群统表!S5</f>
        <v>#REF!</v>
      </c>
      <c r="D50" s="134">
        <v>6</v>
      </c>
      <c r="E50" s="150">
        <v>400</v>
      </c>
      <c r="F50" s="151" t="e">
        <f t="shared" si="4"/>
        <v>#REF!</v>
      </c>
      <c r="G50" s="135" t="s">
        <v>333</v>
      </c>
    </row>
    <row r="51" spans="1:7">
      <c r="A51" s="134">
        <v>7</v>
      </c>
      <c r="B51" s="148" t="s">
        <v>336</v>
      </c>
      <c r="C51" s="142">
        <v>10</v>
      </c>
      <c r="D51" s="142">
        <v>3</v>
      </c>
      <c r="E51" s="156">
        <v>300</v>
      </c>
      <c r="F51" s="157">
        <f t="shared" si="4"/>
        <v>9000</v>
      </c>
      <c r="G51" s="135" t="s">
        <v>333</v>
      </c>
    </row>
    <row r="52" spans="1:7">
      <c r="A52" s="134">
        <v>8</v>
      </c>
      <c r="B52" s="148" t="s">
        <v>336</v>
      </c>
      <c r="C52" s="142">
        <v>10</v>
      </c>
      <c r="D52" s="142">
        <v>4</v>
      </c>
      <c r="E52" s="156">
        <v>300</v>
      </c>
      <c r="F52" s="157">
        <f t="shared" si="4"/>
        <v>12000</v>
      </c>
      <c r="G52" s="135" t="s">
        <v>333</v>
      </c>
    </row>
    <row r="53" spans="1:7">
      <c r="A53" s="134">
        <v>9</v>
      </c>
      <c r="B53" s="148" t="s">
        <v>336</v>
      </c>
      <c r="C53" s="142">
        <v>35</v>
      </c>
      <c r="D53" s="142">
        <v>6</v>
      </c>
      <c r="E53" s="156">
        <v>300</v>
      </c>
      <c r="F53" s="157">
        <f t="shared" si="4"/>
        <v>63000</v>
      </c>
      <c r="G53" s="135" t="s">
        <v>333</v>
      </c>
    </row>
    <row r="54" spans="1:7">
      <c r="A54" s="134">
        <v>10</v>
      </c>
      <c r="B54" s="135" t="s">
        <v>337</v>
      </c>
      <c r="C54" s="134">
        <v>215</v>
      </c>
      <c r="D54" s="134">
        <v>1</v>
      </c>
      <c r="E54" s="150">
        <v>200</v>
      </c>
      <c r="F54" s="151">
        <f t="shared" si="4"/>
        <v>43000</v>
      </c>
      <c r="G54" s="135" t="s">
        <v>338</v>
      </c>
    </row>
    <row r="55" ht="28" spans="1:7">
      <c r="A55" s="134">
        <v>11</v>
      </c>
      <c r="B55" s="135" t="s">
        <v>339</v>
      </c>
      <c r="C55" s="134">
        <v>215</v>
      </c>
      <c r="D55" s="134">
        <v>1</v>
      </c>
      <c r="E55" s="150">
        <v>200</v>
      </c>
      <c r="F55" s="151">
        <f t="shared" si="4"/>
        <v>43000</v>
      </c>
      <c r="G55" s="135" t="s">
        <v>340</v>
      </c>
    </row>
    <row r="56" spans="1:7">
      <c r="A56" s="134">
        <v>12</v>
      </c>
      <c r="B56" s="135" t="s">
        <v>341</v>
      </c>
      <c r="C56" s="134">
        <v>400</v>
      </c>
      <c r="D56" s="134">
        <v>2</v>
      </c>
      <c r="E56" s="150">
        <v>100</v>
      </c>
      <c r="F56" s="151">
        <f t="shared" si="4"/>
        <v>80000</v>
      </c>
      <c r="G56" s="135"/>
    </row>
    <row r="57" spans="1:7">
      <c r="A57" s="136" t="s">
        <v>299</v>
      </c>
      <c r="B57" s="136"/>
      <c r="C57" s="136"/>
      <c r="D57" s="136"/>
      <c r="E57" s="136"/>
      <c r="F57" s="154" t="e">
        <f>SUM(F45:F56)</f>
        <v>#REF!</v>
      </c>
      <c r="G57" s="155"/>
    </row>
    <row r="58" spans="1:7">
      <c r="A58" s="133"/>
      <c r="B58" s="132" t="s">
        <v>342</v>
      </c>
      <c r="C58" s="133"/>
      <c r="D58" s="133"/>
      <c r="E58" s="133"/>
      <c r="F58" s="133"/>
      <c r="G58" s="149"/>
    </row>
    <row r="59" spans="1:7">
      <c r="A59" s="134">
        <v>1</v>
      </c>
      <c r="B59" s="135" t="s">
        <v>343</v>
      </c>
      <c r="C59" s="134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134">
        <v>1</v>
      </c>
      <c r="E59" s="150">
        <v>50</v>
      </c>
      <c r="F59" s="151" t="e">
        <f>C59*D59*E59</f>
        <v>#REF!</v>
      </c>
      <c r="G59" s="160" t="s">
        <v>344</v>
      </c>
    </row>
    <row r="60" ht="41" spans="1:7">
      <c r="A60" s="134">
        <v>2</v>
      </c>
      <c r="B60" s="135" t="s">
        <v>345</v>
      </c>
      <c r="C60" s="134">
        <v>2</v>
      </c>
      <c r="D60" s="134">
        <v>6</v>
      </c>
      <c r="E60" s="150">
        <v>2500</v>
      </c>
      <c r="F60" s="151">
        <f>C60*D60*E60</f>
        <v>30000</v>
      </c>
      <c r="G60" s="160" t="s">
        <v>346</v>
      </c>
    </row>
    <row r="61" spans="1:7">
      <c r="A61" s="134">
        <v>3</v>
      </c>
      <c r="B61" s="135" t="s">
        <v>347</v>
      </c>
      <c r="C61" s="134">
        <v>2</v>
      </c>
      <c r="D61" s="134">
        <v>6</v>
      </c>
      <c r="E61" s="150">
        <v>1000</v>
      </c>
      <c r="F61" s="151">
        <f>C61*D61*E61</f>
        <v>12000</v>
      </c>
      <c r="G61" s="160"/>
    </row>
    <row r="62" spans="1:7">
      <c r="A62" s="134">
        <v>4</v>
      </c>
      <c r="B62" s="135" t="s">
        <v>348</v>
      </c>
      <c r="C62" s="134">
        <v>429</v>
      </c>
      <c r="D62" s="134">
        <v>6</v>
      </c>
      <c r="E62" s="150">
        <v>4</v>
      </c>
      <c r="F62" s="151">
        <f>C62*D62*E62</f>
        <v>10296</v>
      </c>
      <c r="G62" s="135" t="s">
        <v>349</v>
      </c>
    </row>
    <row r="63" spans="1:7">
      <c r="A63" s="134">
        <v>5</v>
      </c>
      <c r="B63" s="135" t="s">
        <v>350</v>
      </c>
      <c r="C63" s="134">
        <v>2</v>
      </c>
      <c r="D63" s="134">
        <v>6</v>
      </c>
      <c r="E63" s="150">
        <v>5000</v>
      </c>
      <c r="F63" s="151">
        <f>C63*D63*E63</f>
        <v>60000</v>
      </c>
      <c r="G63" s="160"/>
    </row>
    <row r="64" spans="1:7">
      <c r="A64" s="136" t="s">
        <v>299</v>
      </c>
      <c r="B64" s="136"/>
      <c r="C64" s="136"/>
      <c r="D64" s="136"/>
      <c r="E64" s="136"/>
      <c r="F64" s="154" t="e">
        <f>SUM(F59:F63)</f>
        <v>#REF!</v>
      </c>
      <c r="G64" s="155"/>
    </row>
    <row r="65" spans="1:7">
      <c r="A65" s="133"/>
      <c r="B65" s="132" t="s">
        <v>351</v>
      </c>
      <c r="C65" s="133"/>
      <c r="D65" s="133"/>
      <c r="E65" s="133"/>
      <c r="F65" s="133"/>
      <c r="G65" s="149"/>
    </row>
    <row r="66" spans="1:7">
      <c r="A66" s="134">
        <v>1</v>
      </c>
      <c r="B66" s="135" t="s">
        <v>352</v>
      </c>
      <c r="C66" s="134">
        <v>3</v>
      </c>
      <c r="D66" s="134">
        <v>25</v>
      </c>
      <c r="E66" s="150">
        <v>800</v>
      </c>
      <c r="F66" s="151">
        <f t="shared" ref="F66:F74" si="5">C66*D66*E66</f>
        <v>60000</v>
      </c>
      <c r="G66" s="135"/>
    </row>
    <row r="67" ht="28" spans="1:7">
      <c r="A67" s="134">
        <v>2</v>
      </c>
      <c r="B67" s="135" t="s">
        <v>353</v>
      </c>
      <c r="C67" s="134">
        <v>23</v>
      </c>
      <c r="D67" s="134">
        <v>15</v>
      </c>
      <c r="E67" s="150">
        <v>800</v>
      </c>
      <c r="F67" s="151">
        <f t="shared" si="5"/>
        <v>276000</v>
      </c>
      <c r="G67" s="135"/>
    </row>
    <row r="68" ht="28" spans="1:7">
      <c r="A68" s="134">
        <v>3</v>
      </c>
      <c r="B68" s="135" t="s">
        <v>354</v>
      </c>
      <c r="C68" s="134">
        <v>26</v>
      </c>
      <c r="D68" s="134">
        <v>10</v>
      </c>
      <c r="E68" s="150">
        <v>800</v>
      </c>
      <c r="F68" s="151">
        <f t="shared" si="5"/>
        <v>208000</v>
      </c>
      <c r="G68" s="135" t="s">
        <v>355</v>
      </c>
    </row>
    <row r="69" ht="28" spans="1:7">
      <c r="A69" s="134">
        <v>4</v>
      </c>
      <c r="B69" s="135" t="s">
        <v>356</v>
      </c>
      <c r="C69" s="134">
        <v>10</v>
      </c>
      <c r="D69" s="134">
        <v>12</v>
      </c>
      <c r="E69" s="150">
        <v>600</v>
      </c>
      <c r="F69" s="151">
        <f t="shared" si="5"/>
        <v>72000</v>
      </c>
      <c r="G69" s="135" t="s">
        <v>357</v>
      </c>
    </row>
    <row r="70" spans="1:7">
      <c r="A70" s="134">
        <v>5</v>
      </c>
      <c r="B70" s="135" t="s">
        <v>358</v>
      </c>
      <c r="C70" s="134">
        <v>26</v>
      </c>
      <c r="D70" s="134">
        <v>2</v>
      </c>
      <c r="E70" s="150">
        <v>1000</v>
      </c>
      <c r="F70" s="151">
        <f t="shared" si="5"/>
        <v>52000</v>
      </c>
      <c r="G70" s="135" t="s">
        <v>359</v>
      </c>
    </row>
    <row r="71" ht="28" spans="1:7">
      <c r="A71" s="134">
        <v>6</v>
      </c>
      <c r="B71" s="135" t="s">
        <v>360</v>
      </c>
      <c r="C71" s="134">
        <v>14</v>
      </c>
      <c r="D71" s="134">
        <v>9</v>
      </c>
      <c r="E71" s="150">
        <v>500</v>
      </c>
      <c r="F71" s="151">
        <f t="shared" si="5"/>
        <v>63000</v>
      </c>
      <c r="G71" s="135" t="s">
        <v>361</v>
      </c>
    </row>
    <row r="72" ht="28" spans="1:7">
      <c r="A72" s="134">
        <v>7</v>
      </c>
      <c r="B72" s="135" t="s">
        <v>362</v>
      </c>
      <c r="C72" s="134">
        <v>26</v>
      </c>
      <c r="D72" s="134">
        <v>10</v>
      </c>
      <c r="E72" s="150">
        <v>60</v>
      </c>
      <c r="F72" s="151">
        <f t="shared" si="5"/>
        <v>15600</v>
      </c>
      <c r="G72" s="135" t="s">
        <v>363</v>
      </c>
    </row>
    <row r="73" spans="1:7">
      <c r="A73" s="134">
        <v>8</v>
      </c>
      <c r="B73" s="135" t="s">
        <v>364</v>
      </c>
      <c r="C73" s="134">
        <v>26</v>
      </c>
      <c r="D73" s="134">
        <v>10</v>
      </c>
      <c r="E73" s="150">
        <v>80</v>
      </c>
      <c r="F73" s="151">
        <f t="shared" si="5"/>
        <v>20800</v>
      </c>
      <c r="G73" s="135" t="s">
        <v>359</v>
      </c>
    </row>
    <row r="74" spans="1:7">
      <c r="A74" s="134">
        <v>9</v>
      </c>
      <c r="B74" s="135" t="s">
        <v>365</v>
      </c>
      <c r="C74" s="134">
        <v>26</v>
      </c>
      <c r="D74" s="134">
        <v>10</v>
      </c>
      <c r="E74" s="150">
        <v>100</v>
      </c>
      <c r="F74" s="151">
        <f t="shared" si="5"/>
        <v>26000</v>
      </c>
      <c r="G74" s="135" t="s">
        <v>359</v>
      </c>
    </row>
    <row r="75" spans="1:7">
      <c r="A75" s="136" t="s">
        <v>299</v>
      </c>
      <c r="B75" s="136"/>
      <c r="C75" s="136"/>
      <c r="D75" s="136"/>
      <c r="E75" s="136"/>
      <c r="F75" s="154">
        <f>SUM(F66:F74)</f>
        <v>793400</v>
      </c>
      <c r="G75" s="155"/>
    </row>
    <row r="76" spans="1:7">
      <c r="A76" s="133"/>
      <c r="B76" s="132" t="s">
        <v>366</v>
      </c>
      <c r="C76" s="133"/>
      <c r="D76" s="133"/>
      <c r="E76" s="133"/>
      <c r="F76" s="133"/>
      <c r="G76" s="149"/>
    </row>
    <row r="77" ht="28" spans="1:7">
      <c r="A77" s="134">
        <v>1</v>
      </c>
      <c r="B77" s="135" t="s">
        <v>367</v>
      </c>
      <c r="C77" s="134">
        <v>2</v>
      </c>
      <c r="D77" s="134">
        <v>10</v>
      </c>
      <c r="E77" s="150">
        <v>800</v>
      </c>
      <c r="F77" s="151">
        <f>C77*D77*E77</f>
        <v>16000</v>
      </c>
      <c r="G77" s="135" t="s">
        <v>368</v>
      </c>
    </row>
    <row r="78" ht="82" spans="1:7">
      <c r="A78" s="134">
        <v>8</v>
      </c>
      <c r="B78" s="135" t="s">
        <v>369</v>
      </c>
      <c r="C78" s="134">
        <v>81</v>
      </c>
      <c r="D78" s="134">
        <v>1</v>
      </c>
      <c r="E78" s="150">
        <v>600</v>
      </c>
      <c r="F78" s="151">
        <f t="shared" ref="F78:F96" si="6">C78*D78*E78</f>
        <v>48600</v>
      </c>
      <c r="G78" s="135" t="s">
        <v>370</v>
      </c>
    </row>
    <row r="79" ht="68" spans="1:7">
      <c r="A79" s="134">
        <v>9</v>
      </c>
      <c r="B79" s="135" t="s">
        <v>371</v>
      </c>
      <c r="C79" s="134" t="e">
        <f>[1]第三方人员明细表!M10</f>
        <v>#REF!</v>
      </c>
      <c r="D79" s="134">
        <v>1</v>
      </c>
      <c r="E79" s="150">
        <v>1000</v>
      </c>
      <c r="F79" s="151" t="e">
        <f t="shared" si="6"/>
        <v>#REF!</v>
      </c>
      <c r="G79" s="135" t="s">
        <v>372</v>
      </c>
    </row>
    <row r="80" ht="68" spans="1:7">
      <c r="A80" s="134">
        <v>10</v>
      </c>
      <c r="B80" s="135" t="s">
        <v>373</v>
      </c>
      <c r="C80" s="134" t="e">
        <f>[1]第三方人员明细表!M11</f>
        <v>#REF!</v>
      </c>
      <c r="D80" s="134">
        <v>1</v>
      </c>
      <c r="E80" s="150">
        <v>800</v>
      </c>
      <c r="F80" s="151" t="e">
        <f t="shared" si="6"/>
        <v>#REF!</v>
      </c>
      <c r="G80" s="135" t="s">
        <v>374</v>
      </c>
    </row>
    <row r="81" ht="68" spans="1:7">
      <c r="A81" s="134">
        <v>11</v>
      </c>
      <c r="B81" s="135" t="s">
        <v>375</v>
      </c>
      <c r="C81" s="134" t="e">
        <f>[1]第三方人员明细表!M12</f>
        <v>#REF!</v>
      </c>
      <c r="D81" s="134">
        <v>1</v>
      </c>
      <c r="E81" s="150">
        <v>3000</v>
      </c>
      <c r="F81" s="151" t="e">
        <f t="shared" si="6"/>
        <v>#REF!</v>
      </c>
      <c r="G81" s="135" t="s">
        <v>376</v>
      </c>
    </row>
    <row r="82" ht="82" spans="1:7">
      <c r="A82" s="134">
        <v>12</v>
      </c>
      <c r="B82" s="135" t="s">
        <v>377</v>
      </c>
      <c r="C82" s="134">
        <v>63</v>
      </c>
      <c r="D82" s="134">
        <v>1</v>
      </c>
      <c r="E82" s="150">
        <v>600</v>
      </c>
      <c r="F82" s="151">
        <f t="shared" si="6"/>
        <v>37800</v>
      </c>
      <c r="G82" s="135" t="s">
        <v>378</v>
      </c>
    </row>
    <row r="83" ht="68" spans="1:7">
      <c r="A83" s="134">
        <v>13</v>
      </c>
      <c r="B83" s="135" t="s">
        <v>379</v>
      </c>
      <c r="C83" s="134" t="e">
        <f>[1]第三方人员明细表!M19</f>
        <v>#REF!</v>
      </c>
      <c r="D83" s="161">
        <v>1</v>
      </c>
      <c r="E83" s="150">
        <v>1000</v>
      </c>
      <c r="F83" s="151" t="e">
        <f t="shared" si="6"/>
        <v>#REF!</v>
      </c>
      <c r="G83" s="135" t="s">
        <v>372</v>
      </c>
    </row>
    <row r="84" ht="68" spans="1:7">
      <c r="A84" s="134">
        <v>14</v>
      </c>
      <c r="B84" s="135" t="s">
        <v>380</v>
      </c>
      <c r="C84" s="134" t="e">
        <f>[1]第三方人员明细表!M20</f>
        <v>#REF!</v>
      </c>
      <c r="D84" s="161">
        <v>1</v>
      </c>
      <c r="E84" s="150">
        <v>800</v>
      </c>
      <c r="F84" s="151" t="e">
        <f t="shared" si="6"/>
        <v>#REF!</v>
      </c>
      <c r="G84" s="135" t="s">
        <v>374</v>
      </c>
    </row>
    <row r="85" ht="68" spans="1:7">
      <c r="A85" s="134">
        <v>15</v>
      </c>
      <c r="B85" s="135" t="s">
        <v>381</v>
      </c>
      <c r="C85" s="134" t="e">
        <f>[1]第三方人员明细表!M21</f>
        <v>#REF!</v>
      </c>
      <c r="D85" s="134">
        <v>1</v>
      </c>
      <c r="E85" s="150">
        <v>3000</v>
      </c>
      <c r="F85" s="151" t="e">
        <f t="shared" si="6"/>
        <v>#REF!</v>
      </c>
      <c r="G85" s="135" t="s">
        <v>376</v>
      </c>
    </row>
    <row r="86" ht="55" spans="1:7">
      <c r="A86" s="134">
        <v>16</v>
      </c>
      <c r="B86" s="135" t="s">
        <v>382</v>
      </c>
      <c r="C86" s="134">
        <v>116</v>
      </c>
      <c r="D86" s="134">
        <v>1</v>
      </c>
      <c r="E86" s="150">
        <v>600</v>
      </c>
      <c r="F86" s="151">
        <f t="shared" si="6"/>
        <v>69600</v>
      </c>
      <c r="G86" s="135" t="s">
        <v>383</v>
      </c>
    </row>
    <row r="87" ht="55" spans="1:7">
      <c r="A87" s="134">
        <v>17</v>
      </c>
      <c r="B87" s="135" t="s">
        <v>384</v>
      </c>
      <c r="C87" s="134">
        <v>142</v>
      </c>
      <c r="D87" s="134">
        <v>1</v>
      </c>
      <c r="E87" s="150">
        <v>600</v>
      </c>
      <c r="F87" s="151">
        <f t="shared" si="6"/>
        <v>85200</v>
      </c>
      <c r="G87" s="135" t="s">
        <v>383</v>
      </c>
    </row>
    <row r="88" ht="68" spans="1:7">
      <c r="A88" s="134">
        <v>18</v>
      </c>
      <c r="B88" s="135" t="s">
        <v>385</v>
      </c>
      <c r="C88" s="134">
        <v>58</v>
      </c>
      <c r="D88" s="134">
        <v>1</v>
      </c>
      <c r="E88" s="150">
        <v>1000</v>
      </c>
      <c r="F88" s="151">
        <f t="shared" si="6"/>
        <v>58000</v>
      </c>
      <c r="G88" s="135" t="s">
        <v>372</v>
      </c>
    </row>
    <row r="89" ht="68" spans="1:7">
      <c r="A89" s="134">
        <v>19</v>
      </c>
      <c r="B89" s="135" t="s">
        <v>386</v>
      </c>
      <c r="C89" s="134">
        <v>92</v>
      </c>
      <c r="D89" s="134">
        <v>1</v>
      </c>
      <c r="E89" s="150">
        <v>800</v>
      </c>
      <c r="F89" s="151">
        <f t="shared" si="6"/>
        <v>73600</v>
      </c>
      <c r="G89" s="135" t="s">
        <v>374</v>
      </c>
    </row>
    <row r="90" ht="68" spans="1:7">
      <c r="A90" s="134">
        <v>20</v>
      </c>
      <c r="B90" s="135" t="s">
        <v>387</v>
      </c>
      <c r="C90" s="134">
        <v>21</v>
      </c>
      <c r="D90" s="134">
        <v>1</v>
      </c>
      <c r="E90" s="150">
        <v>3000</v>
      </c>
      <c r="F90" s="151">
        <f t="shared" si="6"/>
        <v>63000</v>
      </c>
      <c r="G90" s="135" t="s">
        <v>376</v>
      </c>
    </row>
    <row r="91" ht="55" spans="1:7">
      <c r="A91" s="134">
        <v>21</v>
      </c>
      <c r="B91" s="135" t="s">
        <v>388</v>
      </c>
      <c r="C91" s="134">
        <v>73</v>
      </c>
      <c r="D91" s="134">
        <v>1</v>
      </c>
      <c r="E91" s="150">
        <v>600</v>
      </c>
      <c r="F91" s="151">
        <f t="shared" si="6"/>
        <v>43800</v>
      </c>
      <c r="G91" s="135" t="s">
        <v>383</v>
      </c>
    </row>
    <row r="92" spans="1:7">
      <c r="A92" s="134">
        <v>23</v>
      </c>
      <c r="B92" s="135" t="s">
        <v>389</v>
      </c>
      <c r="C92" s="134">
        <v>140</v>
      </c>
      <c r="D92" s="134">
        <v>8</v>
      </c>
      <c r="E92" s="150">
        <v>60</v>
      </c>
      <c r="F92" s="151">
        <f t="shared" si="6"/>
        <v>67200</v>
      </c>
      <c r="G92" s="135"/>
    </row>
    <row r="93" spans="1:7">
      <c r="A93" s="134">
        <v>24</v>
      </c>
      <c r="B93" s="135" t="s">
        <v>390</v>
      </c>
      <c r="C93" s="134">
        <v>140</v>
      </c>
      <c r="D93" s="134">
        <v>8</v>
      </c>
      <c r="E93" s="150">
        <v>80</v>
      </c>
      <c r="F93" s="151">
        <f t="shared" si="6"/>
        <v>89600</v>
      </c>
      <c r="G93" s="135"/>
    </row>
    <row r="94" spans="1:7">
      <c r="A94" s="134">
        <v>25</v>
      </c>
      <c r="B94" s="135" t="s">
        <v>391</v>
      </c>
      <c r="C94" s="134">
        <v>175</v>
      </c>
      <c r="D94" s="134">
        <v>8</v>
      </c>
      <c r="E94" s="150">
        <v>4</v>
      </c>
      <c r="F94" s="151">
        <f t="shared" si="6"/>
        <v>5600</v>
      </c>
      <c r="G94" s="135"/>
    </row>
    <row r="95" spans="1:7">
      <c r="A95" s="134">
        <v>26</v>
      </c>
      <c r="B95" s="135" t="s">
        <v>392</v>
      </c>
      <c r="C95" s="134">
        <v>80</v>
      </c>
      <c r="D95" s="134">
        <v>1</v>
      </c>
      <c r="E95" s="150">
        <v>300</v>
      </c>
      <c r="F95" s="151">
        <f t="shared" si="6"/>
        <v>24000</v>
      </c>
      <c r="G95" s="135"/>
    </row>
    <row r="96" spans="1:7">
      <c r="A96" s="134">
        <v>27</v>
      </c>
      <c r="B96" s="135" t="s">
        <v>393</v>
      </c>
      <c r="C96" s="134">
        <v>80</v>
      </c>
      <c r="D96" s="134">
        <v>6</v>
      </c>
      <c r="E96" s="150">
        <v>80</v>
      </c>
      <c r="F96" s="151">
        <f t="shared" si="6"/>
        <v>38400</v>
      </c>
      <c r="G96" s="135"/>
    </row>
    <row r="97" spans="1:7">
      <c r="A97" s="136" t="s">
        <v>299</v>
      </c>
      <c r="B97" s="136"/>
      <c r="C97" s="136"/>
      <c r="D97" s="136"/>
      <c r="E97" s="136"/>
      <c r="F97" s="154" t="e">
        <f>SUM(F77:F96)</f>
        <v>#REF!</v>
      </c>
      <c r="G97" s="155"/>
    </row>
    <row r="98" spans="1:7">
      <c r="A98" s="133"/>
      <c r="B98" s="132" t="s">
        <v>394</v>
      </c>
      <c r="C98" s="133"/>
      <c r="D98" s="133"/>
      <c r="E98" s="133"/>
      <c r="F98" s="133"/>
      <c r="G98" s="149"/>
    </row>
    <row r="99" spans="1:7">
      <c r="A99" s="134">
        <v>1</v>
      </c>
      <c r="B99" s="135" t="s">
        <v>227</v>
      </c>
      <c r="C99" s="134">
        <v>18</v>
      </c>
      <c r="D99" s="134">
        <v>1</v>
      </c>
      <c r="E99" s="150">
        <v>80</v>
      </c>
      <c r="F99" s="151">
        <f t="shared" ref="F99:F138" si="7">C99*D99*E99</f>
        <v>1440</v>
      </c>
      <c r="G99" s="135"/>
    </row>
    <row r="100" spans="1:7">
      <c r="A100" s="134">
        <v>2</v>
      </c>
      <c r="B100" s="135" t="s">
        <v>228</v>
      </c>
      <c r="C100" s="134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134">
        <v>1</v>
      </c>
      <c r="E100" s="150">
        <v>150</v>
      </c>
      <c r="F100" s="151" t="e">
        <f t="shared" si="7"/>
        <v>#REF!</v>
      </c>
      <c r="G100" s="135"/>
    </row>
    <row r="101" spans="1:7">
      <c r="A101" s="134">
        <v>3</v>
      </c>
      <c r="B101" s="135" t="s">
        <v>229</v>
      </c>
      <c r="C101" s="134">
        <v>1</v>
      </c>
      <c r="D101" s="134">
        <v>1</v>
      </c>
      <c r="E101" s="150">
        <v>2000</v>
      </c>
      <c r="F101" s="151">
        <f t="shared" si="7"/>
        <v>2000</v>
      </c>
      <c r="G101" s="135" t="s">
        <v>395</v>
      </c>
    </row>
    <row r="102" spans="1:7">
      <c r="A102" s="134">
        <v>4</v>
      </c>
      <c r="B102" s="135" t="s">
        <v>230</v>
      </c>
      <c r="C102" s="134">
        <v>76</v>
      </c>
      <c r="D102" s="134">
        <v>1</v>
      </c>
      <c r="E102" s="150">
        <v>30</v>
      </c>
      <c r="F102" s="151">
        <f t="shared" si="7"/>
        <v>2280</v>
      </c>
      <c r="G102" s="135"/>
    </row>
    <row r="103" ht="28" spans="1:7">
      <c r="A103" s="134">
        <v>5</v>
      </c>
      <c r="B103" s="135" t="s">
        <v>396</v>
      </c>
      <c r="C103" s="134">
        <v>2</v>
      </c>
      <c r="D103" s="134">
        <v>6</v>
      </c>
      <c r="E103" s="150">
        <v>200</v>
      </c>
      <c r="F103" s="151">
        <f t="shared" si="7"/>
        <v>2400</v>
      </c>
      <c r="G103" s="135" t="s">
        <v>397</v>
      </c>
    </row>
    <row r="104" spans="1:7">
      <c r="A104" s="134">
        <v>6</v>
      </c>
      <c r="B104" s="143" t="s">
        <v>398</v>
      </c>
      <c r="C104" s="134">
        <v>2</v>
      </c>
      <c r="D104" s="134">
        <v>1</v>
      </c>
      <c r="E104" s="150">
        <v>3000</v>
      </c>
      <c r="F104" s="151">
        <f t="shared" si="7"/>
        <v>6000</v>
      </c>
      <c r="G104" s="135"/>
    </row>
    <row r="105" ht="28" spans="1:7">
      <c r="A105" s="134">
        <v>7</v>
      </c>
      <c r="B105" s="135" t="s">
        <v>399</v>
      </c>
      <c r="C105" s="134">
        <v>32</v>
      </c>
      <c r="D105" s="134">
        <v>8.5</v>
      </c>
      <c r="E105" s="150">
        <v>100</v>
      </c>
      <c r="F105" s="151">
        <f t="shared" si="7"/>
        <v>27200</v>
      </c>
      <c r="G105" s="135" t="s">
        <v>397</v>
      </c>
    </row>
    <row r="106" spans="1:7">
      <c r="A106" s="134">
        <v>8</v>
      </c>
      <c r="B106" s="143" t="s">
        <v>400</v>
      </c>
      <c r="C106" s="134">
        <v>32</v>
      </c>
      <c r="D106" s="134">
        <v>1</v>
      </c>
      <c r="E106" s="150">
        <v>500</v>
      </c>
      <c r="F106" s="151">
        <f t="shared" si="7"/>
        <v>16000</v>
      </c>
      <c r="G106" s="135"/>
    </row>
    <row r="107" ht="28" spans="1:7">
      <c r="A107" s="134">
        <v>9</v>
      </c>
      <c r="B107" s="135" t="s">
        <v>401</v>
      </c>
      <c r="C107" s="134">
        <v>40</v>
      </c>
      <c r="D107" s="134">
        <v>1</v>
      </c>
      <c r="E107" s="150">
        <v>100</v>
      </c>
      <c r="F107" s="151">
        <f t="shared" si="7"/>
        <v>4000</v>
      </c>
      <c r="G107" s="135" t="s">
        <v>402</v>
      </c>
    </row>
    <row r="108" spans="1:7">
      <c r="A108" s="134">
        <v>10</v>
      </c>
      <c r="B108" s="135" t="s">
        <v>403</v>
      </c>
      <c r="C108" s="134">
        <v>15</v>
      </c>
      <c r="D108" s="134">
        <v>1</v>
      </c>
      <c r="E108" s="150">
        <v>100</v>
      </c>
      <c r="F108" s="151">
        <f t="shared" si="7"/>
        <v>1500</v>
      </c>
      <c r="G108" s="135" t="s">
        <v>404</v>
      </c>
    </row>
    <row r="109" spans="1:7">
      <c r="A109" s="134">
        <v>11</v>
      </c>
      <c r="B109" s="143" t="s">
        <v>405</v>
      </c>
      <c r="C109" s="134">
        <v>40</v>
      </c>
      <c r="D109" s="134">
        <v>1</v>
      </c>
      <c r="E109" s="150">
        <v>500</v>
      </c>
      <c r="F109" s="151">
        <f t="shared" si="7"/>
        <v>20000</v>
      </c>
      <c r="G109" s="135"/>
    </row>
    <row r="110" spans="1:7">
      <c r="A110" s="134">
        <v>12</v>
      </c>
      <c r="B110" s="143" t="s">
        <v>406</v>
      </c>
      <c r="C110" s="134">
        <v>10</v>
      </c>
      <c r="D110" s="134">
        <v>1</v>
      </c>
      <c r="E110" s="150">
        <v>1500</v>
      </c>
      <c r="F110" s="151">
        <f t="shared" si="7"/>
        <v>15000</v>
      </c>
      <c r="G110" s="135"/>
    </row>
    <row r="111" ht="28" spans="1:7">
      <c r="A111" s="134">
        <v>13</v>
      </c>
      <c r="B111" s="135" t="s">
        <v>238</v>
      </c>
      <c r="C111" s="134">
        <v>10</v>
      </c>
      <c r="D111" s="134">
        <v>2</v>
      </c>
      <c r="E111" s="150">
        <v>600</v>
      </c>
      <c r="F111" s="151">
        <f t="shared" si="7"/>
        <v>12000</v>
      </c>
      <c r="G111" s="135" t="s">
        <v>407</v>
      </c>
    </row>
    <row r="112" ht="28" spans="1:7">
      <c r="A112" s="134">
        <v>14</v>
      </c>
      <c r="B112" s="135" t="s">
        <v>239</v>
      </c>
      <c r="C112" s="134">
        <v>8</v>
      </c>
      <c r="D112" s="134">
        <v>2</v>
      </c>
      <c r="E112" s="150">
        <v>800</v>
      </c>
      <c r="F112" s="151">
        <f t="shared" si="7"/>
        <v>12800</v>
      </c>
      <c r="G112" s="135" t="s">
        <v>408</v>
      </c>
    </row>
    <row r="113" ht="41" spans="1:7">
      <c r="A113" s="134">
        <v>15</v>
      </c>
      <c r="B113" s="135" t="s">
        <v>240</v>
      </c>
      <c r="C113" s="134">
        <v>5</v>
      </c>
      <c r="D113" s="134">
        <v>2</v>
      </c>
      <c r="E113" s="150">
        <v>30</v>
      </c>
      <c r="F113" s="151">
        <f t="shared" si="7"/>
        <v>300</v>
      </c>
      <c r="G113" s="135" t="s">
        <v>409</v>
      </c>
    </row>
    <row r="114" ht="28" spans="1:7">
      <c r="A114" s="134">
        <v>16</v>
      </c>
      <c r="B114" s="135" t="s">
        <v>241</v>
      </c>
      <c r="C114" s="134">
        <v>1</v>
      </c>
      <c r="D114" s="134">
        <v>2</v>
      </c>
      <c r="E114" s="150">
        <v>1000</v>
      </c>
      <c r="F114" s="151">
        <f t="shared" si="7"/>
        <v>2000</v>
      </c>
      <c r="G114" s="135" t="s">
        <v>410</v>
      </c>
    </row>
    <row r="115" ht="28" spans="1:7">
      <c r="A115" s="134">
        <v>17</v>
      </c>
      <c r="B115" s="135" t="s">
        <v>242</v>
      </c>
      <c r="C115" s="134" t="e">
        <f>SUM([1]各人群统表!C2:C18)</f>
        <v>#REF!</v>
      </c>
      <c r="D115" s="134">
        <v>14</v>
      </c>
      <c r="E115" s="150">
        <v>5</v>
      </c>
      <c r="F115" s="151" t="e">
        <f t="shared" si="7"/>
        <v>#REF!</v>
      </c>
      <c r="G115" s="160" t="s">
        <v>411</v>
      </c>
    </row>
    <row r="116" spans="1:7">
      <c r="A116" s="134">
        <v>18</v>
      </c>
      <c r="B116" s="135" t="s">
        <v>243</v>
      </c>
      <c r="C116" s="134" t="e">
        <f>SUM([1]各人群统表!C2:C18)</f>
        <v>#REF!</v>
      </c>
      <c r="D116" s="134">
        <v>1</v>
      </c>
      <c r="E116" s="150">
        <v>10</v>
      </c>
      <c r="F116" s="151" t="e">
        <f t="shared" si="7"/>
        <v>#REF!</v>
      </c>
      <c r="G116" s="160"/>
    </row>
    <row r="117" spans="1:7">
      <c r="A117" s="134">
        <v>19</v>
      </c>
      <c r="B117" s="135" t="s">
        <v>244</v>
      </c>
      <c r="C117" s="134" t="e">
        <f>SUM([1]各人群统表!C2:C18)</f>
        <v>#REF!</v>
      </c>
      <c r="D117" s="134">
        <v>1</v>
      </c>
      <c r="E117" s="150">
        <v>10</v>
      </c>
      <c r="F117" s="151" t="e">
        <f t="shared" si="7"/>
        <v>#REF!</v>
      </c>
      <c r="G117" s="160"/>
    </row>
    <row r="118" spans="1:7">
      <c r="A118" s="134">
        <v>20</v>
      </c>
      <c r="B118" s="135" t="s">
        <v>245</v>
      </c>
      <c r="C118" s="134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134">
        <v>1</v>
      </c>
      <c r="E118" s="150">
        <v>10</v>
      </c>
      <c r="F118" s="151" t="e">
        <f t="shared" si="7"/>
        <v>#REF!</v>
      </c>
      <c r="G118" s="160"/>
    </row>
    <row r="119" spans="1:7">
      <c r="A119" s="134">
        <v>21</v>
      </c>
      <c r="B119" s="135" t="s">
        <v>246</v>
      </c>
      <c r="C119" s="134" t="e">
        <f>SUM([1]各人群统表!C2:C18)</f>
        <v>#REF!</v>
      </c>
      <c r="D119" s="134">
        <v>1</v>
      </c>
      <c r="E119" s="150">
        <v>20</v>
      </c>
      <c r="F119" s="151" t="e">
        <f t="shared" si="7"/>
        <v>#REF!</v>
      </c>
      <c r="G119" s="160"/>
    </row>
    <row r="120" spans="1:7">
      <c r="A120" s="134">
        <v>22</v>
      </c>
      <c r="B120" s="135" t="s">
        <v>247</v>
      </c>
      <c r="C120" s="134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134">
        <v>1</v>
      </c>
      <c r="E120" s="150">
        <v>10</v>
      </c>
      <c r="F120" s="151" t="e">
        <f t="shared" si="7"/>
        <v>#REF!</v>
      </c>
      <c r="G120" s="160"/>
    </row>
    <row r="121" spans="1:7">
      <c r="A121" s="134">
        <v>23</v>
      </c>
      <c r="B121" s="135" t="s">
        <v>248</v>
      </c>
      <c r="C121" s="134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134">
        <v>1</v>
      </c>
      <c r="E121" s="150">
        <v>300</v>
      </c>
      <c r="F121" s="151" t="e">
        <f t="shared" si="7"/>
        <v>#REF!</v>
      </c>
      <c r="G121" s="160"/>
    </row>
    <row r="122" spans="1:7">
      <c r="A122" s="134">
        <v>24</v>
      </c>
      <c r="B122" s="135" t="s">
        <v>249</v>
      </c>
      <c r="C122" s="134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134">
        <v>1</v>
      </c>
      <c r="E122" s="150">
        <v>100</v>
      </c>
      <c r="F122" s="151" t="e">
        <f t="shared" si="7"/>
        <v>#REF!</v>
      </c>
      <c r="G122" s="160"/>
    </row>
    <row r="123" spans="1:7">
      <c r="A123" s="134">
        <v>25</v>
      </c>
      <c r="B123" s="135" t="s">
        <v>250</v>
      </c>
      <c r="C123" s="134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134">
        <v>1</v>
      </c>
      <c r="E123" s="150">
        <v>150</v>
      </c>
      <c r="F123" s="151" t="e">
        <f t="shared" si="7"/>
        <v>#REF!</v>
      </c>
      <c r="G123" s="160"/>
    </row>
    <row r="124" spans="1:7">
      <c r="A124" s="134">
        <v>26</v>
      </c>
      <c r="B124" s="135" t="s">
        <v>251</v>
      </c>
      <c r="C124" s="134">
        <v>0</v>
      </c>
      <c r="D124" s="134">
        <v>1</v>
      </c>
      <c r="E124" s="150">
        <v>5000</v>
      </c>
      <c r="F124" s="151">
        <f t="shared" si="7"/>
        <v>0</v>
      </c>
      <c r="G124" s="160"/>
    </row>
    <row r="125" ht="28" spans="1:7">
      <c r="A125" s="134">
        <v>27</v>
      </c>
      <c r="B125" s="135" t="s">
        <v>252</v>
      </c>
      <c r="C125" s="134">
        <v>1000</v>
      </c>
      <c r="D125" s="134">
        <v>5</v>
      </c>
      <c r="E125" s="150">
        <v>5</v>
      </c>
      <c r="F125" s="151">
        <f t="shared" si="7"/>
        <v>25000</v>
      </c>
      <c r="G125" s="135" t="s">
        <v>412</v>
      </c>
    </row>
    <row r="126" spans="1:7">
      <c r="A126" s="134">
        <v>28</v>
      </c>
      <c r="B126" s="135" t="s">
        <v>119</v>
      </c>
      <c r="C126" s="134">
        <v>200</v>
      </c>
      <c r="D126" s="134">
        <v>1</v>
      </c>
      <c r="E126" s="150">
        <v>150</v>
      </c>
      <c r="F126" s="151">
        <f t="shared" si="7"/>
        <v>30000</v>
      </c>
      <c r="G126" s="135" t="s">
        <v>413</v>
      </c>
    </row>
    <row r="127" spans="1:7">
      <c r="A127" s="134">
        <v>29</v>
      </c>
      <c r="B127" s="135" t="s">
        <v>253</v>
      </c>
      <c r="C127" s="134">
        <v>4</v>
      </c>
      <c r="D127" s="134">
        <v>1</v>
      </c>
      <c r="E127" s="150">
        <v>600</v>
      </c>
      <c r="F127" s="151">
        <f t="shared" si="7"/>
        <v>2400</v>
      </c>
      <c r="G127" s="135" t="s">
        <v>414</v>
      </c>
    </row>
    <row r="128" spans="1:7">
      <c r="A128" s="134">
        <v>30</v>
      </c>
      <c r="B128" s="135" t="s">
        <v>254</v>
      </c>
      <c r="C128" s="134">
        <v>1</v>
      </c>
      <c r="D128" s="134">
        <v>1</v>
      </c>
      <c r="E128" s="150">
        <v>10000</v>
      </c>
      <c r="F128" s="151">
        <f t="shared" si="7"/>
        <v>10000</v>
      </c>
      <c r="G128" s="160"/>
    </row>
    <row r="129" spans="1:7">
      <c r="A129" s="134">
        <v>31</v>
      </c>
      <c r="B129" s="135" t="s">
        <v>139</v>
      </c>
      <c r="C129" s="134">
        <v>1</v>
      </c>
      <c r="D129" s="134">
        <v>1</v>
      </c>
      <c r="E129" s="150">
        <v>5000</v>
      </c>
      <c r="F129" s="151">
        <f t="shared" si="7"/>
        <v>5000</v>
      </c>
      <c r="G129" s="160"/>
    </row>
    <row r="130" spans="1:7">
      <c r="A130" s="136" t="s">
        <v>299</v>
      </c>
      <c r="B130" s="136"/>
      <c r="C130" s="136"/>
      <c r="D130" s="136"/>
      <c r="E130" s="136"/>
      <c r="F130" s="154" t="e">
        <f>SUM(F99:F129)</f>
        <v>#REF!</v>
      </c>
      <c r="G130" s="155"/>
    </row>
    <row r="131" spans="1:7">
      <c r="A131" s="133"/>
      <c r="B131" s="132" t="s">
        <v>415</v>
      </c>
      <c r="C131" s="133"/>
      <c r="D131" s="133"/>
      <c r="E131" s="133"/>
      <c r="F131" s="133"/>
      <c r="G131" s="149"/>
    </row>
    <row r="132" spans="1:7">
      <c r="A132" s="134">
        <v>1</v>
      </c>
      <c r="B132" s="135" t="s">
        <v>255</v>
      </c>
      <c r="C132" s="134">
        <v>20</v>
      </c>
      <c r="D132" s="134">
        <v>1</v>
      </c>
      <c r="E132" s="150">
        <v>800</v>
      </c>
      <c r="F132" s="151">
        <f t="shared" si="7"/>
        <v>16000</v>
      </c>
      <c r="G132" s="135"/>
    </row>
    <row r="133" spans="1:7">
      <c r="A133" s="134">
        <v>3</v>
      </c>
      <c r="B133" s="135" t="s">
        <v>256</v>
      </c>
      <c r="C133" s="134">
        <v>1</v>
      </c>
      <c r="D133" s="134">
        <v>1</v>
      </c>
      <c r="E133" s="150">
        <v>38000</v>
      </c>
      <c r="F133" s="151">
        <f t="shared" si="7"/>
        <v>38000</v>
      </c>
      <c r="G133" s="135"/>
    </row>
    <row r="134" spans="1:7">
      <c r="A134" s="134">
        <v>4</v>
      </c>
      <c r="B134" s="135" t="s">
        <v>257</v>
      </c>
      <c r="C134" s="134">
        <v>1</v>
      </c>
      <c r="D134" s="134">
        <v>1</v>
      </c>
      <c r="E134" s="150">
        <v>26000</v>
      </c>
      <c r="F134" s="151">
        <f t="shared" si="7"/>
        <v>26000</v>
      </c>
      <c r="G134" s="135"/>
    </row>
    <row r="135" spans="1:7">
      <c r="A135" s="134">
        <v>6</v>
      </c>
      <c r="B135" s="135" t="s">
        <v>258</v>
      </c>
      <c r="C135" s="134">
        <v>1</v>
      </c>
      <c r="D135" s="134">
        <v>1</v>
      </c>
      <c r="E135" s="150">
        <v>20000</v>
      </c>
      <c r="F135" s="151">
        <f t="shared" si="7"/>
        <v>20000</v>
      </c>
      <c r="G135" s="135"/>
    </row>
    <row r="136" spans="1:7">
      <c r="A136" s="134">
        <v>7</v>
      </c>
      <c r="B136" s="135" t="s">
        <v>259</v>
      </c>
      <c r="C136" s="134">
        <v>1</v>
      </c>
      <c r="D136" s="134">
        <v>1</v>
      </c>
      <c r="E136" s="150">
        <v>26000</v>
      </c>
      <c r="F136" s="151">
        <f t="shared" si="7"/>
        <v>26000</v>
      </c>
      <c r="G136" s="135" t="s">
        <v>416</v>
      </c>
    </row>
    <row r="137" spans="1:7">
      <c r="A137" s="134">
        <v>8</v>
      </c>
      <c r="B137" s="135" t="s">
        <v>260</v>
      </c>
      <c r="C137" s="134">
        <v>1</v>
      </c>
      <c r="D137" s="134">
        <v>1</v>
      </c>
      <c r="E137" s="150">
        <v>20000</v>
      </c>
      <c r="F137" s="151">
        <f t="shared" si="7"/>
        <v>20000</v>
      </c>
      <c r="G137" s="135" t="s">
        <v>417</v>
      </c>
    </row>
    <row r="138" spans="1:7">
      <c r="A138" s="134">
        <v>11</v>
      </c>
      <c r="B138" s="135" t="s">
        <v>261</v>
      </c>
      <c r="C138" s="134">
        <v>1</v>
      </c>
      <c r="D138" s="134">
        <v>1</v>
      </c>
      <c r="E138" s="150">
        <v>24000</v>
      </c>
      <c r="F138" s="151">
        <f t="shared" si="7"/>
        <v>24000</v>
      </c>
      <c r="G138" s="135"/>
    </row>
    <row r="139" spans="1:7">
      <c r="A139" s="136" t="s">
        <v>299</v>
      </c>
      <c r="B139" s="136"/>
      <c r="C139" s="136"/>
      <c r="D139" s="136"/>
      <c r="E139" s="136"/>
      <c r="F139" s="154">
        <f>SUM(F132:F138)</f>
        <v>170000</v>
      </c>
      <c r="G139" s="155"/>
    </row>
    <row r="140" spans="1:7">
      <c r="A140" s="133"/>
      <c r="B140" s="132" t="s">
        <v>182</v>
      </c>
      <c r="C140" s="133"/>
      <c r="D140" s="133"/>
      <c r="E140" s="133"/>
      <c r="F140" s="133"/>
      <c r="G140" s="149"/>
    </row>
    <row r="141" spans="1:7">
      <c r="A141" s="134">
        <v>1</v>
      </c>
      <c r="B141" s="135" t="s">
        <v>418</v>
      </c>
      <c r="C141" s="134">
        <v>2</v>
      </c>
      <c r="D141" s="134">
        <v>10</v>
      </c>
      <c r="E141" s="150">
        <v>5000</v>
      </c>
      <c r="F141" s="151">
        <f t="shared" ref="F141:F146" si="8">C141*D141*E141</f>
        <v>100000</v>
      </c>
      <c r="G141" s="160" t="s">
        <v>419</v>
      </c>
    </row>
    <row r="142" spans="1:7">
      <c r="A142" s="134">
        <v>2</v>
      </c>
      <c r="B142" s="135" t="s">
        <v>420</v>
      </c>
      <c r="C142" s="134">
        <v>1</v>
      </c>
      <c r="D142" s="134">
        <v>1</v>
      </c>
      <c r="E142" s="150">
        <v>5000</v>
      </c>
      <c r="F142" s="151">
        <f t="shared" si="8"/>
        <v>5000</v>
      </c>
      <c r="G142" s="160" t="s">
        <v>419</v>
      </c>
    </row>
    <row r="143" spans="1:7">
      <c r="A143" s="134">
        <v>3</v>
      </c>
      <c r="B143" s="135" t="s">
        <v>123</v>
      </c>
      <c r="C143" s="134">
        <v>1</v>
      </c>
      <c r="D143" s="134">
        <v>1</v>
      </c>
      <c r="E143" s="150">
        <v>30000</v>
      </c>
      <c r="F143" s="151">
        <f t="shared" si="8"/>
        <v>30000</v>
      </c>
      <c r="G143" s="160"/>
    </row>
    <row r="144" spans="1:7">
      <c r="A144" s="134">
        <v>4</v>
      </c>
      <c r="B144" s="135" t="s">
        <v>121</v>
      </c>
      <c r="C144" s="134">
        <v>1</v>
      </c>
      <c r="D144" s="134">
        <v>1</v>
      </c>
      <c r="E144" s="150">
        <v>25000</v>
      </c>
      <c r="F144" s="151">
        <f t="shared" si="8"/>
        <v>25000</v>
      </c>
      <c r="G144" s="160"/>
    </row>
    <row r="145" spans="1:7">
      <c r="A145" s="134">
        <v>5</v>
      </c>
      <c r="B145" s="135" t="s">
        <v>421</v>
      </c>
      <c r="C145" s="134">
        <v>1</v>
      </c>
      <c r="D145" s="134">
        <v>1</v>
      </c>
      <c r="E145" s="150">
        <v>2000</v>
      </c>
      <c r="F145" s="151">
        <f t="shared" si="8"/>
        <v>2000</v>
      </c>
      <c r="G145" s="160"/>
    </row>
    <row r="146" spans="1:7">
      <c r="A146" s="134">
        <v>6</v>
      </c>
      <c r="B146" s="135" t="s">
        <v>422</v>
      </c>
      <c r="C146" s="134">
        <v>1</v>
      </c>
      <c r="D146" s="134">
        <v>1</v>
      </c>
      <c r="E146" s="150">
        <v>2000</v>
      </c>
      <c r="F146" s="151">
        <f t="shared" si="8"/>
        <v>2000</v>
      </c>
      <c r="G146" s="160" t="s">
        <v>419</v>
      </c>
    </row>
    <row r="147" spans="1:7">
      <c r="A147" s="136" t="s">
        <v>299</v>
      </c>
      <c r="B147" s="136"/>
      <c r="C147" s="136"/>
      <c r="D147" s="136"/>
      <c r="E147" s="136"/>
      <c r="F147" s="154">
        <f>SUM(F141:F146)</f>
        <v>164000</v>
      </c>
      <c r="G147" s="155"/>
    </row>
    <row r="148" spans="1:7">
      <c r="A148" s="133"/>
      <c r="B148" s="132" t="s">
        <v>423</v>
      </c>
      <c r="C148" s="133"/>
      <c r="D148" s="133"/>
      <c r="E148" s="133"/>
      <c r="F148" s="133"/>
      <c r="G148" s="149"/>
    </row>
    <row r="149" spans="1:7">
      <c r="A149" s="134">
        <v>1</v>
      </c>
      <c r="B149" s="135" t="s">
        <v>424</v>
      </c>
      <c r="C149" s="134">
        <v>1</v>
      </c>
      <c r="D149" s="134">
        <v>1</v>
      </c>
      <c r="E149" s="150">
        <v>10000</v>
      </c>
      <c r="F149" s="151">
        <f>C149*D149*E149</f>
        <v>10000</v>
      </c>
      <c r="G149" s="135"/>
    </row>
    <row r="150" spans="1:7">
      <c r="A150" s="134">
        <v>2</v>
      </c>
      <c r="B150" s="135" t="s">
        <v>166</v>
      </c>
      <c r="C150" s="134">
        <v>1</v>
      </c>
      <c r="D150" s="134">
        <v>1</v>
      </c>
      <c r="E150" s="150">
        <v>10000</v>
      </c>
      <c r="F150" s="151">
        <f>C150*D150*E150</f>
        <v>10000</v>
      </c>
      <c r="G150" s="152"/>
    </row>
    <row r="151" spans="1:7">
      <c r="A151" s="136" t="s">
        <v>299</v>
      </c>
      <c r="B151" s="136"/>
      <c r="C151" s="136"/>
      <c r="D151" s="136"/>
      <c r="E151" s="136"/>
      <c r="F151" s="154">
        <f>SUM(F149:F150)</f>
        <v>20000</v>
      </c>
      <c r="G151" s="155"/>
    </row>
    <row r="152" spans="1:7">
      <c r="A152" s="162" t="s">
        <v>425</v>
      </c>
      <c r="B152" s="163"/>
      <c r="C152" s="164"/>
      <c r="D152" s="164"/>
      <c r="E152" s="164"/>
      <c r="F152" s="169" t="e">
        <f>SUM(F151,F147,F130,F97,F75,F64,F57,F43,F28,F11,F139)</f>
        <v>#REF!</v>
      </c>
      <c r="G152" s="170"/>
    </row>
    <row r="153" spans="1:7">
      <c r="A153" s="165"/>
      <c r="B153" s="166"/>
      <c r="C153" s="165"/>
      <c r="D153" s="165"/>
      <c r="E153" s="171" t="s">
        <v>426</v>
      </c>
      <c r="F153" s="172" t="e">
        <f>F152*4%</f>
        <v>#REF!</v>
      </c>
      <c r="G153" s="173"/>
    </row>
    <row r="154" spans="1:7">
      <c r="A154" s="134"/>
      <c r="B154" s="143"/>
      <c r="C154" s="134"/>
      <c r="D154" s="134"/>
      <c r="E154" s="171" t="s">
        <v>427</v>
      </c>
      <c r="F154" s="172" t="e">
        <f>(F152+F153)*6%</f>
        <v>#REF!</v>
      </c>
      <c r="G154" s="173"/>
    </row>
    <row r="155" spans="1:7">
      <c r="A155" s="167"/>
      <c r="B155" s="111"/>
      <c r="C155" s="168"/>
      <c r="D155" s="168"/>
      <c r="E155" s="174" t="s">
        <v>264</v>
      </c>
      <c r="F155" s="175" t="e">
        <f>SUM(F152:F154)</f>
        <v>#REF!</v>
      </c>
      <c r="G155" s="176"/>
    </row>
  </sheetData>
  <autoFilter xmlns:etc="http://www.wps.cn/officeDocument/2017/etCustomData" ref="A2:G155" etc:filterBottomFollowUsedRange="0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songshuangshuang</cp:lastModifiedBy>
  <dcterms:created xsi:type="dcterms:W3CDTF">2023-08-16T04:51:00Z</dcterms:created>
  <dcterms:modified xsi:type="dcterms:W3CDTF">2025-03-06T21:14:54Z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7E3D2D34A8C87C03CE9FC96714684AE1_43</vt:lpwstr>
  </property>
  <property fmtid="{D5CDD505-2E9C-101B-9397-08002B2CF9AE}" pid="3" name="KSOProductBuildVer">
    <vt:lpwstr>2052-6.15.1.8935</vt:lpwstr>
  </property>
</Properties>
</file>