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hidePivotFieldList="1"/>
  <xr:revisionPtr revIDLastSave="0" documentId="13_ncr:1_{C172E796-3034-4E06-AE5B-7492C6D4E56D}" xr6:coauthVersionLast="47" xr6:coauthVersionMax="47" xr10:uidLastSave="{00000000-0000-0000-0000-000000000000}"/>
  <bookViews>
    <workbookView xWindow="-120" yWindow="-120" windowWidth="29040" windowHeight="15840" tabRatio="679" activeTab="5" xr2:uid="{00000000-000D-0000-FFFF-FFFF00000000}"/>
  </bookViews>
  <sheets>
    <sheet name="使用说明" sheetId="20" state="hidden" r:id="rId1"/>
    <sheet name="框架条目清单" sheetId="21" state="hidden" r:id="rId2"/>
    <sheet name="本次清单文件-活动" sheetId="22" state="hidden" r:id="rId3"/>
    <sheet name="前序清单文件" sheetId="23" state="hidden" r:id="rId4"/>
    <sheet name="1.报价汇总" sheetId="15" r:id="rId5"/>
    <sheet name="2.报价结算清单" sheetId="14" r:id="rId6"/>
    <sheet name="3.框架内物料" sheetId="12" r:id="rId7"/>
  </sheets>
  <externalReferences>
    <externalReference r:id="rId8"/>
  </externalReferences>
  <definedNames>
    <definedName name="_xlnm._FilterDatabase" localSheetId="5" hidden="1">'2.报价结算清单'!$A$6:$W$188</definedName>
    <definedName name="_xlnm._FilterDatabase" localSheetId="6" hidden="1">'3.框架内物料'!$A$1:$I$583</definedName>
    <definedName name="_xlnm.Print_Area" localSheetId="5">'2.报价结算清单'!$A$1:$T$186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8" i="14" l="1"/>
  <c r="J137" i="14"/>
  <c r="J34" i="14"/>
  <c r="F511" i="12"/>
  <c r="J70" i="14"/>
  <c r="P70" i="14"/>
  <c r="L179" i="14"/>
  <c r="J179" i="14"/>
  <c r="P179" i="14"/>
  <c r="J29" i="14"/>
  <c r="J9" i="14"/>
  <c r="J10" i="14"/>
  <c r="J11" i="14"/>
  <c r="J124" i="14"/>
  <c r="P124" i="14"/>
  <c r="R124" i="14"/>
  <c r="P137" i="14"/>
  <c r="R137" i="14"/>
  <c r="J100" i="14"/>
  <c r="J98" i="14"/>
  <c r="J114" i="14"/>
  <c r="P114" i="14"/>
  <c r="R114" i="14"/>
  <c r="J105" i="14"/>
  <c r="P105" i="14"/>
  <c r="R105" i="14"/>
  <c r="J107" i="14"/>
  <c r="F224" i="12"/>
  <c r="J40" i="14"/>
  <c r="P40" i="14"/>
  <c r="I40" i="14"/>
  <c r="H40" i="14"/>
  <c r="J116" i="14"/>
  <c r="P157" i="14"/>
  <c r="R157" i="14"/>
  <c r="G157" i="14"/>
  <c r="P21" i="14"/>
  <c r="R21" i="14"/>
  <c r="J156" i="14"/>
  <c r="P156" i="14"/>
  <c r="R156" i="14"/>
  <c r="P155" i="14"/>
  <c r="R155" i="14"/>
  <c r="J139" i="14"/>
  <c r="P139" i="14"/>
  <c r="R139" i="14"/>
  <c r="J119" i="14"/>
  <c r="P119" i="14"/>
  <c r="R119" i="14"/>
  <c r="P88" i="14"/>
  <c r="R88" i="14"/>
  <c r="J111" i="14"/>
  <c r="P111" i="14"/>
  <c r="R111" i="14"/>
  <c r="J101" i="14"/>
  <c r="I63" i="14"/>
  <c r="H63" i="14"/>
  <c r="I129" i="14"/>
  <c r="H129" i="14"/>
  <c r="I128" i="14"/>
  <c r="H128" i="14"/>
  <c r="J158" i="14"/>
  <c r="P158" i="14"/>
  <c r="H160" i="14"/>
  <c r="J140" i="14"/>
  <c r="P140" i="14"/>
  <c r="I132" i="14"/>
  <c r="H132" i="14"/>
  <c r="I130" i="14"/>
  <c r="H130" i="14"/>
  <c r="J104" i="14"/>
  <c r="P104" i="14"/>
  <c r="R104" i="14"/>
  <c r="J123" i="14"/>
  <c r="P123" i="14"/>
  <c r="R123" i="14"/>
  <c r="J110" i="14"/>
  <c r="P110" i="14"/>
  <c r="R110" i="14"/>
  <c r="J120" i="14"/>
  <c r="J102" i="14"/>
  <c r="P107" i="14"/>
  <c r="R107" i="14"/>
  <c r="P96" i="14"/>
  <c r="R96" i="14"/>
  <c r="F518" i="12"/>
  <c r="J125" i="14"/>
  <c r="P125" i="14"/>
  <c r="P82" i="14"/>
  <c r="R82" i="14"/>
  <c r="P84" i="14"/>
  <c r="R84" i="14"/>
  <c r="P87" i="14"/>
  <c r="R87" i="14"/>
  <c r="F488" i="12"/>
  <c r="F489" i="12"/>
  <c r="F475" i="12"/>
  <c r="F504" i="12"/>
  <c r="J59" i="14"/>
  <c r="P59" i="14"/>
  <c r="F6" i="12"/>
  <c r="J13" i="14"/>
  <c r="P13" i="14"/>
  <c r="F147" i="12"/>
  <c r="J14" i="14"/>
  <c r="P14" i="14"/>
  <c r="F120" i="12"/>
  <c r="J15" i="14"/>
  <c r="P15" i="14"/>
  <c r="R15" i="14"/>
  <c r="F45" i="12"/>
  <c r="J17" i="14"/>
  <c r="P17" i="14"/>
  <c r="F68" i="12"/>
  <c r="J18" i="14"/>
  <c r="P18" i="14"/>
  <c r="F129" i="12"/>
  <c r="J19" i="14"/>
  <c r="P19" i="14"/>
  <c r="F130" i="12"/>
  <c r="J20" i="14"/>
  <c r="P20" i="14"/>
  <c r="F44" i="12"/>
  <c r="J22" i="14"/>
  <c r="P22" i="14"/>
  <c r="F204" i="12"/>
  <c r="J23" i="14"/>
  <c r="P23" i="14"/>
  <c r="R23" i="14"/>
  <c r="J24" i="14"/>
  <c r="P24" i="14"/>
  <c r="R24" i="14"/>
  <c r="J25" i="14"/>
  <c r="P25" i="14"/>
  <c r="R25" i="14"/>
  <c r="F150" i="12"/>
  <c r="J26" i="14"/>
  <c r="P26" i="14"/>
  <c r="F153" i="12"/>
  <c r="J27" i="14"/>
  <c r="P27" i="14"/>
  <c r="F159" i="12"/>
  <c r="J28" i="14"/>
  <c r="P28" i="14"/>
  <c r="F112" i="12"/>
  <c r="J36" i="14"/>
  <c r="P36" i="14"/>
  <c r="R36" i="14"/>
  <c r="J39" i="14"/>
  <c r="P39" i="14"/>
  <c r="R39" i="14"/>
  <c r="F219" i="12"/>
  <c r="J42" i="14"/>
  <c r="P42" i="14"/>
  <c r="F223" i="12"/>
  <c r="J43" i="14"/>
  <c r="P43" i="14"/>
  <c r="R46" i="14"/>
  <c r="P94" i="14"/>
  <c r="R94" i="14"/>
  <c r="P16" i="14"/>
  <c r="R16" i="14"/>
  <c r="P11" i="14"/>
  <c r="J8" i="14"/>
  <c r="P8" i="14"/>
  <c r="J122" i="14"/>
  <c r="P122" i="14"/>
  <c r="R122" i="14"/>
  <c r="J108" i="14"/>
  <c r="P108" i="14"/>
  <c r="R108" i="14"/>
  <c r="P45" i="14"/>
  <c r="R45" i="14"/>
  <c r="I17" i="14"/>
  <c r="H17" i="14"/>
  <c r="H15" i="14"/>
  <c r="I14" i="14"/>
  <c r="H14" i="14"/>
  <c r="I15" i="14"/>
  <c r="I20" i="14"/>
  <c r="H20" i="14"/>
  <c r="I19" i="14"/>
  <c r="H19" i="14"/>
  <c r="J152" i="14"/>
  <c r="P152" i="14"/>
  <c r="R152" i="14"/>
  <c r="J154" i="14"/>
  <c r="P154" i="14"/>
  <c r="R154" i="14"/>
  <c r="P81" i="14"/>
  <c r="R81" i="14"/>
  <c r="I81" i="14"/>
  <c r="H81" i="14"/>
  <c r="P7" i="14"/>
  <c r="P9" i="14"/>
  <c r="P10" i="14"/>
  <c r="J12" i="14"/>
  <c r="P12" i="14"/>
  <c r="P29" i="14"/>
  <c r="R29" i="14"/>
  <c r="J30" i="14"/>
  <c r="P30" i="14"/>
  <c r="R30" i="14"/>
  <c r="P31" i="14"/>
  <c r="R31" i="14"/>
  <c r="J32" i="14"/>
  <c r="P32" i="14"/>
  <c r="R32" i="14"/>
  <c r="J33" i="14"/>
  <c r="P33" i="14"/>
  <c r="R33" i="14"/>
  <c r="P34" i="14"/>
  <c r="R34" i="14"/>
  <c r="P35" i="14"/>
  <c r="R35" i="14"/>
  <c r="P37" i="14"/>
  <c r="R37" i="14"/>
  <c r="P38" i="14"/>
  <c r="R38" i="14"/>
  <c r="P41" i="14"/>
  <c r="R41" i="14"/>
  <c r="P44" i="14"/>
  <c r="R44" i="14"/>
  <c r="F495" i="12"/>
  <c r="J57" i="14"/>
  <c r="P57" i="14"/>
  <c r="J58" i="14"/>
  <c r="P58" i="14"/>
  <c r="J60" i="14"/>
  <c r="P60" i="14"/>
  <c r="K31" i="22"/>
  <c r="F566" i="12"/>
  <c r="J61" i="14"/>
  <c r="P61" i="14"/>
  <c r="P65" i="14"/>
  <c r="F508" i="12"/>
  <c r="J67" i="14"/>
  <c r="P67" i="14"/>
  <c r="F509" i="12"/>
  <c r="J68" i="14"/>
  <c r="P68" i="14"/>
  <c r="F510" i="12"/>
  <c r="J69" i="14"/>
  <c r="P69" i="14"/>
  <c r="P71" i="14"/>
  <c r="P79" i="14"/>
  <c r="P80" i="14"/>
  <c r="R80" i="14"/>
  <c r="P83" i="14"/>
  <c r="R83" i="14"/>
  <c r="P85" i="14"/>
  <c r="R85" i="14"/>
  <c r="P86" i="14"/>
  <c r="R86" i="14"/>
  <c r="P89" i="14"/>
  <c r="R89" i="14"/>
  <c r="P90" i="14"/>
  <c r="R90" i="14"/>
  <c r="P91" i="14"/>
  <c r="R91" i="14"/>
  <c r="P92" i="14"/>
  <c r="R92" i="14"/>
  <c r="P93" i="14"/>
  <c r="R93" i="14"/>
  <c r="P95" i="14"/>
  <c r="R95" i="14"/>
  <c r="J97" i="14"/>
  <c r="P97" i="14"/>
  <c r="R97" i="14"/>
  <c r="P98" i="14"/>
  <c r="R98" i="14"/>
  <c r="J99" i="14"/>
  <c r="P99" i="14"/>
  <c r="R99" i="14"/>
  <c r="P100" i="14"/>
  <c r="R100" i="14"/>
  <c r="P101" i="14"/>
  <c r="R101" i="14"/>
  <c r="P102" i="14"/>
  <c r="R102" i="14"/>
  <c r="J103" i="14"/>
  <c r="P103" i="14"/>
  <c r="R103" i="14"/>
  <c r="J106" i="14"/>
  <c r="P106" i="14"/>
  <c r="R106" i="14"/>
  <c r="J109" i="14"/>
  <c r="P109" i="14"/>
  <c r="R109" i="14"/>
  <c r="J112" i="14"/>
  <c r="P112" i="14"/>
  <c r="R112" i="14"/>
  <c r="J113" i="14"/>
  <c r="P113" i="14"/>
  <c r="R113" i="14"/>
  <c r="J115" i="14"/>
  <c r="P115" i="14"/>
  <c r="R115" i="14"/>
  <c r="P116" i="14"/>
  <c r="R116" i="14"/>
  <c r="J117" i="14"/>
  <c r="P117" i="14"/>
  <c r="R117" i="14"/>
  <c r="J118" i="14"/>
  <c r="P118" i="14"/>
  <c r="R118" i="14"/>
  <c r="P120" i="14"/>
  <c r="R120" i="14"/>
  <c r="J121" i="14"/>
  <c r="P121" i="14"/>
  <c r="R121" i="14"/>
  <c r="F525" i="12"/>
  <c r="J126" i="14"/>
  <c r="P126" i="14"/>
  <c r="R126" i="14"/>
  <c r="F528" i="12"/>
  <c r="J132" i="14"/>
  <c r="P132" i="14"/>
  <c r="J131" i="14"/>
  <c r="P131" i="14"/>
  <c r="R131" i="14"/>
  <c r="F531" i="12"/>
  <c r="J133" i="14"/>
  <c r="P133" i="14"/>
  <c r="F500" i="12"/>
  <c r="J64" i="14"/>
  <c r="P64" i="14"/>
  <c r="F280" i="12"/>
  <c r="J135" i="14"/>
  <c r="P135" i="14"/>
  <c r="R135" i="14"/>
  <c r="J136" i="14"/>
  <c r="P136" i="14"/>
  <c r="R136" i="14"/>
  <c r="P138" i="14"/>
  <c r="R138" i="14"/>
  <c r="J151" i="14"/>
  <c r="P151" i="14"/>
  <c r="P153" i="14"/>
  <c r="R153" i="14"/>
  <c r="J175" i="14"/>
  <c r="P160" i="14"/>
  <c r="P161" i="14"/>
  <c r="P162" i="14"/>
  <c r="P163" i="14"/>
  <c r="P164" i="14"/>
  <c r="J176" i="14"/>
  <c r="J48" i="14"/>
  <c r="P48" i="14"/>
  <c r="J50" i="14"/>
  <c r="P50" i="14"/>
  <c r="J52" i="14"/>
  <c r="P52" i="14"/>
  <c r="P49" i="14"/>
  <c r="P51" i="14"/>
  <c r="P53" i="14"/>
  <c r="P54" i="14"/>
  <c r="J177" i="14"/>
  <c r="J178" i="14"/>
  <c r="P142" i="14"/>
  <c r="A57" i="22"/>
  <c r="S57" i="22"/>
  <c r="E58" i="22"/>
  <c r="J143" i="14"/>
  <c r="P143" i="14"/>
  <c r="R143" i="14"/>
  <c r="J144" i="14"/>
  <c r="P144" i="14"/>
  <c r="R144" i="14"/>
  <c r="J145" i="14"/>
  <c r="P145" i="14"/>
  <c r="R145" i="14"/>
  <c r="J146" i="14"/>
  <c r="P146" i="14"/>
  <c r="R146" i="14"/>
  <c r="J147" i="14"/>
  <c r="P147" i="14"/>
  <c r="R147" i="14"/>
  <c r="J148" i="14"/>
  <c r="P148" i="14"/>
  <c r="R148" i="14"/>
  <c r="J149" i="14"/>
  <c r="P149" i="14"/>
  <c r="R149" i="14"/>
  <c r="J150" i="14"/>
  <c r="P150" i="14"/>
  <c r="R150" i="14"/>
  <c r="P170" i="14"/>
  <c r="P171" i="14"/>
  <c r="E74" i="22"/>
  <c r="P172" i="14"/>
  <c r="J180" i="14"/>
  <c r="P181" i="14"/>
  <c r="H80" i="22"/>
  <c r="J73" i="14"/>
  <c r="P73" i="14"/>
  <c r="J74" i="14"/>
  <c r="P74" i="14"/>
  <c r="I44" i="22"/>
  <c r="J75" i="14"/>
  <c r="P75" i="14"/>
  <c r="I45" i="22"/>
  <c r="J76" i="14"/>
  <c r="P76" i="14"/>
  <c r="P77" i="14"/>
  <c r="P166" i="14"/>
  <c r="P167" i="14"/>
  <c r="H142" i="14"/>
  <c r="I80" i="14"/>
  <c r="I82" i="14"/>
  <c r="I83" i="14"/>
  <c r="I131" i="14"/>
  <c r="I133" i="14"/>
  <c r="I64" i="14"/>
  <c r="I134" i="14"/>
  <c r="H131" i="14"/>
  <c r="H133" i="14"/>
  <c r="H64" i="14"/>
  <c r="H134" i="14"/>
  <c r="I126" i="14"/>
  <c r="I127" i="14"/>
  <c r="H126" i="14"/>
  <c r="H127" i="14"/>
  <c r="I86" i="14"/>
  <c r="H86" i="14"/>
  <c r="G86" i="14"/>
  <c r="H80" i="14"/>
  <c r="I59" i="14"/>
  <c r="H59" i="14"/>
  <c r="I60" i="14"/>
  <c r="H60" i="14"/>
  <c r="I57" i="14"/>
  <c r="H57" i="14"/>
  <c r="I43" i="14"/>
  <c r="H43" i="14"/>
  <c r="I42" i="14"/>
  <c r="H42" i="14"/>
  <c r="I39" i="14"/>
  <c r="H39" i="14"/>
  <c r="I36" i="14"/>
  <c r="H36" i="14"/>
  <c r="I27" i="14"/>
  <c r="I28" i="14"/>
  <c r="H27" i="14"/>
  <c r="H28" i="14"/>
  <c r="I22" i="14"/>
  <c r="I23" i="14"/>
  <c r="I24" i="14"/>
  <c r="I25" i="14"/>
  <c r="I26" i="14"/>
  <c r="I18" i="14"/>
  <c r="I13" i="14"/>
  <c r="H22" i="14"/>
  <c r="H23" i="14"/>
  <c r="H24" i="14"/>
  <c r="H25" i="14"/>
  <c r="H26" i="14"/>
  <c r="H18" i="14"/>
  <c r="H13" i="14"/>
  <c r="I12" i="14"/>
  <c r="H12" i="14"/>
  <c r="F3" i="12"/>
  <c r="F4" i="12"/>
  <c r="F5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3" i="12"/>
  <c r="F114" i="12"/>
  <c r="F115" i="12"/>
  <c r="F116" i="12"/>
  <c r="F117" i="12"/>
  <c r="F118" i="12"/>
  <c r="F119" i="12"/>
  <c r="F121" i="12"/>
  <c r="F122" i="12"/>
  <c r="F123" i="12"/>
  <c r="F124" i="12"/>
  <c r="F125" i="12"/>
  <c r="F126" i="12"/>
  <c r="F127" i="12"/>
  <c r="F128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8" i="12"/>
  <c r="F149" i="12"/>
  <c r="F151" i="12"/>
  <c r="F152" i="12"/>
  <c r="F154" i="12"/>
  <c r="F155" i="12"/>
  <c r="F156" i="12"/>
  <c r="F157" i="12"/>
  <c r="F158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20" i="12"/>
  <c r="F221" i="12"/>
  <c r="F222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1" i="12"/>
  <c r="J134" i="14"/>
  <c r="P134" i="14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90" i="12"/>
  <c r="F491" i="12"/>
  <c r="F492" i="12"/>
  <c r="F493" i="12"/>
  <c r="F494" i="12"/>
  <c r="F496" i="12"/>
  <c r="F497" i="12"/>
  <c r="F498" i="12"/>
  <c r="F499" i="12"/>
  <c r="F501" i="12"/>
  <c r="F502" i="12"/>
  <c r="F503" i="12"/>
  <c r="F505" i="12"/>
  <c r="F506" i="12"/>
  <c r="J63" i="14"/>
  <c r="P63" i="14"/>
  <c r="F507" i="12"/>
  <c r="F512" i="12"/>
  <c r="F513" i="12"/>
  <c r="F514" i="12"/>
  <c r="F515" i="12"/>
  <c r="F516" i="12"/>
  <c r="F517" i="12"/>
  <c r="F519" i="12"/>
  <c r="F520" i="12"/>
  <c r="F521" i="12"/>
  <c r="F522" i="12"/>
  <c r="F523" i="12"/>
  <c r="F524" i="12"/>
  <c r="F526" i="12"/>
  <c r="J128" i="14"/>
  <c r="P128" i="14"/>
  <c r="R128" i="14"/>
  <c r="F527" i="12"/>
  <c r="J129" i="14"/>
  <c r="P129" i="14"/>
  <c r="I527" i="12"/>
  <c r="F529" i="12"/>
  <c r="F530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7" i="12"/>
  <c r="F568" i="12"/>
  <c r="F569" i="12"/>
  <c r="F570" i="12"/>
  <c r="F571" i="12"/>
  <c r="F572" i="12"/>
  <c r="F2" i="12"/>
  <c r="I177" i="14"/>
  <c r="H177" i="14"/>
  <c r="G177" i="14"/>
  <c r="I178" i="14"/>
  <c r="H178" i="14"/>
  <c r="G178" i="14"/>
  <c r="I176" i="14"/>
  <c r="H176" i="14"/>
  <c r="G176" i="14"/>
  <c r="I179" i="14"/>
  <c r="H179" i="14"/>
  <c r="G179" i="14"/>
  <c r="A83" i="22"/>
  <c r="R83" i="22"/>
  <c r="C83" i="22"/>
  <c r="D83" i="22"/>
  <c r="E83" i="22"/>
  <c r="G83" i="22"/>
  <c r="H83" i="22"/>
  <c r="I83" i="22"/>
  <c r="J83" i="22"/>
  <c r="K83" i="22"/>
  <c r="L83" i="22"/>
  <c r="O83" i="22"/>
  <c r="P83" i="22"/>
  <c r="A86" i="22"/>
  <c r="S86" i="22"/>
  <c r="C86" i="22"/>
  <c r="D86" i="22"/>
  <c r="E86" i="22"/>
  <c r="G86" i="22"/>
  <c r="H86" i="22"/>
  <c r="I86" i="22"/>
  <c r="J86" i="22"/>
  <c r="K86" i="22"/>
  <c r="L86" i="22"/>
  <c r="O86" i="22"/>
  <c r="P86" i="22"/>
  <c r="A87" i="22"/>
  <c r="S87" i="22"/>
  <c r="C87" i="22"/>
  <c r="D87" i="22"/>
  <c r="E87" i="22"/>
  <c r="G87" i="22"/>
  <c r="H87" i="22"/>
  <c r="I87" i="22"/>
  <c r="J87" i="22"/>
  <c r="K87" i="22"/>
  <c r="L87" i="22"/>
  <c r="O87" i="22"/>
  <c r="P87" i="22"/>
  <c r="A88" i="22"/>
  <c r="R88" i="22"/>
  <c r="C88" i="22"/>
  <c r="D88" i="22"/>
  <c r="E88" i="22"/>
  <c r="G88" i="22"/>
  <c r="H88" i="22"/>
  <c r="I88" i="22"/>
  <c r="J88" i="22"/>
  <c r="K88" i="22"/>
  <c r="L88" i="22"/>
  <c r="O88" i="22"/>
  <c r="P88" i="22"/>
  <c r="A89" i="22"/>
  <c r="S89" i="22"/>
  <c r="C89" i="22"/>
  <c r="D89" i="22"/>
  <c r="E89" i="22"/>
  <c r="G89" i="22"/>
  <c r="H89" i="22"/>
  <c r="I89" i="22"/>
  <c r="J89" i="22"/>
  <c r="K89" i="22"/>
  <c r="L89" i="22"/>
  <c r="O89" i="22"/>
  <c r="P89" i="22"/>
  <c r="A90" i="22"/>
  <c r="S90" i="22"/>
  <c r="C90" i="22"/>
  <c r="D90" i="22"/>
  <c r="E90" i="22"/>
  <c r="G90" i="22"/>
  <c r="H90" i="22"/>
  <c r="I90" i="22"/>
  <c r="J90" i="22"/>
  <c r="K90" i="22"/>
  <c r="L90" i="22"/>
  <c r="O90" i="22"/>
  <c r="P90" i="22"/>
  <c r="A91" i="22"/>
  <c r="R91" i="22"/>
  <c r="C91" i="22"/>
  <c r="D91" i="22"/>
  <c r="E91" i="22"/>
  <c r="G91" i="22"/>
  <c r="H91" i="22"/>
  <c r="I91" i="22"/>
  <c r="J91" i="22"/>
  <c r="K91" i="22"/>
  <c r="L91" i="22"/>
  <c r="O91" i="22"/>
  <c r="P91" i="22"/>
  <c r="A92" i="22"/>
  <c r="R92" i="22"/>
  <c r="C92" i="22"/>
  <c r="D92" i="22"/>
  <c r="E92" i="22"/>
  <c r="G92" i="22"/>
  <c r="H92" i="22"/>
  <c r="I92" i="22"/>
  <c r="J92" i="22"/>
  <c r="K92" i="22"/>
  <c r="L92" i="22"/>
  <c r="O92" i="22"/>
  <c r="P92" i="22"/>
  <c r="A93" i="22"/>
  <c r="F93" i="22"/>
  <c r="C93" i="22"/>
  <c r="D93" i="22"/>
  <c r="E93" i="22"/>
  <c r="G93" i="22"/>
  <c r="H93" i="22"/>
  <c r="I93" i="22"/>
  <c r="J93" i="22"/>
  <c r="K93" i="22"/>
  <c r="L93" i="22"/>
  <c r="O93" i="22"/>
  <c r="P93" i="22"/>
  <c r="A94" i="22"/>
  <c r="B94" i="22"/>
  <c r="C94" i="22"/>
  <c r="D94" i="22"/>
  <c r="E94" i="22"/>
  <c r="G94" i="22"/>
  <c r="H94" i="22"/>
  <c r="I94" i="22"/>
  <c r="J94" i="22"/>
  <c r="K94" i="22"/>
  <c r="L94" i="22"/>
  <c r="O94" i="22"/>
  <c r="P94" i="22"/>
  <c r="A95" i="22"/>
  <c r="R95" i="22"/>
  <c r="C95" i="22"/>
  <c r="D95" i="22"/>
  <c r="E95" i="22"/>
  <c r="G95" i="22"/>
  <c r="H95" i="22"/>
  <c r="I95" i="22"/>
  <c r="J95" i="22"/>
  <c r="K95" i="22"/>
  <c r="L95" i="22"/>
  <c r="O95" i="22"/>
  <c r="P95" i="22"/>
  <c r="A96" i="22"/>
  <c r="B96" i="22"/>
  <c r="C96" i="22"/>
  <c r="D96" i="22"/>
  <c r="E96" i="22"/>
  <c r="G96" i="22"/>
  <c r="H96" i="22"/>
  <c r="I96" i="22"/>
  <c r="J96" i="22"/>
  <c r="K96" i="22"/>
  <c r="L96" i="22"/>
  <c r="O96" i="22"/>
  <c r="P96" i="22"/>
  <c r="A97" i="22"/>
  <c r="C97" i="22"/>
  <c r="D97" i="22"/>
  <c r="E97" i="22"/>
  <c r="G97" i="22"/>
  <c r="H97" i="22"/>
  <c r="I97" i="22"/>
  <c r="J97" i="22"/>
  <c r="K97" i="22"/>
  <c r="L97" i="22"/>
  <c r="O97" i="22"/>
  <c r="P97" i="22"/>
  <c r="A98" i="22"/>
  <c r="M98" i="22"/>
  <c r="C98" i="22"/>
  <c r="D98" i="22"/>
  <c r="E98" i="22"/>
  <c r="G98" i="22"/>
  <c r="H98" i="22"/>
  <c r="I98" i="22"/>
  <c r="J98" i="22"/>
  <c r="K98" i="22"/>
  <c r="L98" i="22"/>
  <c r="O98" i="22"/>
  <c r="P98" i="22"/>
  <c r="A99" i="22"/>
  <c r="S99" i="22"/>
  <c r="C99" i="22"/>
  <c r="D99" i="22"/>
  <c r="E99" i="22"/>
  <c r="G99" i="22"/>
  <c r="H99" i="22"/>
  <c r="I99" i="22"/>
  <c r="J99" i="22"/>
  <c r="K99" i="22"/>
  <c r="L99" i="22"/>
  <c r="O99" i="22"/>
  <c r="P99" i="22"/>
  <c r="A100" i="22"/>
  <c r="F100" i="22"/>
  <c r="U100" i="22"/>
  <c r="C100" i="22"/>
  <c r="D100" i="22"/>
  <c r="E100" i="22"/>
  <c r="G100" i="22"/>
  <c r="H100" i="22"/>
  <c r="I100" i="22"/>
  <c r="J100" i="22"/>
  <c r="K100" i="22"/>
  <c r="L100" i="22"/>
  <c r="O100" i="22"/>
  <c r="P100" i="22"/>
  <c r="A101" i="22"/>
  <c r="S101" i="22"/>
  <c r="C101" i="22"/>
  <c r="D101" i="22"/>
  <c r="E101" i="22"/>
  <c r="G101" i="22"/>
  <c r="H101" i="22"/>
  <c r="I101" i="22"/>
  <c r="J101" i="22"/>
  <c r="K101" i="22"/>
  <c r="L101" i="22"/>
  <c r="O101" i="22"/>
  <c r="P101" i="22"/>
  <c r="A102" i="22"/>
  <c r="S102" i="22"/>
  <c r="C102" i="22"/>
  <c r="D102" i="22"/>
  <c r="E102" i="22"/>
  <c r="G102" i="22"/>
  <c r="H102" i="22"/>
  <c r="I102" i="22"/>
  <c r="J102" i="22"/>
  <c r="K102" i="22"/>
  <c r="L102" i="22"/>
  <c r="O102" i="22"/>
  <c r="P102" i="22"/>
  <c r="A103" i="22"/>
  <c r="M103" i="22"/>
  <c r="C103" i="22"/>
  <c r="D103" i="22"/>
  <c r="E103" i="22"/>
  <c r="G103" i="22"/>
  <c r="H103" i="22"/>
  <c r="I103" i="22"/>
  <c r="J103" i="22"/>
  <c r="K103" i="22"/>
  <c r="L103" i="22"/>
  <c r="O103" i="22"/>
  <c r="P103" i="22"/>
  <c r="A104" i="22"/>
  <c r="S104" i="22"/>
  <c r="C104" i="22"/>
  <c r="D104" i="22"/>
  <c r="E104" i="22"/>
  <c r="G104" i="22"/>
  <c r="H104" i="22"/>
  <c r="I104" i="22"/>
  <c r="J104" i="22"/>
  <c r="K104" i="22"/>
  <c r="L104" i="22"/>
  <c r="O104" i="22"/>
  <c r="P104" i="22"/>
  <c r="A105" i="22"/>
  <c r="M105" i="22"/>
  <c r="C105" i="22"/>
  <c r="D105" i="22"/>
  <c r="E105" i="22"/>
  <c r="G105" i="22"/>
  <c r="H105" i="22"/>
  <c r="I105" i="22"/>
  <c r="J105" i="22"/>
  <c r="K105" i="22"/>
  <c r="L105" i="22"/>
  <c r="O105" i="22"/>
  <c r="P105" i="22"/>
  <c r="A106" i="22"/>
  <c r="B106" i="22"/>
  <c r="C106" i="22"/>
  <c r="D106" i="22"/>
  <c r="E106" i="22"/>
  <c r="G106" i="22"/>
  <c r="H106" i="22"/>
  <c r="I106" i="22"/>
  <c r="J106" i="22"/>
  <c r="K106" i="22"/>
  <c r="L106" i="22"/>
  <c r="O106" i="22"/>
  <c r="P106" i="22"/>
  <c r="A107" i="22"/>
  <c r="C107" i="22"/>
  <c r="D107" i="22"/>
  <c r="E107" i="22"/>
  <c r="G107" i="22"/>
  <c r="H107" i="22"/>
  <c r="I107" i="22"/>
  <c r="J107" i="22"/>
  <c r="K107" i="22"/>
  <c r="L107" i="22"/>
  <c r="O107" i="22"/>
  <c r="P107" i="22"/>
  <c r="A108" i="22"/>
  <c r="M108" i="22"/>
  <c r="C108" i="22"/>
  <c r="D108" i="22"/>
  <c r="E108" i="22"/>
  <c r="G108" i="22"/>
  <c r="H108" i="22"/>
  <c r="I108" i="22"/>
  <c r="J108" i="22"/>
  <c r="K108" i="22"/>
  <c r="L108" i="22"/>
  <c r="O108" i="22"/>
  <c r="P108" i="22"/>
  <c r="A109" i="22"/>
  <c r="B109" i="22"/>
  <c r="C109" i="22"/>
  <c r="D109" i="22"/>
  <c r="E109" i="22"/>
  <c r="G109" i="22"/>
  <c r="H109" i="22"/>
  <c r="I109" i="22"/>
  <c r="J109" i="22"/>
  <c r="K109" i="22"/>
  <c r="L109" i="22"/>
  <c r="O109" i="22"/>
  <c r="P109" i="22"/>
  <c r="A110" i="22"/>
  <c r="M110" i="22"/>
  <c r="C110" i="22"/>
  <c r="D110" i="22"/>
  <c r="E110" i="22"/>
  <c r="G110" i="22"/>
  <c r="H110" i="22"/>
  <c r="I110" i="22"/>
  <c r="J110" i="22"/>
  <c r="K110" i="22"/>
  <c r="L110" i="22"/>
  <c r="O110" i="22"/>
  <c r="P110" i="22"/>
  <c r="A111" i="22"/>
  <c r="F111" i="22"/>
  <c r="U111" i="22"/>
  <c r="C111" i="22"/>
  <c r="D111" i="22"/>
  <c r="E111" i="22"/>
  <c r="G111" i="22"/>
  <c r="H111" i="22"/>
  <c r="I111" i="22"/>
  <c r="J111" i="22"/>
  <c r="K111" i="22"/>
  <c r="L111" i="22"/>
  <c r="O111" i="22"/>
  <c r="P111" i="22"/>
  <c r="A112" i="22"/>
  <c r="B112" i="22"/>
  <c r="C112" i="22"/>
  <c r="D112" i="22"/>
  <c r="E112" i="22"/>
  <c r="G112" i="22"/>
  <c r="H112" i="22"/>
  <c r="I112" i="22"/>
  <c r="J112" i="22"/>
  <c r="K112" i="22"/>
  <c r="L112" i="22"/>
  <c r="O112" i="22"/>
  <c r="P112" i="22"/>
  <c r="A113" i="22"/>
  <c r="S113" i="22"/>
  <c r="C113" i="22"/>
  <c r="D113" i="22"/>
  <c r="E113" i="22"/>
  <c r="G113" i="22"/>
  <c r="H113" i="22"/>
  <c r="I113" i="22"/>
  <c r="J113" i="22"/>
  <c r="K113" i="22"/>
  <c r="L113" i="22"/>
  <c r="O113" i="22"/>
  <c r="P113" i="22"/>
  <c r="A114" i="22"/>
  <c r="S114" i="22"/>
  <c r="C114" i="22"/>
  <c r="D114" i="22"/>
  <c r="E114" i="22"/>
  <c r="G114" i="22"/>
  <c r="H114" i="22"/>
  <c r="I114" i="22"/>
  <c r="J114" i="22"/>
  <c r="K114" i="22"/>
  <c r="L114" i="22"/>
  <c r="O114" i="22"/>
  <c r="P114" i="22"/>
  <c r="A115" i="22"/>
  <c r="R115" i="22"/>
  <c r="C115" i="22"/>
  <c r="D115" i="22"/>
  <c r="E115" i="22"/>
  <c r="G115" i="22"/>
  <c r="H115" i="22"/>
  <c r="I115" i="22"/>
  <c r="J115" i="22"/>
  <c r="K115" i="22"/>
  <c r="L115" i="22"/>
  <c r="O115" i="22"/>
  <c r="P115" i="22"/>
  <c r="A116" i="22"/>
  <c r="B116" i="22"/>
  <c r="C116" i="22"/>
  <c r="D116" i="22"/>
  <c r="E116" i="22"/>
  <c r="G116" i="22"/>
  <c r="H116" i="22"/>
  <c r="I116" i="22"/>
  <c r="J116" i="22"/>
  <c r="K116" i="22"/>
  <c r="L116" i="22"/>
  <c r="O116" i="22"/>
  <c r="P116" i="22"/>
  <c r="A117" i="22"/>
  <c r="R117" i="22"/>
  <c r="C117" i="22"/>
  <c r="D117" i="22"/>
  <c r="E117" i="22"/>
  <c r="G117" i="22"/>
  <c r="H117" i="22"/>
  <c r="I117" i="22"/>
  <c r="J117" i="22"/>
  <c r="K117" i="22"/>
  <c r="L117" i="22"/>
  <c r="O117" i="22"/>
  <c r="P117" i="22"/>
  <c r="A118" i="22"/>
  <c r="M118" i="22"/>
  <c r="C118" i="22"/>
  <c r="D118" i="22"/>
  <c r="E118" i="22"/>
  <c r="G118" i="22"/>
  <c r="H118" i="22"/>
  <c r="I118" i="22"/>
  <c r="J118" i="22"/>
  <c r="K118" i="22"/>
  <c r="L118" i="22"/>
  <c r="O118" i="22"/>
  <c r="P118" i="22"/>
  <c r="A119" i="22"/>
  <c r="R119" i="22"/>
  <c r="C119" i="22"/>
  <c r="D119" i="22"/>
  <c r="E119" i="22"/>
  <c r="G119" i="22"/>
  <c r="H119" i="22"/>
  <c r="I119" i="22"/>
  <c r="J119" i="22"/>
  <c r="K119" i="22"/>
  <c r="L119" i="22"/>
  <c r="O119" i="22"/>
  <c r="P119" i="22"/>
  <c r="A120" i="22"/>
  <c r="B120" i="22"/>
  <c r="C120" i="22"/>
  <c r="D120" i="22"/>
  <c r="E120" i="22"/>
  <c r="G120" i="22"/>
  <c r="H120" i="22"/>
  <c r="I120" i="22"/>
  <c r="J120" i="22"/>
  <c r="K120" i="22"/>
  <c r="L120" i="22"/>
  <c r="O120" i="22"/>
  <c r="P120" i="22"/>
  <c r="A121" i="22"/>
  <c r="M121" i="22"/>
  <c r="C121" i="22"/>
  <c r="D121" i="22"/>
  <c r="E121" i="22"/>
  <c r="G121" i="22"/>
  <c r="H121" i="22"/>
  <c r="I121" i="22"/>
  <c r="J121" i="22"/>
  <c r="K121" i="22"/>
  <c r="L121" i="22"/>
  <c r="O121" i="22"/>
  <c r="P121" i="22"/>
  <c r="A122" i="22"/>
  <c r="F122" i="22"/>
  <c r="V122" i="22"/>
  <c r="C122" i="22"/>
  <c r="D122" i="22"/>
  <c r="E122" i="22"/>
  <c r="G122" i="22"/>
  <c r="H122" i="22"/>
  <c r="I122" i="22"/>
  <c r="J122" i="22"/>
  <c r="K122" i="22"/>
  <c r="L122" i="22"/>
  <c r="O122" i="22"/>
  <c r="P122" i="22"/>
  <c r="A123" i="22"/>
  <c r="S123" i="22"/>
  <c r="C123" i="22"/>
  <c r="D123" i="22"/>
  <c r="E123" i="22"/>
  <c r="G123" i="22"/>
  <c r="H123" i="22"/>
  <c r="I123" i="22"/>
  <c r="J123" i="22"/>
  <c r="K123" i="22"/>
  <c r="L123" i="22"/>
  <c r="O123" i="22"/>
  <c r="P123" i="22"/>
  <c r="A124" i="22"/>
  <c r="R124" i="22"/>
  <c r="C124" i="22"/>
  <c r="D124" i="22"/>
  <c r="E124" i="22"/>
  <c r="G124" i="22"/>
  <c r="H124" i="22"/>
  <c r="I124" i="22"/>
  <c r="J124" i="22"/>
  <c r="K124" i="22"/>
  <c r="L124" i="22"/>
  <c r="O124" i="22"/>
  <c r="P124" i="22"/>
  <c r="A125" i="22"/>
  <c r="B125" i="22"/>
  <c r="C125" i="22"/>
  <c r="D125" i="22"/>
  <c r="E125" i="22"/>
  <c r="G125" i="22"/>
  <c r="H125" i="22"/>
  <c r="I125" i="22"/>
  <c r="J125" i="22"/>
  <c r="K125" i="22"/>
  <c r="L125" i="22"/>
  <c r="O125" i="22"/>
  <c r="P125" i="22"/>
  <c r="A126" i="22"/>
  <c r="B126" i="22"/>
  <c r="C126" i="22"/>
  <c r="D126" i="22"/>
  <c r="E126" i="22"/>
  <c r="G126" i="22"/>
  <c r="H126" i="22"/>
  <c r="I126" i="22"/>
  <c r="J126" i="22"/>
  <c r="K126" i="22"/>
  <c r="L126" i="22"/>
  <c r="O126" i="22"/>
  <c r="P126" i="22"/>
  <c r="A127" i="22"/>
  <c r="F127" i="22"/>
  <c r="U127" i="22"/>
  <c r="C127" i="22"/>
  <c r="D127" i="22"/>
  <c r="E127" i="22"/>
  <c r="G127" i="22"/>
  <c r="H127" i="22"/>
  <c r="I127" i="22"/>
  <c r="J127" i="22"/>
  <c r="K127" i="22"/>
  <c r="L127" i="22"/>
  <c r="O127" i="22"/>
  <c r="P127" i="22"/>
  <c r="A128" i="22"/>
  <c r="R128" i="22"/>
  <c r="C128" i="22"/>
  <c r="D128" i="22"/>
  <c r="E128" i="22"/>
  <c r="G128" i="22"/>
  <c r="H128" i="22"/>
  <c r="I128" i="22"/>
  <c r="J128" i="22"/>
  <c r="K128" i="22"/>
  <c r="L128" i="22"/>
  <c r="O128" i="22"/>
  <c r="P128" i="22"/>
  <c r="A129" i="22"/>
  <c r="M129" i="22"/>
  <c r="C129" i="22"/>
  <c r="D129" i="22"/>
  <c r="E129" i="22"/>
  <c r="G129" i="22"/>
  <c r="H129" i="22"/>
  <c r="I129" i="22"/>
  <c r="J129" i="22"/>
  <c r="K129" i="22"/>
  <c r="L129" i="22"/>
  <c r="O129" i="22"/>
  <c r="P129" i="22"/>
  <c r="A130" i="22"/>
  <c r="S130" i="22"/>
  <c r="C130" i="22"/>
  <c r="D130" i="22"/>
  <c r="E130" i="22"/>
  <c r="G130" i="22"/>
  <c r="H130" i="22"/>
  <c r="I130" i="22"/>
  <c r="J130" i="22"/>
  <c r="K130" i="22"/>
  <c r="L130" i="22"/>
  <c r="O130" i="22"/>
  <c r="P130" i="22"/>
  <c r="A131" i="22"/>
  <c r="B131" i="22"/>
  <c r="C131" i="22"/>
  <c r="D131" i="22"/>
  <c r="E131" i="22"/>
  <c r="G131" i="22"/>
  <c r="H131" i="22"/>
  <c r="I131" i="22"/>
  <c r="J131" i="22"/>
  <c r="K131" i="22"/>
  <c r="L131" i="22"/>
  <c r="O131" i="22"/>
  <c r="P131" i="22"/>
  <c r="A132" i="22"/>
  <c r="S132" i="22"/>
  <c r="C132" i="22"/>
  <c r="D132" i="22"/>
  <c r="E132" i="22"/>
  <c r="G132" i="22"/>
  <c r="H132" i="22"/>
  <c r="I132" i="22"/>
  <c r="J132" i="22"/>
  <c r="K132" i="22"/>
  <c r="L132" i="22"/>
  <c r="O132" i="22"/>
  <c r="P132" i="22"/>
  <c r="A133" i="22"/>
  <c r="S133" i="22"/>
  <c r="C133" i="22"/>
  <c r="D133" i="22"/>
  <c r="E133" i="22"/>
  <c r="G133" i="22"/>
  <c r="H133" i="22"/>
  <c r="I133" i="22"/>
  <c r="J133" i="22"/>
  <c r="K133" i="22"/>
  <c r="L133" i="22"/>
  <c r="O133" i="22"/>
  <c r="P133" i="22"/>
  <c r="A134" i="22"/>
  <c r="F134" i="22"/>
  <c r="C134" i="22"/>
  <c r="D134" i="22"/>
  <c r="E134" i="22"/>
  <c r="G134" i="22"/>
  <c r="H134" i="22"/>
  <c r="I134" i="22"/>
  <c r="J134" i="22"/>
  <c r="K134" i="22"/>
  <c r="L134" i="22"/>
  <c r="O134" i="22"/>
  <c r="P134" i="22"/>
  <c r="A135" i="22"/>
  <c r="M135" i="22"/>
  <c r="C135" i="22"/>
  <c r="D135" i="22"/>
  <c r="E135" i="22"/>
  <c r="G135" i="22"/>
  <c r="H135" i="22"/>
  <c r="I135" i="22"/>
  <c r="J135" i="22"/>
  <c r="K135" i="22"/>
  <c r="L135" i="22"/>
  <c r="O135" i="22"/>
  <c r="P135" i="22"/>
  <c r="A136" i="22"/>
  <c r="S136" i="22"/>
  <c r="C136" i="22"/>
  <c r="D136" i="22"/>
  <c r="E136" i="22"/>
  <c r="G136" i="22"/>
  <c r="H136" i="22"/>
  <c r="I136" i="22"/>
  <c r="J136" i="22"/>
  <c r="K136" i="22"/>
  <c r="L136" i="22"/>
  <c r="O136" i="22"/>
  <c r="P136" i="22"/>
  <c r="A137" i="22"/>
  <c r="F137" i="22"/>
  <c r="T137" i="22"/>
  <c r="C137" i="22"/>
  <c r="D137" i="22"/>
  <c r="E137" i="22"/>
  <c r="G137" i="22"/>
  <c r="H137" i="22"/>
  <c r="I137" i="22"/>
  <c r="J137" i="22"/>
  <c r="K137" i="22"/>
  <c r="L137" i="22"/>
  <c r="O137" i="22"/>
  <c r="P137" i="22"/>
  <c r="A138" i="22"/>
  <c r="S138" i="22"/>
  <c r="C138" i="22"/>
  <c r="D138" i="22"/>
  <c r="E138" i="22"/>
  <c r="G138" i="22"/>
  <c r="H138" i="22"/>
  <c r="I138" i="22"/>
  <c r="J138" i="22"/>
  <c r="K138" i="22"/>
  <c r="L138" i="22"/>
  <c r="O138" i="22"/>
  <c r="P138" i="22"/>
  <c r="A139" i="22"/>
  <c r="M139" i="22"/>
  <c r="C139" i="22"/>
  <c r="D139" i="22"/>
  <c r="E139" i="22"/>
  <c r="G139" i="22"/>
  <c r="H139" i="22"/>
  <c r="I139" i="22"/>
  <c r="J139" i="22"/>
  <c r="K139" i="22"/>
  <c r="L139" i="22"/>
  <c r="O139" i="22"/>
  <c r="P139" i="22"/>
  <c r="A140" i="22"/>
  <c r="S140" i="22"/>
  <c r="C140" i="22"/>
  <c r="D140" i="22"/>
  <c r="E140" i="22"/>
  <c r="G140" i="22"/>
  <c r="H140" i="22"/>
  <c r="I140" i="22"/>
  <c r="J140" i="22"/>
  <c r="K140" i="22"/>
  <c r="L140" i="22"/>
  <c r="O140" i="22"/>
  <c r="P140" i="22"/>
  <c r="A141" i="22"/>
  <c r="F141" i="22"/>
  <c r="C141" i="22"/>
  <c r="D141" i="22"/>
  <c r="E141" i="22"/>
  <c r="G141" i="22"/>
  <c r="H141" i="22"/>
  <c r="I141" i="22"/>
  <c r="J141" i="22"/>
  <c r="K141" i="22"/>
  <c r="L141" i="22"/>
  <c r="O141" i="22"/>
  <c r="P141" i="22"/>
  <c r="A142" i="22"/>
  <c r="M142" i="22"/>
  <c r="C142" i="22"/>
  <c r="D142" i="22"/>
  <c r="E142" i="22"/>
  <c r="G142" i="22"/>
  <c r="H142" i="22"/>
  <c r="I142" i="22"/>
  <c r="J142" i="22"/>
  <c r="K142" i="22"/>
  <c r="L142" i="22"/>
  <c r="O142" i="22"/>
  <c r="P142" i="22"/>
  <c r="A143" i="22"/>
  <c r="R143" i="22"/>
  <c r="C143" i="22"/>
  <c r="D143" i="22"/>
  <c r="E143" i="22"/>
  <c r="G143" i="22"/>
  <c r="H143" i="22"/>
  <c r="I143" i="22"/>
  <c r="J143" i="22"/>
  <c r="K143" i="22"/>
  <c r="L143" i="22"/>
  <c r="O143" i="22"/>
  <c r="P143" i="22"/>
  <c r="A144" i="22"/>
  <c r="C144" i="22"/>
  <c r="D144" i="22"/>
  <c r="E144" i="22"/>
  <c r="G144" i="22"/>
  <c r="H144" i="22"/>
  <c r="I144" i="22"/>
  <c r="J144" i="22"/>
  <c r="K144" i="22"/>
  <c r="L144" i="22"/>
  <c r="O144" i="22"/>
  <c r="P144" i="22"/>
  <c r="A145" i="22"/>
  <c r="F145" i="22"/>
  <c r="C145" i="22"/>
  <c r="D145" i="22"/>
  <c r="E145" i="22"/>
  <c r="G145" i="22"/>
  <c r="H145" i="22"/>
  <c r="I145" i="22"/>
  <c r="J145" i="22"/>
  <c r="K145" i="22"/>
  <c r="L145" i="22"/>
  <c r="O145" i="22"/>
  <c r="P145" i="22"/>
  <c r="A146" i="22"/>
  <c r="B146" i="22"/>
  <c r="C146" i="22"/>
  <c r="D146" i="22"/>
  <c r="E146" i="22"/>
  <c r="G146" i="22"/>
  <c r="H146" i="22"/>
  <c r="I146" i="22"/>
  <c r="J146" i="22"/>
  <c r="K146" i="22"/>
  <c r="L146" i="22"/>
  <c r="O146" i="22"/>
  <c r="P146" i="22"/>
  <c r="A147" i="22"/>
  <c r="F147" i="22"/>
  <c r="V147" i="22"/>
  <c r="C147" i="22"/>
  <c r="D147" i="22"/>
  <c r="E147" i="22"/>
  <c r="G147" i="22"/>
  <c r="H147" i="22"/>
  <c r="I147" i="22"/>
  <c r="J147" i="22"/>
  <c r="K147" i="22"/>
  <c r="L147" i="22"/>
  <c r="O147" i="22"/>
  <c r="P147" i="22"/>
  <c r="A148" i="22"/>
  <c r="C148" i="22"/>
  <c r="D148" i="22"/>
  <c r="E148" i="22"/>
  <c r="G148" i="22"/>
  <c r="H148" i="22"/>
  <c r="I148" i="22"/>
  <c r="J148" i="22"/>
  <c r="K148" i="22"/>
  <c r="L148" i="22"/>
  <c r="O148" i="22"/>
  <c r="P148" i="22"/>
  <c r="A149" i="22"/>
  <c r="B149" i="22"/>
  <c r="C149" i="22"/>
  <c r="D149" i="22"/>
  <c r="E149" i="22"/>
  <c r="G149" i="22"/>
  <c r="H149" i="22"/>
  <c r="I149" i="22"/>
  <c r="J149" i="22"/>
  <c r="K149" i="22"/>
  <c r="L149" i="22"/>
  <c r="O149" i="22"/>
  <c r="P149" i="22"/>
  <c r="A150" i="22"/>
  <c r="C150" i="22"/>
  <c r="D150" i="22"/>
  <c r="E150" i="22"/>
  <c r="G150" i="22"/>
  <c r="H150" i="22"/>
  <c r="I150" i="22"/>
  <c r="J150" i="22"/>
  <c r="K150" i="22"/>
  <c r="L150" i="22"/>
  <c r="O150" i="22"/>
  <c r="P150" i="22"/>
  <c r="A151" i="22"/>
  <c r="R151" i="22"/>
  <c r="C151" i="22"/>
  <c r="D151" i="22"/>
  <c r="E151" i="22"/>
  <c r="G151" i="22"/>
  <c r="H151" i="22"/>
  <c r="I151" i="22"/>
  <c r="J151" i="22"/>
  <c r="K151" i="22"/>
  <c r="L151" i="22"/>
  <c r="O151" i="22"/>
  <c r="P151" i="22"/>
  <c r="A152" i="22"/>
  <c r="C152" i="22"/>
  <c r="D152" i="22"/>
  <c r="E152" i="22"/>
  <c r="G152" i="22"/>
  <c r="H152" i="22"/>
  <c r="I152" i="22"/>
  <c r="J152" i="22"/>
  <c r="K152" i="22"/>
  <c r="L152" i="22"/>
  <c r="O152" i="22"/>
  <c r="P152" i="22"/>
  <c r="A153" i="22"/>
  <c r="S153" i="22"/>
  <c r="C153" i="22"/>
  <c r="D153" i="22"/>
  <c r="E153" i="22"/>
  <c r="G153" i="22"/>
  <c r="H153" i="22"/>
  <c r="I153" i="22"/>
  <c r="J153" i="22"/>
  <c r="K153" i="22"/>
  <c r="L153" i="22"/>
  <c r="O153" i="22"/>
  <c r="P153" i="22"/>
  <c r="A154" i="22"/>
  <c r="R154" i="22"/>
  <c r="C154" i="22"/>
  <c r="D154" i="22"/>
  <c r="E154" i="22"/>
  <c r="G154" i="22"/>
  <c r="H154" i="22"/>
  <c r="I154" i="22"/>
  <c r="J154" i="22"/>
  <c r="K154" i="22"/>
  <c r="L154" i="22"/>
  <c r="O154" i="22"/>
  <c r="P154" i="22"/>
  <c r="A155" i="22"/>
  <c r="R155" i="22"/>
  <c r="C155" i="22"/>
  <c r="D155" i="22"/>
  <c r="E155" i="22"/>
  <c r="G155" i="22"/>
  <c r="H155" i="22"/>
  <c r="I155" i="22"/>
  <c r="J155" i="22"/>
  <c r="K155" i="22"/>
  <c r="L155" i="22"/>
  <c r="O155" i="22"/>
  <c r="P155" i="22"/>
  <c r="A156" i="22"/>
  <c r="F156" i="22"/>
  <c r="C156" i="22"/>
  <c r="D156" i="22"/>
  <c r="E156" i="22"/>
  <c r="G156" i="22"/>
  <c r="H156" i="22"/>
  <c r="I156" i="22"/>
  <c r="J156" i="22"/>
  <c r="K156" i="22"/>
  <c r="L156" i="22"/>
  <c r="O156" i="22"/>
  <c r="P156" i="22"/>
  <c r="A157" i="22"/>
  <c r="B157" i="22"/>
  <c r="C157" i="22"/>
  <c r="D157" i="22"/>
  <c r="E157" i="22"/>
  <c r="G157" i="22"/>
  <c r="H157" i="22"/>
  <c r="I157" i="22"/>
  <c r="J157" i="22"/>
  <c r="K157" i="22"/>
  <c r="L157" i="22"/>
  <c r="O157" i="22"/>
  <c r="P157" i="22"/>
  <c r="A158" i="22"/>
  <c r="F158" i="22"/>
  <c r="C158" i="22"/>
  <c r="D158" i="22"/>
  <c r="E158" i="22"/>
  <c r="G158" i="22"/>
  <c r="H158" i="22"/>
  <c r="I158" i="22"/>
  <c r="J158" i="22"/>
  <c r="K158" i="22"/>
  <c r="L158" i="22"/>
  <c r="O158" i="22"/>
  <c r="P158" i="22"/>
  <c r="A159" i="22"/>
  <c r="C159" i="22"/>
  <c r="D159" i="22"/>
  <c r="E159" i="22"/>
  <c r="G159" i="22"/>
  <c r="H159" i="22"/>
  <c r="I159" i="22"/>
  <c r="J159" i="22"/>
  <c r="K159" i="22"/>
  <c r="L159" i="22"/>
  <c r="O159" i="22"/>
  <c r="P159" i="22"/>
  <c r="A160" i="22"/>
  <c r="C160" i="22"/>
  <c r="D160" i="22"/>
  <c r="E160" i="22"/>
  <c r="G160" i="22"/>
  <c r="H160" i="22"/>
  <c r="I160" i="22"/>
  <c r="J160" i="22"/>
  <c r="K160" i="22"/>
  <c r="L160" i="22"/>
  <c r="O160" i="22"/>
  <c r="P160" i="22"/>
  <c r="A161" i="22"/>
  <c r="S161" i="22"/>
  <c r="C161" i="22"/>
  <c r="D161" i="22"/>
  <c r="E161" i="22"/>
  <c r="G161" i="22"/>
  <c r="H161" i="22"/>
  <c r="I161" i="22"/>
  <c r="J161" i="22"/>
  <c r="K161" i="22"/>
  <c r="L161" i="22"/>
  <c r="O161" i="22"/>
  <c r="P161" i="22"/>
  <c r="A162" i="22"/>
  <c r="F162" i="22"/>
  <c r="V162" i="22"/>
  <c r="C162" i="22"/>
  <c r="D162" i="22"/>
  <c r="E162" i="22"/>
  <c r="G162" i="22"/>
  <c r="H162" i="22"/>
  <c r="I162" i="22"/>
  <c r="J162" i="22"/>
  <c r="K162" i="22"/>
  <c r="L162" i="22"/>
  <c r="O162" i="22"/>
  <c r="P162" i="22"/>
  <c r="A163" i="22"/>
  <c r="S163" i="22"/>
  <c r="C163" i="22"/>
  <c r="D163" i="22"/>
  <c r="E163" i="22"/>
  <c r="G163" i="22"/>
  <c r="H163" i="22"/>
  <c r="I163" i="22"/>
  <c r="J163" i="22"/>
  <c r="K163" i="22"/>
  <c r="L163" i="22"/>
  <c r="O163" i="22"/>
  <c r="P163" i="22"/>
  <c r="A164" i="22"/>
  <c r="F164" i="22"/>
  <c r="T164" i="22"/>
  <c r="C164" i="22"/>
  <c r="D164" i="22"/>
  <c r="E164" i="22"/>
  <c r="G164" i="22"/>
  <c r="H164" i="22"/>
  <c r="I164" i="22"/>
  <c r="J164" i="22"/>
  <c r="K164" i="22"/>
  <c r="L164" i="22"/>
  <c r="O164" i="22"/>
  <c r="P164" i="22"/>
  <c r="A165" i="22"/>
  <c r="F165" i="22"/>
  <c r="C165" i="22"/>
  <c r="D165" i="22"/>
  <c r="E165" i="22"/>
  <c r="G165" i="22"/>
  <c r="H165" i="22"/>
  <c r="I165" i="22"/>
  <c r="J165" i="22"/>
  <c r="K165" i="22"/>
  <c r="L165" i="22"/>
  <c r="O165" i="22"/>
  <c r="P165" i="22"/>
  <c r="A166" i="22"/>
  <c r="F166" i="22"/>
  <c r="T166" i="22"/>
  <c r="C166" i="22"/>
  <c r="D166" i="22"/>
  <c r="E166" i="22"/>
  <c r="G166" i="22"/>
  <c r="H166" i="22"/>
  <c r="I166" i="22"/>
  <c r="J166" i="22"/>
  <c r="K166" i="22"/>
  <c r="L166" i="22"/>
  <c r="O166" i="22"/>
  <c r="P166" i="22"/>
  <c r="A167" i="22"/>
  <c r="M167" i="22"/>
  <c r="C167" i="22"/>
  <c r="D167" i="22"/>
  <c r="E167" i="22"/>
  <c r="G167" i="22"/>
  <c r="H167" i="22"/>
  <c r="I167" i="22"/>
  <c r="J167" i="22"/>
  <c r="K167" i="22"/>
  <c r="L167" i="22"/>
  <c r="O167" i="22"/>
  <c r="P167" i="22"/>
  <c r="A168" i="22"/>
  <c r="S168" i="22"/>
  <c r="C168" i="22"/>
  <c r="D168" i="22"/>
  <c r="E168" i="22"/>
  <c r="G168" i="22"/>
  <c r="H168" i="22"/>
  <c r="I168" i="22"/>
  <c r="J168" i="22"/>
  <c r="K168" i="22"/>
  <c r="L168" i="22"/>
  <c r="O168" i="22"/>
  <c r="P168" i="22"/>
  <c r="A169" i="22"/>
  <c r="M169" i="22"/>
  <c r="C169" i="22"/>
  <c r="D169" i="22"/>
  <c r="E169" i="22"/>
  <c r="G169" i="22"/>
  <c r="H169" i="22"/>
  <c r="I169" i="22"/>
  <c r="J169" i="22"/>
  <c r="K169" i="22"/>
  <c r="L169" i="22"/>
  <c r="O169" i="22"/>
  <c r="P169" i="22"/>
  <c r="A170" i="22"/>
  <c r="R170" i="22"/>
  <c r="C170" i="22"/>
  <c r="D170" i="22"/>
  <c r="E170" i="22"/>
  <c r="G170" i="22"/>
  <c r="H170" i="22"/>
  <c r="I170" i="22"/>
  <c r="J170" i="22"/>
  <c r="K170" i="22"/>
  <c r="L170" i="22"/>
  <c r="O170" i="22"/>
  <c r="P170" i="22"/>
  <c r="A171" i="22"/>
  <c r="B171" i="22"/>
  <c r="C171" i="22"/>
  <c r="D171" i="22"/>
  <c r="E171" i="22"/>
  <c r="G171" i="22"/>
  <c r="H171" i="22"/>
  <c r="I171" i="22"/>
  <c r="J171" i="22"/>
  <c r="K171" i="22"/>
  <c r="L171" i="22"/>
  <c r="O171" i="22"/>
  <c r="P171" i="22"/>
  <c r="A172" i="22"/>
  <c r="S172" i="22"/>
  <c r="C172" i="22"/>
  <c r="D172" i="22"/>
  <c r="E172" i="22"/>
  <c r="G172" i="22"/>
  <c r="H172" i="22"/>
  <c r="I172" i="22"/>
  <c r="J172" i="22"/>
  <c r="K172" i="22"/>
  <c r="L172" i="22"/>
  <c r="O172" i="22"/>
  <c r="P172" i="22"/>
  <c r="A173" i="22"/>
  <c r="M173" i="22"/>
  <c r="C173" i="22"/>
  <c r="D173" i="22"/>
  <c r="E173" i="22"/>
  <c r="G173" i="22"/>
  <c r="H173" i="22"/>
  <c r="I173" i="22"/>
  <c r="J173" i="22"/>
  <c r="K173" i="22"/>
  <c r="L173" i="22"/>
  <c r="O173" i="22"/>
  <c r="P173" i="22"/>
  <c r="A174" i="22"/>
  <c r="B174" i="22"/>
  <c r="C174" i="22"/>
  <c r="D174" i="22"/>
  <c r="E174" i="22"/>
  <c r="G174" i="22"/>
  <c r="H174" i="22"/>
  <c r="I174" i="22"/>
  <c r="J174" i="22"/>
  <c r="K174" i="22"/>
  <c r="L174" i="22"/>
  <c r="O174" i="22"/>
  <c r="P174" i="22"/>
  <c r="A175" i="22"/>
  <c r="M175" i="22"/>
  <c r="C175" i="22"/>
  <c r="D175" i="22"/>
  <c r="E175" i="22"/>
  <c r="G175" i="22"/>
  <c r="H175" i="22"/>
  <c r="I175" i="22"/>
  <c r="J175" i="22"/>
  <c r="K175" i="22"/>
  <c r="L175" i="22"/>
  <c r="O175" i="22"/>
  <c r="P175" i="22"/>
  <c r="A176" i="22"/>
  <c r="C176" i="22"/>
  <c r="D176" i="22"/>
  <c r="E176" i="22"/>
  <c r="G176" i="22"/>
  <c r="H176" i="22"/>
  <c r="I176" i="22"/>
  <c r="J176" i="22"/>
  <c r="K176" i="22"/>
  <c r="L176" i="22"/>
  <c r="O176" i="22"/>
  <c r="P176" i="22"/>
  <c r="A177" i="22"/>
  <c r="F177" i="22"/>
  <c r="C177" i="22"/>
  <c r="D177" i="22"/>
  <c r="E177" i="22"/>
  <c r="G177" i="22"/>
  <c r="H177" i="22"/>
  <c r="I177" i="22"/>
  <c r="J177" i="22"/>
  <c r="K177" i="22"/>
  <c r="L177" i="22"/>
  <c r="O177" i="22"/>
  <c r="P177" i="22"/>
  <c r="A178" i="22"/>
  <c r="F178" i="22"/>
  <c r="V178" i="22"/>
  <c r="C178" i="22"/>
  <c r="D178" i="22"/>
  <c r="E178" i="22"/>
  <c r="G178" i="22"/>
  <c r="H178" i="22"/>
  <c r="I178" i="22"/>
  <c r="J178" i="22"/>
  <c r="K178" i="22"/>
  <c r="L178" i="22"/>
  <c r="O178" i="22"/>
  <c r="P178" i="22"/>
  <c r="A179" i="22"/>
  <c r="R179" i="22"/>
  <c r="C179" i="22"/>
  <c r="D179" i="22"/>
  <c r="E179" i="22"/>
  <c r="G179" i="22"/>
  <c r="H179" i="22"/>
  <c r="I179" i="22"/>
  <c r="J179" i="22"/>
  <c r="K179" i="22"/>
  <c r="L179" i="22"/>
  <c r="O179" i="22"/>
  <c r="P179" i="22"/>
  <c r="A180" i="22"/>
  <c r="C180" i="22"/>
  <c r="D180" i="22"/>
  <c r="E180" i="22"/>
  <c r="G180" i="22"/>
  <c r="H180" i="22"/>
  <c r="I180" i="22"/>
  <c r="J180" i="22"/>
  <c r="K180" i="22"/>
  <c r="L180" i="22"/>
  <c r="O180" i="22"/>
  <c r="P180" i="22"/>
  <c r="A181" i="22"/>
  <c r="B181" i="22"/>
  <c r="C181" i="22"/>
  <c r="D181" i="22"/>
  <c r="E181" i="22"/>
  <c r="G181" i="22"/>
  <c r="H181" i="22"/>
  <c r="I181" i="22"/>
  <c r="J181" i="22"/>
  <c r="K181" i="22"/>
  <c r="L181" i="22"/>
  <c r="O181" i="22"/>
  <c r="P181" i="22"/>
  <c r="A182" i="22"/>
  <c r="S182" i="22"/>
  <c r="C182" i="22"/>
  <c r="D182" i="22"/>
  <c r="E182" i="22"/>
  <c r="G182" i="22"/>
  <c r="H182" i="22"/>
  <c r="I182" i="22"/>
  <c r="J182" i="22"/>
  <c r="K182" i="22"/>
  <c r="L182" i="22"/>
  <c r="O182" i="22"/>
  <c r="P182" i="22"/>
  <c r="A183" i="22"/>
  <c r="B183" i="22"/>
  <c r="C183" i="22"/>
  <c r="D183" i="22"/>
  <c r="E183" i="22"/>
  <c r="G183" i="22"/>
  <c r="H183" i="22"/>
  <c r="I183" i="22"/>
  <c r="J183" i="22"/>
  <c r="K183" i="22"/>
  <c r="L183" i="22"/>
  <c r="O183" i="22"/>
  <c r="P183" i="22"/>
  <c r="A184" i="22"/>
  <c r="C184" i="22"/>
  <c r="D184" i="22"/>
  <c r="E184" i="22"/>
  <c r="G184" i="22"/>
  <c r="H184" i="22"/>
  <c r="I184" i="22"/>
  <c r="J184" i="22"/>
  <c r="K184" i="22"/>
  <c r="L184" i="22"/>
  <c r="O184" i="22"/>
  <c r="P184" i="22"/>
  <c r="A185" i="22"/>
  <c r="F185" i="22"/>
  <c r="U185" i="22"/>
  <c r="C185" i="22"/>
  <c r="D185" i="22"/>
  <c r="E185" i="22"/>
  <c r="G185" i="22"/>
  <c r="H185" i="22"/>
  <c r="I185" i="22"/>
  <c r="J185" i="22"/>
  <c r="K185" i="22"/>
  <c r="L185" i="22"/>
  <c r="O185" i="22"/>
  <c r="P185" i="22"/>
  <c r="A186" i="22"/>
  <c r="C186" i="22"/>
  <c r="D186" i="22"/>
  <c r="E186" i="22"/>
  <c r="G186" i="22"/>
  <c r="H186" i="22"/>
  <c r="I186" i="22"/>
  <c r="J186" i="22"/>
  <c r="K186" i="22"/>
  <c r="L186" i="22"/>
  <c r="O186" i="22"/>
  <c r="P186" i="22"/>
  <c r="A187" i="22"/>
  <c r="M187" i="22"/>
  <c r="C187" i="22"/>
  <c r="D187" i="22"/>
  <c r="E187" i="22"/>
  <c r="G187" i="22"/>
  <c r="H187" i="22"/>
  <c r="I187" i="22"/>
  <c r="J187" i="22"/>
  <c r="K187" i="22"/>
  <c r="L187" i="22"/>
  <c r="O187" i="22"/>
  <c r="P187" i="22"/>
  <c r="A188" i="22"/>
  <c r="S188" i="22"/>
  <c r="C188" i="22"/>
  <c r="D188" i="22"/>
  <c r="E188" i="22"/>
  <c r="G188" i="22"/>
  <c r="H188" i="22"/>
  <c r="I188" i="22"/>
  <c r="J188" i="22"/>
  <c r="K188" i="22"/>
  <c r="L188" i="22"/>
  <c r="O188" i="22"/>
  <c r="P188" i="22"/>
  <c r="A189" i="22"/>
  <c r="B189" i="22"/>
  <c r="C189" i="22"/>
  <c r="D189" i="22"/>
  <c r="E189" i="22"/>
  <c r="G189" i="22"/>
  <c r="H189" i="22"/>
  <c r="I189" i="22"/>
  <c r="J189" i="22"/>
  <c r="K189" i="22"/>
  <c r="L189" i="22"/>
  <c r="O189" i="22"/>
  <c r="P189" i="22"/>
  <c r="A190" i="22"/>
  <c r="R190" i="22"/>
  <c r="C190" i="22"/>
  <c r="D190" i="22"/>
  <c r="E190" i="22"/>
  <c r="G190" i="22"/>
  <c r="H190" i="22"/>
  <c r="I190" i="22"/>
  <c r="J190" i="22"/>
  <c r="K190" i="22"/>
  <c r="L190" i="22"/>
  <c r="O190" i="22"/>
  <c r="P190" i="22"/>
  <c r="A191" i="22"/>
  <c r="M191" i="22"/>
  <c r="C191" i="22"/>
  <c r="D191" i="22"/>
  <c r="E191" i="22"/>
  <c r="G191" i="22"/>
  <c r="H191" i="22"/>
  <c r="I191" i="22"/>
  <c r="J191" i="22"/>
  <c r="K191" i="22"/>
  <c r="L191" i="22"/>
  <c r="O191" i="22"/>
  <c r="P191" i="22"/>
  <c r="A192" i="22"/>
  <c r="B192" i="22"/>
  <c r="C192" i="22"/>
  <c r="D192" i="22"/>
  <c r="E192" i="22"/>
  <c r="G192" i="22"/>
  <c r="H192" i="22"/>
  <c r="I192" i="22"/>
  <c r="J192" i="22"/>
  <c r="K192" i="22"/>
  <c r="L192" i="22"/>
  <c r="O192" i="22"/>
  <c r="P192" i="22"/>
  <c r="A193" i="22"/>
  <c r="S193" i="22"/>
  <c r="C193" i="22"/>
  <c r="D193" i="22"/>
  <c r="E193" i="22"/>
  <c r="G193" i="22"/>
  <c r="H193" i="22"/>
  <c r="I193" i="22"/>
  <c r="J193" i="22"/>
  <c r="K193" i="22"/>
  <c r="L193" i="22"/>
  <c r="O193" i="22"/>
  <c r="P193" i="22"/>
  <c r="A194" i="22"/>
  <c r="F194" i="22"/>
  <c r="V194" i="22"/>
  <c r="C194" i="22"/>
  <c r="D194" i="22"/>
  <c r="E194" i="22"/>
  <c r="G194" i="22"/>
  <c r="H194" i="22"/>
  <c r="I194" i="22"/>
  <c r="J194" i="22"/>
  <c r="K194" i="22"/>
  <c r="L194" i="22"/>
  <c r="O194" i="22"/>
  <c r="P194" i="22"/>
  <c r="A195" i="22"/>
  <c r="M195" i="22"/>
  <c r="C195" i="22"/>
  <c r="D195" i="22"/>
  <c r="E195" i="22"/>
  <c r="G195" i="22"/>
  <c r="H195" i="22"/>
  <c r="I195" i="22"/>
  <c r="J195" i="22"/>
  <c r="K195" i="22"/>
  <c r="L195" i="22"/>
  <c r="O195" i="22"/>
  <c r="P195" i="22"/>
  <c r="A196" i="22"/>
  <c r="B196" i="22"/>
  <c r="C196" i="22"/>
  <c r="D196" i="22"/>
  <c r="E196" i="22"/>
  <c r="G196" i="22"/>
  <c r="H196" i="22"/>
  <c r="I196" i="22"/>
  <c r="J196" i="22"/>
  <c r="K196" i="22"/>
  <c r="L196" i="22"/>
  <c r="O196" i="22"/>
  <c r="P196" i="22"/>
  <c r="A197" i="22"/>
  <c r="B197" i="22"/>
  <c r="C197" i="22"/>
  <c r="D197" i="22"/>
  <c r="E197" i="22"/>
  <c r="G197" i="22"/>
  <c r="H197" i="22"/>
  <c r="I197" i="22"/>
  <c r="J197" i="22"/>
  <c r="K197" i="22"/>
  <c r="L197" i="22"/>
  <c r="O197" i="22"/>
  <c r="P197" i="22"/>
  <c r="A198" i="22"/>
  <c r="M198" i="22"/>
  <c r="C198" i="22"/>
  <c r="D198" i="22"/>
  <c r="E198" i="22"/>
  <c r="G198" i="22"/>
  <c r="H198" i="22"/>
  <c r="I198" i="22"/>
  <c r="J198" i="22"/>
  <c r="K198" i="22"/>
  <c r="L198" i="22"/>
  <c r="O198" i="22"/>
  <c r="P198" i="22"/>
  <c r="A199" i="22"/>
  <c r="F199" i="22"/>
  <c r="T199" i="22"/>
  <c r="C199" i="22"/>
  <c r="D199" i="22"/>
  <c r="E199" i="22"/>
  <c r="G199" i="22"/>
  <c r="H199" i="22"/>
  <c r="I199" i="22"/>
  <c r="J199" i="22"/>
  <c r="K199" i="22"/>
  <c r="L199" i="22"/>
  <c r="O199" i="22"/>
  <c r="P199" i="22"/>
  <c r="A200" i="22"/>
  <c r="S200" i="22"/>
  <c r="C200" i="22"/>
  <c r="D200" i="22"/>
  <c r="E200" i="22"/>
  <c r="G200" i="22"/>
  <c r="H200" i="22"/>
  <c r="I200" i="22"/>
  <c r="J200" i="22"/>
  <c r="K200" i="22"/>
  <c r="L200" i="22"/>
  <c r="O200" i="22"/>
  <c r="P200" i="22"/>
  <c r="A201" i="22"/>
  <c r="R201" i="22"/>
  <c r="C201" i="22"/>
  <c r="D201" i="22"/>
  <c r="E201" i="22"/>
  <c r="G201" i="22"/>
  <c r="H201" i="22"/>
  <c r="I201" i="22"/>
  <c r="J201" i="22"/>
  <c r="K201" i="22"/>
  <c r="L201" i="22"/>
  <c r="O201" i="22"/>
  <c r="P201" i="22"/>
  <c r="A202" i="22"/>
  <c r="R202" i="22"/>
  <c r="C202" i="22"/>
  <c r="D202" i="22"/>
  <c r="E202" i="22"/>
  <c r="G202" i="22"/>
  <c r="H202" i="22"/>
  <c r="I202" i="22"/>
  <c r="J202" i="22"/>
  <c r="K202" i="22"/>
  <c r="L202" i="22"/>
  <c r="O202" i="22"/>
  <c r="P202" i="22"/>
  <c r="A203" i="22"/>
  <c r="M203" i="22"/>
  <c r="C203" i="22"/>
  <c r="D203" i="22"/>
  <c r="E203" i="22"/>
  <c r="G203" i="22"/>
  <c r="H203" i="22"/>
  <c r="I203" i="22"/>
  <c r="J203" i="22"/>
  <c r="K203" i="22"/>
  <c r="L203" i="22"/>
  <c r="O203" i="22"/>
  <c r="P203" i="22"/>
  <c r="A204" i="22"/>
  <c r="R204" i="22"/>
  <c r="C204" i="22"/>
  <c r="D204" i="22"/>
  <c r="E204" i="22"/>
  <c r="G204" i="22"/>
  <c r="H204" i="22"/>
  <c r="I204" i="22"/>
  <c r="J204" i="22"/>
  <c r="K204" i="22"/>
  <c r="L204" i="22"/>
  <c r="O204" i="22"/>
  <c r="P204" i="22"/>
  <c r="A205" i="22"/>
  <c r="M205" i="22"/>
  <c r="C205" i="22"/>
  <c r="D205" i="22"/>
  <c r="E205" i="22"/>
  <c r="G205" i="22"/>
  <c r="H205" i="22"/>
  <c r="I205" i="22"/>
  <c r="J205" i="22"/>
  <c r="K205" i="22"/>
  <c r="L205" i="22"/>
  <c r="O205" i="22"/>
  <c r="P205" i="22"/>
  <c r="A206" i="22"/>
  <c r="B206" i="22"/>
  <c r="C206" i="22"/>
  <c r="D206" i="22"/>
  <c r="E206" i="22"/>
  <c r="G206" i="22"/>
  <c r="H206" i="22"/>
  <c r="I206" i="22"/>
  <c r="J206" i="22"/>
  <c r="K206" i="22"/>
  <c r="L206" i="22"/>
  <c r="O206" i="22"/>
  <c r="P206" i="22"/>
  <c r="A207" i="22"/>
  <c r="F207" i="22"/>
  <c r="U207" i="22"/>
  <c r="C207" i="22"/>
  <c r="D207" i="22"/>
  <c r="E207" i="22"/>
  <c r="G207" i="22"/>
  <c r="H207" i="22"/>
  <c r="I207" i="22"/>
  <c r="J207" i="22"/>
  <c r="K207" i="22"/>
  <c r="L207" i="22"/>
  <c r="O207" i="22"/>
  <c r="P207" i="22"/>
  <c r="A208" i="22"/>
  <c r="R208" i="22"/>
  <c r="C208" i="22"/>
  <c r="D208" i="22"/>
  <c r="E208" i="22"/>
  <c r="G208" i="22"/>
  <c r="H208" i="22"/>
  <c r="I208" i="22"/>
  <c r="J208" i="22"/>
  <c r="K208" i="22"/>
  <c r="L208" i="22"/>
  <c r="O208" i="22"/>
  <c r="P208" i="22"/>
  <c r="A209" i="22"/>
  <c r="F209" i="22"/>
  <c r="T209" i="22"/>
  <c r="C209" i="22"/>
  <c r="D209" i="22"/>
  <c r="E209" i="22"/>
  <c r="G209" i="22"/>
  <c r="H209" i="22"/>
  <c r="I209" i="22"/>
  <c r="J209" i="22"/>
  <c r="K209" i="22"/>
  <c r="L209" i="22"/>
  <c r="O209" i="22"/>
  <c r="P209" i="22"/>
  <c r="A210" i="22"/>
  <c r="M210" i="22"/>
  <c r="C210" i="22"/>
  <c r="D210" i="22"/>
  <c r="E210" i="22"/>
  <c r="G210" i="22"/>
  <c r="H210" i="22"/>
  <c r="I210" i="22"/>
  <c r="J210" i="22"/>
  <c r="K210" i="22"/>
  <c r="L210" i="22"/>
  <c r="O210" i="22"/>
  <c r="P210" i="22"/>
  <c r="A211" i="22"/>
  <c r="M211" i="22"/>
  <c r="C211" i="22"/>
  <c r="D211" i="22"/>
  <c r="E211" i="22"/>
  <c r="G211" i="22"/>
  <c r="H211" i="22"/>
  <c r="I211" i="22"/>
  <c r="J211" i="22"/>
  <c r="K211" i="22"/>
  <c r="L211" i="22"/>
  <c r="O211" i="22"/>
  <c r="P211" i="22"/>
  <c r="A212" i="22"/>
  <c r="S212" i="22"/>
  <c r="C212" i="22"/>
  <c r="D212" i="22"/>
  <c r="E212" i="22"/>
  <c r="G212" i="22"/>
  <c r="H212" i="22"/>
  <c r="I212" i="22"/>
  <c r="J212" i="22"/>
  <c r="K212" i="22"/>
  <c r="L212" i="22"/>
  <c r="O212" i="22"/>
  <c r="P212" i="22"/>
  <c r="A213" i="22"/>
  <c r="F213" i="22"/>
  <c r="U213" i="22"/>
  <c r="C213" i="22"/>
  <c r="D213" i="22"/>
  <c r="E213" i="22"/>
  <c r="G213" i="22"/>
  <c r="H213" i="22"/>
  <c r="I213" i="22"/>
  <c r="J213" i="22"/>
  <c r="K213" i="22"/>
  <c r="L213" i="22"/>
  <c r="O213" i="22"/>
  <c r="P213" i="22"/>
  <c r="A214" i="22"/>
  <c r="R214" i="22"/>
  <c r="C214" i="22"/>
  <c r="D214" i="22"/>
  <c r="E214" i="22"/>
  <c r="G214" i="22"/>
  <c r="H214" i="22"/>
  <c r="I214" i="22"/>
  <c r="J214" i="22"/>
  <c r="K214" i="22"/>
  <c r="L214" i="22"/>
  <c r="O214" i="22"/>
  <c r="P214" i="22"/>
  <c r="A215" i="22"/>
  <c r="C215" i="22"/>
  <c r="D215" i="22"/>
  <c r="E215" i="22"/>
  <c r="G215" i="22"/>
  <c r="H215" i="22"/>
  <c r="I215" i="22"/>
  <c r="J215" i="22"/>
  <c r="K215" i="22"/>
  <c r="L215" i="22"/>
  <c r="O215" i="22"/>
  <c r="P215" i="22"/>
  <c r="A216" i="22"/>
  <c r="C216" i="22"/>
  <c r="D216" i="22"/>
  <c r="E216" i="22"/>
  <c r="G216" i="22"/>
  <c r="H216" i="22"/>
  <c r="I216" i="22"/>
  <c r="J216" i="22"/>
  <c r="K216" i="22"/>
  <c r="L216" i="22"/>
  <c r="O216" i="22"/>
  <c r="P216" i="22"/>
  <c r="A217" i="22"/>
  <c r="M217" i="22"/>
  <c r="C217" i="22"/>
  <c r="D217" i="22"/>
  <c r="E217" i="22"/>
  <c r="G217" i="22"/>
  <c r="H217" i="22"/>
  <c r="I217" i="22"/>
  <c r="J217" i="22"/>
  <c r="K217" i="22"/>
  <c r="L217" i="22"/>
  <c r="O217" i="22"/>
  <c r="P217" i="22"/>
  <c r="A218" i="22"/>
  <c r="R218" i="22"/>
  <c r="C218" i="22"/>
  <c r="D218" i="22"/>
  <c r="E218" i="22"/>
  <c r="G218" i="22"/>
  <c r="H218" i="22"/>
  <c r="I218" i="22"/>
  <c r="J218" i="22"/>
  <c r="K218" i="22"/>
  <c r="L218" i="22"/>
  <c r="O218" i="22"/>
  <c r="P218" i="22"/>
  <c r="A219" i="22"/>
  <c r="C219" i="22"/>
  <c r="D219" i="22"/>
  <c r="E219" i="22"/>
  <c r="G219" i="22"/>
  <c r="H219" i="22"/>
  <c r="I219" i="22"/>
  <c r="J219" i="22"/>
  <c r="K219" i="22"/>
  <c r="L219" i="22"/>
  <c r="O219" i="22"/>
  <c r="P219" i="22"/>
  <c r="A220" i="22"/>
  <c r="R220" i="22"/>
  <c r="C220" i="22"/>
  <c r="D220" i="22"/>
  <c r="E220" i="22"/>
  <c r="G220" i="22"/>
  <c r="H220" i="22"/>
  <c r="I220" i="22"/>
  <c r="J220" i="22"/>
  <c r="K220" i="22"/>
  <c r="L220" i="22"/>
  <c r="O220" i="22"/>
  <c r="P220" i="22"/>
  <c r="A221" i="22"/>
  <c r="F221" i="22"/>
  <c r="T221" i="22"/>
  <c r="C221" i="22"/>
  <c r="D221" i="22"/>
  <c r="E221" i="22"/>
  <c r="G221" i="22"/>
  <c r="H221" i="22"/>
  <c r="I221" i="22"/>
  <c r="J221" i="22"/>
  <c r="K221" i="22"/>
  <c r="L221" i="22"/>
  <c r="O221" i="22"/>
  <c r="P221" i="22"/>
  <c r="A222" i="22"/>
  <c r="M222" i="22"/>
  <c r="C222" i="22"/>
  <c r="D222" i="22"/>
  <c r="E222" i="22"/>
  <c r="G222" i="22"/>
  <c r="H222" i="22"/>
  <c r="I222" i="22"/>
  <c r="J222" i="22"/>
  <c r="K222" i="22"/>
  <c r="L222" i="22"/>
  <c r="O222" i="22"/>
  <c r="P222" i="22"/>
  <c r="A223" i="22"/>
  <c r="R223" i="22"/>
  <c r="C223" i="22"/>
  <c r="D223" i="22"/>
  <c r="E223" i="22"/>
  <c r="G223" i="22"/>
  <c r="H223" i="22"/>
  <c r="I223" i="22"/>
  <c r="J223" i="22"/>
  <c r="K223" i="22"/>
  <c r="L223" i="22"/>
  <c r="O223" i="22"/>
  <c r="P223" i="22"/>
  <c r="A224" i="22"/>
  <c r="B224" i="22"/>
  <c r="C224" i="22"/>
  <c r="D224" i="22"/>
  <c r="E224" i="22"/>
  <c r="G224" i="22"/>
  <c r="H224" i="22"/>
  <c r="I224" i="22"/>
  <c r="J224" i="22"/>
  <c r="K224" i="22"/>
  <c r="L224" i="22"/>
  <c r="O224" i="22"/>
  <c r="P224" i="22"/>
  <c r="A225" i="22"/>
  <c r="M225" i="22"/>
  <c r="C225" i="22"/>
  <c r="D225" i="22"/>
  <c r="E225" i="22"/>
  <c r="G225" i="22"/>
  <c r="H225" i="22"/>
  <c r="I225" i="22"/>
  <c r="J225" i="22"/>
  <c r="K225" i="22"/>
  <c r="L225" i="22"/>
  <c r="O225" i="22"/>
  <c r="P225" i="22"/>
  <c r="A226" i="22"/>
  <c r="C226" i="22"/>
  <c r="D226" i="22"/>
  <c r="E226" i="22"/>
  <c r="G226" i="22"/>
  <c r="H226" i="22"/>
  <c r="I226" i="22"/>
  <c r="J226" i="22"/>
  <c r="K226" i="22"/>
  <c r="L226" i="22"/>
  <c r="O226" i="22"/>
  <c r="P226" i="22"/>
  <c r="A227" i="22"/>
  <c r="M227" i="22"/>
  <c r="C227" i="22"/>
  <c r="D227" i="22"/>
  <c r="E227" i="22"/>
  <c r="G227" i="22"/>
  <c r="H227" i="22"/>
  <c r="I227" i="22"/>
  <c r="J227" i="22"/>
  <c r="K227" i="22"/>
  <c r="L227" i="22"/>
  <c r="O227" i="22"/>
  <c r="P227" i="22"/>
  <c r="A228" i="22"/>
  <c r="C228" i="22"/>
  <c r="D228" i="22"/>
  <c r="E228" i="22"/>
  <c r="G228" i="22"/>
  <c r="H228" i="22"/>
  <c r="I228" i="22"/>
  <c r="J228" i="22"/>
  <c r="K228" i="22"/>
  <c r="L228" i="22"/>
  <c r="O228" i="22"/>
  <c r="P228" i="22"/>
  <c r="A229" i="22"/>
  <c r="F229" i="22"/>
  <c r="U229" i="22"/>
  <c r="C229" i="22"/>
  <c r="D229" i="22"/>
  <c r="E229" i="22"/>
  <c r="G229" i="22"/>
  <c r="H229" i="22"/>
  <c r="I229" i="22"/>
  <c r="J229" i="22"/>
  <c r="K229" i="22"/>
  <c r="L229" i="22"/>
  <c r="O229" i="22"/>
  <c r="P229" i="22"/>
  <c r="A230" i="22"/>
  <c r="S230" i="22"/>
  <c r="C230" i="22"/>
  <c r="D230" i="22"/>
  <c r="E230" i="22"/>
  <c r="G230" i="22"/>
  <c r="H230" i="22"/>
  <c r="I230" i="22"/>
  <c r="J230" i="22"/>
  <c r="K230" i="22"/>
  <c r="L230" i="22"/>
  <c r="O230" i="22"/>
  <c r="P230" i="22"/>
  <c r="A231" i="22"/>
  <c r="S231" i="22"/>
  <c r="C231" i="22"/>
  <c r="D231" i="22"/>
  <c r="E231" i="22"/>
  <c r="G231" i="22"/>
  <c r="H231" i="22"/>
  <c r="I231" i="22"/>
  <c r="J231" i="22"/>
  <c r="K231" i="22"/>
  <c r="L231" i="22"/>
  <c r="O231" i="22"/>
  <c r="P231" i="22"/>
  <c r="A232" i="22"/>
  <c r="C232" i="22"/>
  <c r="D232" i="22"/>
  <c r="E232" i="22"/>
  <c r="G232" i="22"/>
  <c r="H232" i="22"/>
  <c r="I232" i="22"/>
  <c r="J232" i="22"/>
  <c r="K232" i="22"/>
  <c r="L232" i="22"/>
  <c r="O232" i="22"/>
  <c r="P232" i="22"/>
  <c r="A233" i="22"/>
  <c r="C233" i="22"/>
  <c r="D233" i="22"/>
  <c r="E233" i="22"/>
  <c r="G233" i="22"/>
  <c r="H233" i="22"/>
  <c r="I233" i="22"/>
  <c r="J233" i="22"/>
  <c r="K233" i="22"/>
  <c r="L233" i="22"/>
  <c r="O233" i="22"/>
  <c r="P233" i="22"/>
  <c r="A234" i="22"/>
  <c r="S234" i="22"/>
  <c r="C234" i="22"/>
  <c r="D234" i="22"/>
  <c r="E234" i="22"/>
  <c r="G234" i="22"/>
  <c r="H234" i="22"/>
  <c r="I234" i="22"/>
  <c r="J234" i="22"/>
  <c r="K234" i="22"/>
  <c r="L234" i="22"/>
  <c r="O234" i="22"/>
  <c r="P234" i="22"/>
  <c r="A235" i="22"/>
  <c r="F235" i="22"/>
  <c r="T235" i="22"/>
  <c r="C235" i="22"/>
  <c r="D235" i="22"/>
  <c r="E235" i="22"/>
  <c r="G235" i="22"/>
  <c r="H235" i="22"/>
  <c r="I235" i="22"/>
  <c r="J235" i="22"/>
  <c r="K235" i="22"/>
  <c r="L235" i="22"/>
  <c r="O235" i="22"/>
  <c r="P235" i="22"/>
  <c r="A236" i="22"/>
  <c r="R236" i="22"/>
  <c r="C236" i="22"/>
  <c r="D236" i="22"/>
  <c r="E236" i="22"/>
  <c r="G236" i="22"/>
  <c r="H236" i="22"/>
  <c r="I236" i="22"/>
  <c r="J236" i="22"/>
  <c r="K236" i="22"/>
  <c r="L236" i="22"/>
  <c r="O236" i="22"/>
  <c r="P236" i="22"/>
  <c r="A237" i="22"/>
  <c r="C237" i="22"/>
  <c r="D237" i="22"/>
  <c r="E237" i="22"/>
  <c r="G237" i="22"/>
  <c r="H237" i="22"/>
  <c r="I237" i="22"/>
  <c r="J237" i="22"/>
  <c r="K237" i="22"/>
  <c r="L237" i="22"/>
  <c r="O237" i="22"/>
  <c r="P237" i="22"/>
  <c r="A238" i="22"/>
  <c r="R238" i="22"/>
  <c r="C238" i="22"/>
  <c r="D238" i="22"/>
  <c r="E238" i="22"/>
  <c r="G238" i="22"/>
  <c r="H238" i="22"/>
  <c r="I238" i="22"/>
  <c r="J238" i="22"/>
  <c r="K238" i="22"/>
  <c r="L238" i="22"/>
  <c r="O238" i="22"/>
  <c r="P238" i="22"/>
  <c r="A239" i="22"/>
  <c r="M239" i="22"/>
  <c r="C239" i="22"/>
  <c r="D239" i="22"/>
  <c r="E239" i="22"/>
  <c r="G239" i="22"/>
  <c r="H239" i="22"/>
  <c r="I239" i="22"/>
  <c r="J239" i="22"/>
  <c r="K239" i="22"/>
  <c r="L239" i="22"/>
  <c r="O239" i="22"/>
  <c r="P239" i="22"/>
  <c r="A240" i="22"/>
  <c r="B240" i="22"/>
  <c r="C240" i="22"/>
  <c r="D240" i="22"/>
  <c r="E240" i="22"/>
  <c r="G240" i="22"/>
  <c r="H240" i="22"/>
  <c r="I240" i="22"/>
  <c r="J240" i="22"/>
  <c r="K240" i="22"/>
  <c r="L240" i="22"/>
  <c r="O240" i="22"/>
  <c r="P240" i="22"/>
  <c r="A241" i="22"/>
  <c r="C241" i="22"/>
  <c r="D241" i="22"/>
  <c r="E241" i="22"/>
  <c r="G241" i="22"/>
  <c r="H241" i="22"/>
  <c r="I241" i="22"/>
  <c r="J241" i="22"/>
  <c r="K241" i="22"/>
  <c r="L241" i="22"/>
  <c r="O241" i="22"/>
  <c r="P241" i="22"/>
  <c r="A242" i="22"/>
  <c r="M242" i="22"/>
  <c r="C242" i="22"/>
  <c r="D242" i="22"/>
  <c r="E242" i="22"/>
  <c r="G242" i="22"/>
  <c r="H242" i="22"/>
  <c r="I242" i="22"/>
  <c r="J242" i="22"/>
  <c r="K242" i="22"/>
  <c r="L242" i="22"/>
  <c r="O242" i="22"/>
  <c r="P242" i="22"/>
  <c r="A243" i="22"/>
  <c r="S243" i="22"/>
  <c r="C243" i="22"/>
  <c r="D243" i="22"/>
  <c r="E243" i="22"/>
  <c r="G243" i="22"/>
  <c r="H243" i="22"/>
  <c r="I243" i="22"/>
  <c r="J243" i="22"/>
  <c r="K243" i="22"/>
  <c r="L243" i="22"/>
  <c r="O243" i="22"/>
  <c r="P243" i="22"/>
  <c r="A244" i="22"/>
  <c r="R244" i="22"/>
  <c r="C244" i="22"/>
  <c r="D244" i="22"/>
  <c r="E244" i="22"/>
  <c r="G244" i="22"/>
  <c r="H244" i="22"/>
  <c r="I244" i="22"/>
  <c r="J244" i="22"/>
  <c r="K244" i="22"/>
  <c r="L244" i="22"/>
  <c r="O244" i="22"/>
  <c r="P244" i="22"/>
  <c r="A245" i="22"/>
  <c r="C245" i="22"/>
  <c r="D245" i="22"/>
  <c r="E245" i="22"/>
  <c r="G245" i="22"/>
  <c r="H245" i="22"/>
  <c r="I245" i="22"/>
  <c r="J245" i="22"/>
  <c r="K245" i="22"/>
  <c r="L245" i="22"/>
  <c r="O245" i="22"/>
  <c r="P245" i="22"/>
  <c r="A246" i="22"/>
  <c r="B246" i="22"/>
  <c r="C246" i="22"/>
  <c r="D246" i="22"/>
  <c r="E246" i="22"/>
  <c r="G246" i="22"/>
  <c r="H246" i="22"/>
  <c r="I246" i="22"/>
  <c r="J246" i="22"/>
  <c r="K246" i="22"/>
  <c r="L246" i="22"/>
  <c r="O246" i="22"/>
  <c r="P246" i="22"/>
  <c r="A247" i="22"/>
  <c r="C247" i="22"/>
  <c r="D247" i="22"/>
  <c r="E247" i="22"/>
  <c r="G247" i="22"/>
  <c r="H247" i="22"/>
  <c r="I247" i="22"/>
  <c r="J247" i="22"/>
  <c r="K247" i="22"/>
  <c r="L247" i="22"/>
  <c r="O247" i="22"/>
  <c r="P247" i="22"/>
  <c r="A248" i="22"/>
  <c r="R248" i="22"/>
  <c r="C248" i="22"/>
  <c r="D248" i="22"/>
  <c r="E248" i="22"/>
  <c r="G248" i="22"/>
  <c r="H248" i="22"/>
  <c r="I248" i="22"/>
  <c r="J248" i="22"/>
  <c r="K248" i="22"/>
  <c r="L248" i="22"/>
  <c r="O248" i="22"/>
  <c r="P248" i="22"/>
  <c r="A249" i="22"/>
  <c r="C249" i="22"/>
  <c r="D249" i="22"/>
  <c r="E249" i="22"/>
  <c r="G249" i="22"/>
  <c r="H249" i="22"/>
  <c r="I249" i="22"/>
  <c r="J249" i="22"/>
  <c r="K249" i="22"/>
  <c r="L249" i="22"/>
  <c r="O249" i="22"/>
  <c r="P249" i="22"/>
  <c r="A250" i="22"/>
  <c r="B250" i="22"/>
  <c r="C250" i="22"/>
  <c r="D250" i="22"/>
  <c r="E250" i="22"/>
  <c r="G250" i="22"/>
  <c r="H250" i="22"/>
  <c r="I250" i="22"/>
  <c r="J250" i="22"/>
  <c r="K250" i="22"/>
  <c r="L250" i="22"/>
  <c r="O250" i="22"/>
  <c r="P250" i="22"/>
  <c r="A251" i="22"/>
  <c r="F251" i="22"/>
  <c r="C251" i="22"/>
  <c r="D251" i="22"/>
  <c r="E251" i="22"/>
  <c r="G251" i="22"/>
  <c r="H251" i="22"/>
  <c r="I251" i="22"/>
  <c r="J251" i="22"/>
  <c r="K251" i="22"/>
  <c r="L251" i="22"/>
  <c r="O251" i="22"/>
  <c r="P251" i="22"/>
  <c r="A252" i="22"/>
  <c r="F252" i="22"/>
  <c r="U252" i="22"/>
  <c r="C252" i="22"/>
  <c r="D252" i="22"/>
  <c r="E252" i="22"/>
  <c r="G252" i="22"/>
  <c r="H252" i="22"/>
  <c r="I252" i="22"/>
  <c r="J252" i="22"/>
  <c r="K252" i="22"/>
  <c r="L252" i="22"/>
  <c r="O252" i="22"/>
  <c r="P252" i="22"/>
  <c r="A253" i="22"/>
  <c r="C253" i="22"/>
  <c r="D253" i="22"/>
  <c r="E253" i="22"/>
  <c r="G253" i="22"/>
  <c r="H253" i="22"/>
  <c r="I253" i="22"/>
  <c r="J253" i="22"/>
  <c r="K253" i="22"/>
  <c r="L253" i="22"/>
  <c r="O253" i="22"/>
  <c r="P253" i="22"/>
  <c r="A254" i="22"/>
  <c r="S254" i="22"/>
  <c r="C254" i="22"/>
  <c r="D254" i="22"/>
  <c r="E254" i="22"/>
  <c r="G254" i="22"/>
  <c r="H254" i="22"/>
  <c r="I254" i="22"/>
  <c r="J254" i="22"/>
  <c r="K254" i="22"/>
  <c r="L254" i="22"/>
  <c r="O254" i="22"/>
  <c r="P254" i="22"/>
  <c r="A255" i="22"/>
  <c r="R255" i="22"/>
  <c r="C255" i="22"/>
  <c r="D255" i="22"/>
  <c r="E255" i="22"/>
  <c r="G255" i="22"/>
  <c r="H255" i="22"/>
  <c r="I255" i="22"/>
  <c r="J255" i="22"/>
  <c r="K255" i="22"/>
  <c r="L255" i="22"/>
  <c r="O255" i="22"/>
  <c r="P255" i="22"/>
  <c r="A256" i="22"/>
  <c r="F256" i="22"/>
  <c r="T256" i="22"/>
  <c r="C256" i="22"/>
  <c r="D256" i="22"/>
  <c r="E256" i="22"/>
  <c r="G256" i="22"/>
  <c r="H256" i="22"/>
  <c r="I256" i="22"/>
  <c r="J256" i="22"/>
  <c r="K256" i="22"/>
  <c r="L256" i="22"/>
  <c r="O256" i="22"/>
  <c r="P256" i="22"/>
  <c r="A257" i="22"/>
  <c r="R257" i="22"/>
  <c r="C257" i="22"/>
  <c r="D257" i="22"/>
  <c r="E257" i="22"/>
  <c r="G257" i="22"/>
  <c r="H257" i="22"/>
  <c r="I257" i="22"/>
  <c r="J257" i="22"/>
  <c r="K257" i="22"/>
  <c r="L257" i="22"/>
  <c r="O257" i="22"/>
  <c r="P257" i="22"/>
  <c r="A258" i="22"/>
  <c r="F258" i="22"/>
  <c r="C258" i="22"/>
  <c r="D258" i="22"/>
  <c r="E258" i="22"/>
  <c r="G258" i="22"/>
  <c r="H258" i="22"/>
  <c r="I258" i="22"/>
  <c r="J258" i="22"/>
  <c r="K258" i="22"/>
  <c r="L258" i="22"/>
  <c r="O258" i="22"/>
  <c r="P258" i="22"/>
  <c r="A259" i="22"/>
  <c r="S259" i="22"/>
  <c r="C259" i="22"/>
  <c r="D259" i="22"/>
  <c r="E259" i="22"/>
  <c r="G259" i="22"/>
  <c r="H259" i="22"/>
  <c r="I259" i="22"/>
  <c r="J259" i="22"/>
  <c r="K259" i="22"/>
  <c r="L259" i="22"/>
  <c r="O259" i="22"/>
  <c r="P259" i="22"/>
  <c r="A260" i="22"/>
  <c r="M260" i="22"/>
  <c r="C260" i="22"/>
  <c r="D260" i="22"/>
  <c r="E260" i="22"/>
  <c r="G260" i="22"/>
  <c r="H260" i="22"/>
  <c r="I260" i="22"/>
  <c r="J260" i="22"/>
  <c r="K260" i="22"/>
  <c r="L260" i="22"/>
  <c r="O260" i="22"/>
  <c r="P260" i="22"/>
  <c r="A261" i="22"/>
  <c r="C261" i="22"/>
  <c r="D261" i="22"/>
  <c r="E261" i="22"/>
  <c r="G261" i="22"/>
  <c r="H261" i="22"/>
  <c r="I261" i="22"/>
  <c r="J261" i="22"/>
  <c r="K261" i="22"/>
  <c r="L261" i="22"/>
  <c r="O261" i="22"/>
  <c r="P261" i="22"/>
  <c r="A262" i="22"/>
  <c r="F262" i="22"/>
  <c r="V262" i="22"/>
  <c r="C262" i="22"/>
  <c r="D262" i="22"/>
  <c r="E262" i="22"/>
  <c r="G262" i="22"/>
  <c r="H262" i="22"/>
  <c r="I262" i="22"/>
  <c r="J262" i="22"/>
  <c r="K262" i="22"/>
  <c r="L262" i="22"/>
  <c r="O262" i="22"/>
  <c r="P262" i="22"/>
  <c r="A263" i="22"/>
  <c r="F263" i="22"/>
  <c r="T263" i="22"/>
  <c r="C263" i="22"/>
  <c r="D263" i="22"/>
  <c r="E263" i="22"/>
  <c r="G263" i="22"/>
  <c r="H263" i="22"/>
  <c r="I263" i="22"/>
  <c r="J263" i="22"/>
  <c r="K263" i="22"/>
  <c r="L263" i="22"/>
  <c r="O263" i="22"/>
  <c r="P263" i="22"/>
  <c r="A264" i="22"/>
  <c r="C264" i="22"/>
  <c r="D264" i="22"/>
  <c r="E264" i="22"/>
  <c r="G264" i="22"/>
  <c r="H264" i="22"/>
  <c r="I264" i="22"/>
  <c r="J264" i="22"/>
  <c r="K264" i="22"/>
  <c r="L264" i="22"/>
  <c r="O264" i="22"/>
  <c r="P264" i="22"/>
  <c r="A265" i="22"/>
  <c r="M265" i="22"/>
  <c r="C265" i="22"/>
  <c r="D265" i="22"/>
  <c r="E265" i="22"/>
  <c r="G265" i="22"/>
  <c r="H265" i="22"/>
  <c r="I265" i="22"/>
  <c r="J265" i="22"/>
  <c r="K265" i="22"/>
  <c r="L265" i="22"/>
  <c r="O265" i="22"/>
  <c r="P265" i="22"/>
  <c r="A266" i="22"/>
  <c r="F266" i="22"/>
  <c r="U266" i="22"/>
  <c r="C266" i="22"/>
  <c r="D266" i="22"/>
  <c r="E266" i="22"/>
  <c r="G266" i="22"/>
  <c r="H266" i="22"/>
  <c r="I266" i="22"/>
  <c r="J266" i="22"/>
  <c r="K266" i="22"/>
  <c r="L266" i="22"/>
  <c r="O266" i="22"/>
  <c r="P266" i="22"/>
  <c r="A267" i="22"/>
  <c r="S267" i="22"/>
  <c r="C267" i="22"/>
  <c r="D267" i="22"/>
  <c r="E267" i="22"/>
  <c r="G267" i="22"/>
  <c r="H267" i="22"/>
  <c r="I267" i="22"/>
  <c r="J267" i="22"/>
  <c r="K267" i="22"/>
  <c r="L267" i="22"/>
  <c r="O267" i="22"/>
  <c r="P267" i="22"/>
  <c r="A268" i="22"/>
  <c r="M268" i="22"/>
  <c r="C268" i="22"/>
  <c r="D268" i="22"/>
  <c r="E268" i="22"/>
  <c r="G268" i="22"/>
  <c r="H268" i="22"/>
  <c r="I268" i="22"/>
  <c r="J268" i="22"/>
  <c r="K268" i="22"/>
  <c r="L268" i="22"/>
  <c r="O268" i="22"/>
  <c r="P268" i="22"/>
  <c r="A269" i="22"/>
  <c r="C269" i="22"/>
  <c r="D269" i="22"/>
  <c r="E269" i="22"/>
  <c r="G269" i="22"/>
  <c r="H269" i="22"/>
  <c r="I269" i="22"/>
  <c r="J269" i="22"/>
  <c r="K269" i="22"/>
  <c r="L269" i="22"/>
  <c r="O269" i="22"/>
  <c r="P269" i="22"/>
  <c r="A270" i="22"/>
  <c r="R270" i="22"/>
  <c r="C270" i="22"/>
  <c r="D270" i="22"/>
  <c r="E270" i="22"/>
  <c r="G270" i="22"/>
  <c r="H270" i="22"/>
  <c r="I270" i="22"/>
  <c r="J270" i="22"/>
  <c r="K270" i="22"/>
  <c r="L270" i="22"/>
  <c r="O270" i="22"/>
  <c r="P270" i="22"/>
  <c r="A271" i="22"/>
  <c r="R271" i="22"/>
  <c r="C271" i="22"/>
  <c r="D271" i="22"/>
  <c r="E271" i="22"/>
  <c r="G271" i="22"/>
  <c r="H271" i="22"/>
  <c r="I271" i="22"/>
  <c r="J271" i="22"/>
  <c r="K271" i="22"/>
  <c r="L271" i="22"/>
  <c r="O271" i="22"/>
  <c r="P271" i="22"/>
  <c r="A272" i="22"/>
  <c r="R272" i="22"/>
  <c r="C272" i="22"/>
  <c r="D272" i="22"/>
  <c r="E272" i="22"/>
  <c r="G272" i="22"/>
  <c r="H272" i="22"/>
  <c r="I272" i="22"/>
  <c r="J272" i="22"/>
  <c r="K272" i="22"/>
  <c r="L272" i="22"/>
  <c r="O272" i="22"/>
  <c r="P272" i="22"/>
  <c r="A273" i="22"/>
  <c r="C273" i="22"/>
  <c r="D273" i="22"/>
  <c r="E273" i="22"/>
  <c r="G273" i="22"/>
  <c r="H273" i="22"/>
  <c r="I273" i="22"/>
  <c r="J273" i="22"/>
  <c r="K273" i="22"/>
  <c r="L273" i="22"/>
  <c r="O273" i="22"/>
  <c r="P273" i="22"/>
  <c r="A274" i="22"/>
  <c r="S274" i="22"/>
  <c r="C274" i="22"/>
  <c r="D274" i="22"/>
  <c r="E274" i="22"/>
  <c r="G274" i="22"/>
  <c r="H274" i="22"/>
  <c r="I274" i="22"/>
  <c r="J274" i="22"/>
  <c r="K274" i="22"/>
  <c r="L274" i="22"/>
  <c r="O274" i="22"/>
  <c r="P274" i="22"/>
  <c r="A275" i="22"/>
  <c r="S275" i="22"/>
  <c r="C275" i="22"/>
  <c r="D275" i="22"/>
  <c r="E275" i="22"/>
  <c r="G275" i="22"/>
  <c r="H275" i="22"/>
  <c r="I275" i="22"/>
  <c r="J275" i="22"/>
  <c r="K275" i="22"/>
  <c r="L275" i="22"/>
  <c r="O275" i="22"/>
  <c r="P275" i="22"/>
  <c r="A276" i="22"/>
  <c r="C276" i="22"/>
  <c r="D276" i="22"/>
  <c r="E276" i="22"/>
  <c r="G276" i="22"/>
  <c r="H276" i="22"/>
  <c r="I276" i="22"/>
  <c r="J276" i="22"/>
  <c r="K276" i="22"/>
  <c r="L276" i="22"/>
  <c r="O276" i="22"/>
  <c r="P276" i="22"/>
  <c r="A277" i="22"/>
  <c r="C277" i="22"/>
  <c r="D277" i="22"/>
  <c r="E277" i="22"/>
  <c r="G277" i="22"/>
  <c r="H277" i="22"/>
  <c r="I277" i="22"/>
  <c r="J277" i="22"/>
  <c r="K277" i="22"/>
  <c r="L277" i="22"/>
  <c r="O277" i="22"/>
  <c r="P277" i="22"/>
  <c r="A278" i="22"/>
  <c r="S278" i="22"/>
  <c r="C278" i="22"/>
  <c r="D278" i="22"/>
  <c r="E278" i="22"/>
  <c r="G278" i="22"/>
  <c r="H278" i="22"/>
  <c r="I278" i="22"/>
  <c r="J278" i="22"/>
  <c r="K278" i="22"/>
  <c r="L278" i="22"/>
  <c r="O278" i="22"/>
  <c r="P278" i="22"/>
  <c r="A279" i="22"/>
  <c r="R279" i="22"/>
  <c r="C279" i="22"/>
  <c r="D279" i="22"/>
  <c r="E279" i="22"/>
  <c r="G279" i="22"/>
  <c r="H279" i="22"/>
  <c r="I279" i="22"/>
  <c r="J279" i="22"/>
  <c r="K279" i="22"/>
  <c r="L279" i="22"/>
  <c r="O279" i="22"/>
  <c r="P279" i="22"/>
  <c r="A280" i="22"/>
  <c r="R280" i="22"/>
  <c r="C280" i="22"/>
  <c r="D280" i="22"/>
  <c r="E280" i="22"/>
  <c r="G280" i="22"/>
  <c r="H280" i="22"/>
  <c r="I280" i="22"/>
  <c r="J280" i="22"/>
  <c r="K280" i="22"/>
  <c r="L280" i="22"/>
  <c r="O280" i="22"/>
  <c r="P280" i="22"/>
  <c r="A281" i="22"/>
  <c r="F281" i="22"/>
  <c r="U281" i="22"/>
  <c r="C281" i="22"/>
  <c r="D281" i="22"/>
  <c r="E281" i="22"/>
  <c r="G281" i="22"/>
  <c r="H281" i="22"/>
  <c r="I281" i="22"/>
  <c r="J281" i="22"/>
  <c r="K281" i="22"/>
  <c r="L281" i="22"/>
  <c r="O281" i="22"/>
  <c r="P281" i="22"/>
  <c r="A282" i="22"/>
  <c r="R282" i="22"/>
  <c r="C282" i="22"/>
  <c r="D282" i="22"/>
  <c r="E282" i="22"/>
  <c r="G282" i="22"/>
  <c r="H282" i="22"/>
  <c r="I282" i="22"/>
  <c r="J282" i="22"/>
  <c r="K282" i="22"/>
  <c r="L282" i="22"/>
  <c r="O282" i="22"/>
  <c r="P282" i="22"/>
  <c r="A283" i="22"/>
  <c r="R283" i="22"/>
  <c r="C283" i="22"/>
  <c r="D283" i="22"/>
  <c r="E283" i="22"/>
  <c r="G283" i="22"/>
  <c r="H283" i="22"/>
  <c r="I283" i="22"/>
  <c r="J283" i="22"/>
  <c r="K283" i="22"/>
  <c r="L283" i="22"/>
  <c r="O283" i="22"/>
  <c r="P283" i="22"/>
  <c r="A284" i="22"/>
  <c r="F284" i="22"/>
  <c r="C284" i="22"/>
  <c r="D284" i="22"/>
  <c r="E284" i="22"/>
  <c r="G284" i="22"/>
  <c r="H284" i="22"/>
  <c r="I284" i="22"/>
  <c r="J284" i="22"/>
  <c r="K284" i="22"/>
  <c r="L284" i="22"/>
  <c r="O284" i="22"/>
  <c r="P284" i="22"/>
  <c r="A285" i="22"/>
  <c r="S285" i="22"/>
  <c r="C285" i="22"/>
  <c r="D285" i="22"/>
  <c r="E285" i="22"/>
  <c r="G285" i="22"/>
  <c r="H285" i="22"/>
  <c r="I285" i="22"/>
  <c r="J285" i="22"/>
  <c r="K285" i="22"/>
  <c r="L285" i="22"/>
  <c r="O285" i="22"/>
  <c r="P285" i="22"/>
  <c r="A286" i="22"/>
  <c r="B286" i="22"/>
  <c r="C286" i="22"/>
  <c r="D286" i="22"/>
  <c r="E286" i="22"/>
  <c r="G286" i="22"/>
  <c r="H286" i="22"/>
  <c r="I286" i="22"/>
  <c r="J286" i="22"/>
  <c r="K286" i="22"/>
  <c r="L286" i="22"/>
  <c r="O286" i="22"/>
  <c r="P286" i="22"/>
  <c r="A287" i="22"/>
  <c r="B287" i="22"/>
  <c r="C287" i="22"/>
  <c r="D287" i="22"/>
  <c r="E287" i="22"/>
  <c r="G287" i="22"/>
  <c r="H287" i="22"/>
  <c r="I287" i="22"/>
  <c r="J287" i="22"/>
  <c r="K287" i="22"/>
  <c r="L287" i="22"/>
  <c r="O287" i="22"/>
  <c r="P287" i="22"/>
  <c r="A288" i="22"/>
  <c r="R288" i="22"/>
  <c r="C288" i="22"/>
  <c r="D288" i="22"/>
  <c r="E288" i="22"/>
  <c r="G288" i="22"/>
  <c r="H288" i="22"/>
  <c r="I288" i="22"/>
  <c r="J288" i="22"/>
  <c r="K288" i="22"/>
  <c r="L288" i="22"/>
  <c r="O288" i="22"/>
  <c r="P288" i="22"/>
  <c r="A289" i="22"/>
  <c r="C289" i="22"/>
  <c r="D289" i="22"/>
  <c r="E289" i="22"/>
  <c r="G289" i="22"/>
  <c r="H289" i="22"/>
  <c r="I289" i="22"/>
  <c r="J289" i="22"/>
  <c r="K289" i="22"/>
  <c r="L289" i="22"/>
  <c r="O289" i="22"/>
  <c r="P289" i="22"/>
  <c r="A290" i="22"/>
  <c r="B290" i="22"/>
  <c r="C290" i="22"/>
  <c r="D290" i="22"/>
  <c r="E290" i="22"/>
  <c r="G290" i="22"/>
  <c r="H290" i="22"/>
  <c r="I290" i="22"/>
  <c r="J290" i="22"/>
  <c r="K290" i="22"/>
  <c r="L290" i="22"/>
  <c r="O290" i="22"/>
  <c r="P290" i="22"/>
  <c r="A291" i="22"/>
  <c r="F291" i="22"/>
  <c r="V291" i="22"/>
  <c r="C291" i="22"/>
  <c r="D291" i="22"/>
  <c r="E291" i="22"/>
  <c r="G291" i="22"/>
  <c r="H291" i="22"/>
  <c r="I291" i="22"/>
  <c r="J291" i="22"/>
  <c r="K291" i="22"/>
  <c r="L291" i="22"/>
  <c r="O291" i="22"/>
  <c r="P291" i="22"/>
  <c r="A292" i="22"/>
  <c r="C292" i="22"/>
  <c r="D292" i="22"/>
  <c r="E292" i="22"/>
  <c r="G292" i="22"/>
  <c r="H292" i="22"/>
  <c r="I292" i="22"/>
  <c r="J292" i="22"/>
  <c r="K292" i="22"/>
  <c r="L292" i="22"/>
  <c r="O292" i="22"/>
  <c r="P292" i="22"/>
  <c r="A293" i="22"/>
  <c r="C293" i="22"/>
  <c r="D293" i="22"/>
  <c r="E293" i="22"/>
  <c r="G293" i="22"/>
  <c r="H293" i="22"/>
  <c r="I293" i="22"/>
  <c r="J293" i="22"/>
  <c r="K293" i="22"/>
  <c r="L293" i="22"/>
  <c r="O293" i="22"/>
  <c r="P293" i="22"/>
  <c r="A294" i="22"/>
  <c r="C294" i="22"/>
  <c r="D294" i="22"/>
  <c r="E294" i="22"/>
  <c r="G294" i="22"/>
  <c r="H294" i="22"/>
  <c r="I294" i="22"/>
  <c r="J294" i="22"/>
  <c r="K294" i="22"/>
  <c r="L294" i="22"/>
  <c r="O294" i="22"/>
  <c r="P294" i="22"/>
  <c r="A295" i="22"/>
  <c r="C295" i="22"/>
  <c r="D295" i="22"/>
  <c r="E295" i="22"/>
  <c r="G295" i="22"/>
  <c r="H295" i="22"/>
  <c r="I295" i="22"/>
  <c r="J295" i="22"/>
  <c r="K295" i="22"/>
  <c r="L295" i="22"/>
  <c r="O295" i="22"/>
  <c r="P295" i="22"/>
  <c r="A296" i="22"/>
  <c r="C296" i="22"/>
  <c r="D296" i="22"/>
  <c r="E296" i="22"/>
  <c r="G296" i="22"/>
  <c r="H296" i="22"/>
  <c r="I296" i="22"/>
  <c r="J296" i="22"/>
  <c r="K296" i="22"/>
  <c r="L296" i="22"/>
  <c r="O296" i="22"/>
  <c r="P296" i="22"/>
  <c r="A297" i="22"/>
  <c r="C297" i="22"/>
  <c r="D297" i="22"/>
  <c r="E297" i="22"/>
  <c r="G297" i="22"/>
  <c r="H297" i="22"/>
  <c r="I297" i="22"/>
  <c r="J297" i="22"/>
  <c r="K297" i="22"/>
  <c r="L297" i="22"/>
  <c r="O297" i="22"/>
  <c r="P297" i="22"/>
  <c r="A298" i="22"/>
  <c r="S298" i="22"/>
  <c r="C298" i="22"/>
  <c r="D298" i="22"/>
  <c r="E298" i="22"/>
  <c r="G298" i="22"/>
  <c r="H298" i="22"/>
  <c r="I298" i="22"/>
  <c r="J298" i="22"/>
  <c r="K298" i="22"/>
  <c r="L298" i="22"/>
  <c r="O298" i="22"/>
  <c r="P298" i="22"/>
  <c r="A299" i="22"/>
  <c r="F299" i="22"/>
  <c r="C299" i="22"/>
  <c r="D299" i="22"/>
  <c r="E299" i="22"/>
  <c r="G299" i="22"/>
  <c r="H299" i="22"/>
  <c r="I299" i="22"/>
  <c r="J299" i="22"/>
  <c r="K299" i="22"/>
  <c r="L299" i="22"/>
  <c r="O299" i="22"/>
  <c r="P299" i="22"/>
  <c r="A300" i="22"/>
  <c r="C300" i="22"/>
  <c r="D300" i="22"/>
  <c r="E300" i="22"/>
  <c r="G300" i="22"/>
  <c r="H300" i="22"/>
  <c r="I300" i="22"/>
  <c r="J300" i="22"/>
  <c r="K300" i="22"/>
  <c r="L300" i="22"/>
  <c r="O300" i="22"/>
  <c r="P300" i="22"/>
  <c r="A301" i="22"/>
  <c r="M301" i="22"/>
  <c r="C301" i="22"/>
  <c r="D301" i="22"/>
  <c r="E301" i="22"/>
  <c r="G301" i="22"/>
  <c r="H301" i="22"/>
  <c r="I301" i="22"/>
  <c r="J301" i="22"/>
  <c r="K301" i="22"/>
  <c r="L301" i="22"/>
  <c r="O301" i="22"/>
  <c r="P301" i="22"/>
  <c r="A302" i="22"/>
  <c r="S302" i="22"/>
  <c r="C302" i="22"/>
  <c r="D302" i="22"/>
  <c r="E302" i="22"/>
  <c r="G302" i="22"/>
  <c r="H302" i="22"/>
  <c r="I302" i="22"/>
  <c r="J302" i="22"/>
  <c r="K302" i="22"/>
  <c r="L302" i="22"/>
  <c r="O302" i="22"/>
  <c r="P302" i="22"/>
  <c r="A303" i="22"/>
  <c r="B303" i="22"/>
  <c r="C303" i="22"/>
  <c r="D303" i="22"/>
  <c r="E303" i="22"/>
  <c r="G303" i="22"/>
  <c r="H303" i="22"/>
  <c r="I303" i="22"/>
  <c r="J303" i="22"/>
  <c r="K303" i="22"/>
  <c r="L303" i="22"/>
  <c r="O303" i="22"/>
  <c r="P303" i="22"/>
  <c r="A304" i="22"/>
  <c r="B304" i="22"/>
  <c r="C304" i="22"/>
  <c r="D304" i="22"/>
  <c r="E304" i="22"/>
  <c r="G304" i="22"/>
  <c r="H304" i="22"/>
  <c r="I304" i="22"/>
  <c r="J304" i="22"/>
  <c r="K304" i="22"/>
  <c r="L304" i="22"/>
  <c r="O304" i="22"/>
  <c r="P304" i="22"/>
  <c r="A305" i="22"/>
  <c r="B305" i="22"/>
  <c r="C305" i="22"/>
  <c r="D305" i="22"/>
  <c r="E305" i="22"/>
  <c r="G305" i="22"/>
  <c r="H305" i="22"/>
  <c r="I305" i="22"/>
  <c r="J305" i="22"/>
  <c r="K305" i="22"/>
  <c r="L305" i="22"/>
  <c r="O305" i="22"/>
  <c r="P305" i="22"/>
  <c r="A306" i="22"/>
  <c r="B306" i="22"/>
  <c r="C306" i="22"/>
  <c r="D306" i="22"/>
  <c r="E306" i="22"/>
  <c r="G306" i="22"/>
  <c r="H306" i="22"/>
  <c r="I306" i="22"/>
  <c r="J306" i="22"/>
  <c r="K306" i="22"/>
  <c r="L306" i="22"/>
  <c r="O306" i="22"/>
  <c r="P306" i="22"/>
  <c r="A307" i="22"/>
  <c r="R307" i="22"/>
  <c r="C307" i="22"/>
  <c r="D307" i="22"/>
  <c r="E307" i="22"/>
  <c r="G307" i="22"/>
  <c r="H307" i="22"/>
  <c r="I307" i="22"/>
  <c r="J307" i="22"/>
  <c r="K307" i="22"/>
  <c r="L307" i="22"/>
  <c r="O307" i="22"/>
  <c r="P307" i="22"/>
  <c r="A308" i="22"/>
  <c r="C308" i="22"/>
  <c r="D308" i="22"/>
  <c r="E308" i="22"/>
  <c r="G308" i="22"/>
  <c r="H308" i="22"/>
  <c r="I308" i="22"/>
  <c r="J308" i="22"/>
  <c r="K308" i="22"/>
  <c r="L308" i="22"/>
  <c r="O308" i="22"/>
  <c r="P308" i="22"/>
  <c r="A309" i="22"/>
  <c r="B309" i="22"/>
  <c r="C309" i="22"/>
  <c r="D309" i="22"/>
  <c r="E309" i="22"/>
  <c r="G309" i="22"/>
  <c r="H309" i="22"/>
  <c r="I309" i="22"/>
  <c r="J309" i="22"/>
  <c r="K309" i="22"/>
  <c r="L309" i="22"/>
  <c r="O309" i="22"/>
  <c r="P309" i="22"/>
  <c r="A310" i="22"/>
  <c r="F310" i="22"/>
  <c r="V310" i="22"/>
  <c r="C310" i="22"/>
  <c r="D310" i="22"/>
  <c r="E310" i="22"/>
  <c r="G310" i="22"/>
  <c r="H310" i="22"/>
  <c r="I310" i="22"/>
  <c r="J310" i="22"/>
  <c r="K310" i="22"/>
  <c r="L310" i="22"/>
  <c r="O310" i="22"/>
  <c r="P310" i="22"/>
  <c r="A311" i="22"/>
  <c r="C311" i="22"/>
  <c r="D311" i="22"/>
  <c r="E311" i="22"/>
  <c r="G311" i="22"/>
  <c r="H311" i="22"/>
  <c r="I311" i="22"/>
  <c r="J311" i="22"/>
  <c r="K311" i="22"/>
  <c r="L311" i="22"/>
  <c r="O311" i="22"/>
  <c r="P311" i="22"/>
  <c r="A312" i="22"/>
  <c r="F312" i="22"/>
  <c r="C312" i="22"/>
  <c r="D312" i="22"/>
  <c r="E312" i="22"/>
  <c r="G312" i="22"/>
  <c r="H312" i="22"/>
  <c r="I312" i="22"/>
  <c r="J312" i="22"/>
  <c r="K312" i="22"/>
  <c r="L312" i="22"/>
  <c r="O312" i="22"/>
  <c r="P312" i="22"/>
  <c r="A313" i="22"/>
  <c r="C313" i="22"/>
  <c r="D313" i="22"/>
  <c r="E313" i="22"/>
  <c r="G313" i="22"/>
  <c r="H313" i="22"/>
  <c r="I313" i="22"/>
  <c r="J313" i="22"/>
  <c r="K313" i="22"/>
  <c r="L313" i="22"/>
  <c r="O313" i="22"/>
  <c r="P313" i="22"/>
  <c r="A314" i="22"/>
  <c r="M314" i="22"/>
  <c r="C314" i="22"/>
  <c r="D314" i="22"/>
  <c r="E314" i="22"/>
  <c r="G314" i="22"/>
  <c r="H314" i="22"/>
  <c r="I314" i="22"/>
  <c r="J314" i="22"/>
  <c r="K314" i="22"/>
  <c r="L314" i="22"/>
  <c r="O314" i="22"/>
  <c r="P314" i="22"/>
  <c r="A315" i="22"/>
  <c r="C315" i="22"/>
  <c r="D315" i="22"/>
  <c r="E315" i="22"/>
  <c r="G315" i="22"/>
  <c r="H315" i="22"/>
  <c r="I315" i="22"/>
  <c r="J315" i="22"/>
  <c r="K315" i="22"/>
  <c r="L315" i="22"/>
  <c r="O315" i="22"/>
  <c r="P315" i="22"/>
  <c r="A316" i="22"/>
  <c r="C316" i="22"/>
  <c r="D316" i="22"/>
  <c r="E316" i="22"/>
  <c r="G316" i="22"/>
  <c r="H316" i="22"/>
  <c r="I316" i="22"/>
  <c r="J316" i="22"/>
  <c r="K316" i="22"/>
  <c r="L316" i="22"/>
  <c r="O316" i="22"/>
  <c r="P316" i="22"/>
  <c r="A317" i="22"/>
  <c r="C317" i="22"/>
  <c r="D317" i="22"/>
  <c r="E317" i="22"/>
  <c r="G317" i="22"/>
  <c r="H317" i="22"/>
  <c r="I317" i="22"/>
  <c r="J317" i="22"/>
  <c r="K317" i="22"/>
  <c r="L317" i="22"/>
  <c r="O317" i="22"/>
  <c r="P317" i="22"/>
  <c r="A318" i="22"/>
  <c r="R318" i="22"/>
  <c r="C318" i="22"/>
  <c r="D318" i="22"/>
  <c r="E318" i="22"/>
  <c r="G318" i="22"/>
  <c r="H318" i="22"/>
  <c r="I318" i="22"/>
  <c r="J318" i="22"/>
  <c r="K318" i="22"/>
  <c r="L318" i="22"/>
  <c r="O318" i="22"/>
  <c r="P318" i="22"/>
  <c r="A319" i="22"/>
  <c r="R319" i="22"/>
  <c r="C319" i="22"/>
  <c r="D319" i="22"/>
  <c r="E319" i="22"/>
  <c r="G319" i="22"/>
  <c r="H319" i="22"/>
  <c r="I319" i="22"/>
  <c r="J319" i="22"/>
  <c r="K319" i="22"/>
  <c r="L319" i="22"/>
  <c r="O319" i="22"/>
  <c r="P319" i="22"/>
  <c r="A320" i="22"/>
  <c r="C320" i="22"/>
  <c r="D320" i="22"/>
  <c r="E320" i="22"/>
  <c r="G320" i="22"/>
  <c r="H320" i="22"/>
  <c r="I320" i="22"/>
  <c r="J320" i="22"/>
  <c r="K320" i="22"/>
  <c r="L320" i="22"/>
  <c r="O320" i="22"/>
  <c r="P320" i="22"/>
  <c r="A321" i="22"/>
  <c r="F321" i="22"/>
  <c r="C321" i="22"/>
  <c r="D321" i="22"/>
  <c r="E321" i="22"/>
  <c r="G321" i="22"/>
  <c r="H321" i="22"/>
  <c r="I321" i="22"/>
  <c r="J321" i="22"/>
  <c r="K321" i="22"/>
  <c r="L321" i="22"/>
  <c r="O321" i="22"/>
  <c r="P321" i="22"/>
  <c r="A322" i="22"/>
  <c r="M322" i="22"/>
  <c r="C322" i="22"/>
  <c r="D322" i="22"/>
  <c r="E322" i="22"/>
  <c r="G322" i="22"/>
  <c r="H322" i="22"/>
  <c r="I322" i="22"/>
  <c r="J322" i="22"/>
  <c r="K322" i="22"/>
  <c r="L322" i="22"/>
  <c r="O322" i="22"/>
  <c r="P322" i="22"/>
  <c r="A323" i="22"/>
  <c r="S323" i="22"/>
  <c r="C323" i="22"/>
  <c r="D323" i="22"/>
  <c r="E323" i="22"/>
  <c r="G323" i="22"/>
  <c r="H323" i="22"/>
  <c r="I323" i="22"/>
  <c r="J323" i="22"/>
  <c r="K323" i="22"/>
  <c r="L323" i="22"/>
  <c r="O323" i="22"/>
  <c r="P323" i="22"/>
  <c r="A324" i="22"/>
  <c r="C324" i="22"/>
  <c r="D324" i="22"/>
  <c r="E324" i="22"/>
  <c r="G324" i="22"/>
  <c r="H324" i="22"/>
  <c r="I324" i="22"/>
  <c r="J324" i="22"/>
  <c r="K324" i="22"/>
  <c r="L324" i="22"/>
  <c r="O324" i="22"/>
  <c r="P324" i="22"/>
  <c r="A325" i="22"/>
  <c r="C325" i="22"/>
  <c r="D325" i="22"/>
  <c r="E325" i="22"/>
  <c r="G325" i="22"/>
  <c r="H325" i="22"/>
  <c r="I325" i="22"/>
  <c r="J325" i="22"/>
  <c r="K325" i="22"/>
  <c r="L325" i="22"/>
  <c r="O325" i="22"/>
  <c r="P325" i="22"/>
  <c r="A326" i="22"/>
  <c r="S326" i="22"/>
  <c r="C326" i="22"/>
  <c r="D326" i="22"/>
  <c r="E326" i="22"/>
  <c r="G326" i="22"/>
  <c r="H326" i="22"/>
  <c r="I326" i="22"/>
  <c r="J326" i="22"/>
  <c r="K326" i="22"/>
  <c r="L326" i="22"/>
  <c r="O326" i="22"/>
  <c r="P326" i="22"/>
  <c r="A327" i="22"/>
  <c r="C327" i="22"/>
  <c r="D327" i="22"/>
  <c r="E327" i="22"/>
  <c r="G327" i="22"/>
  <c r="H327" i="22"/>
  <c r="I327" i="22"/>
  <c r="J327" i="22"/>
  <c r="K327" i="22"/>
  <c r="L327" i="22"/>
  <c r="O327" i="22"/>
  <c r="P327" i="22"/>
  <c r="A328" i="22"/>
  <c r="B328" i="22"/>
  <c r="C328" i="22"/>
  <c r="D328" i="22"/>
  <c r="E328" i="22"/>
  <c r="G328" i="22"/>
  <c r="H328" i="22"/>
  <c r="I328" i="22"/>
  <c r="J328" i="22"/>
  <c r="K328" i="22"/>
  <c r="L328" i="22"/>
  <c r="O328" i="22"/>
  <c r="P328" i="22"/>
  <c r="A329" i="22"/>
  <c r="C329" i="22"/>
  <c r="D329" i="22"/>
  <c r="E329" i="22"/>
  <c r="G329" i="22"/>
  <c r="H329" i="22"/>
  <c r="I329" i="22"/>
  <c r="J329" i="22"/>
  <c r="K329" i="22"/>
  <c r="L329" i="22"/>
  <c r="O329" i="22"/>
  <c r="P329" i="22"/>
  <c r="A330" i="22"/>
  <c r="C330" i="22"/>
  <c r="D330" i="22"/>
  <c r="E330" i="22"/>
  <c r="G330" i="22"/>
  <c r="H330" i="22"/>
  <c r="I330" i="22"/>
  <c r="J330" i="22"/>
  <c r="K330" i="22"/>
  <c r="L330" i="22"/>
  <c r="O330" i="22"/>
  <c r="P330" i="22"/>
  <c r="A331" i="22"/>
  <c r="S331" i="22"/>
  <c r="C331" i="22"/>
  <c r="D331" i="22"/>
  <c r="E331" i="22"/>
  <c r="G331" i="22"/>
  <c r="H331" i="22"/>
  <c r="I331" i="22"/>
  <c r="J331" i="22"/>
  <c r="K331" i="22"/>
  <c r="L331" i="22"/>
  <c r="O331" i="22"/>
  <c r="P331" i="22"/>
  <c r="A332" i="22"/>
  <c r="S332" i="22"/>
  <c r="C332" i="22"/>
  <c r="D332" i="22"/>
  <c r="E332" i="22"/>
  <c r="G332" i="22"/>
  <c r="H332" i="22"/>
  <c r="I332" i="22"/>
  <c r="J332" i="22"/>
  <c r="K332" i="22"/>
  <c r="L332" i="22"/>
  <c r="O332" i="22"/>
  <c r="P332" i="22"/>
  <c r="A333" i="22"/>
  <c r="C333" i="22"/>
  <c r="D333" i="22"/>
  <c r="E333" i="22"/>
  <c r="G333" i="22"/>
  <c r="H333" i="22"/>
  <c r="I333" i="22"/>
  <c r="J333" i="22"/>
  <c r="K333" i="22"/>
  <c r="L333" i="22"/>
  <c r="O333" i="22"/>
  <c r="P333" i="22"/>
  <c r="A334" i="22"/>
  <c r="C334" i="22"/>
  <c r="D334" i="22"/>
  <c r="E334" i="22"/>
  <c r="G334" i="22"/>
  <c r="H334" i="22"/>
  <c r="I334" i="22"/>
  <c r="J334" i="22"/>
  <c r="K334" i="22"/>
  <c r="L334" i="22"/>
  <c r="O334" i="22"/>
  <c r="P334" i="22"/>
  <c r="A335" i="22"/>
  <c r="C335" i="22"/>
  <c r="D335" i="22"/>
  <c r="E335" i="22"/>
  <c r="G335" i="22"/>
  <c r="H335" i="22"/>
  <c r="I335" i="22"/>
  <c r="J335" i="22"/>
  <c r="K335" i="22"/>
  <c r="L335" i="22"/>
  <c r="O335" i="22"/>
  <c r="P335" i="22"/>
  <c r="A336" i="22"/>
  <c r="M336" i="22"/>
  <c r="C336" i="22"/>
  <c r="D336" i="22"/>
  <c r="E336" i="22"/>
  <c r="G336" i="22"/>
  <c r="H336" i="22"/>
  <c r="I336" i="22"/>
  <c r="J336" i="22"/>
  <c r="K336" i="22"/>
  <c r="L336" i="22"/>
  <c r="O336" i="22"/>
  <c r="P336" i="22"/>
  <c r="A337" i="22"/>
  <c r="C337" i="22"/>
  <c r="D337" i="22"/>
  <c r="E337" i="22"/>
  <c r="G337" i="22"/>
  <c r="H337" i="22"/>
  <c r="I337" i="22"/>
  <c r="J337" i="22"/>
  <c r="K337" i="22"/>
  <c r="L337" i="22"/>
  <c r="O337" i="22"/>
  <c r="P337" i="22"/>
  <c r="A338" i="22"/>
  <c r="C338" i="22"/>
  <c r="D338" i="22"/>
  <c r="E338" i="22"/>
  <c r="G338" i="22"/>
  <c r="H338" i="22"/>
  <c r="I338" i="22"/>
  <c r="J338" i="22"/>
  <c r="K338" i="22"/>
  <c r="L338" i="22"/>
  <c r="O338" i="22"/>
  <c r="P338" i="22"/>
  <c r="A339" i="22"/>
  <c r="F339" i="22"/>
  <c r="C339" i="22"/>
  <c r="D339" i="22"/>
  <c r="E339" i="22"/>
  <c r="G339" i="22"/>
  <c r="H339" i="22"/>
  <c r="I339" i="22"/>
  <c r="J339" i="22"/>
  <c r="K339" i="22"/>
  <c r="L339" i="22"/>
  <c r="O339" i="22"/>
  <c r="P339" i="22"/>
  <c r="A340" i="22"/>
  <c r="C340" i="22"/>
  <c r="D340" i="22"/>
  <c r="E340" i="22"/>
  <c r="G340" i="22"/>
  <c r="H340" i="22"/>
  <c r="I340" i="22"/>
  <c r="J340" i="22"/>
  <c r="K340" i="22"/>
  <c r="L340" i="22"/>
  <c r="O340" i="22"/>
  <c r="P340" i="22"/>
  <c r="A341" i="22"/>
  <c r="C341" i="22"/>
  <c r="D341" i="22"/>
  <c r="E341" i="22"/>
  <c r="G341" i="22"/>
  <c r="H341" i="22"/>
  <c r="I341" i="22"/>
  <c r="J341" i="22"/>
  <c r="K341" i="22"/>
  <c r="L341" i="22"/>
  <c r="O341" i="22"/>
  <c r="P341" i="22"/>
  <c r="A342" i="22"/>
  <c r="F342" i="22"/>
  <c r="C342" i="22"/>
  <c r="D342" i="22"/>
  <c r="E342" i="22"/>
  <c r="G342" i="22"/>
  <c r="H342" i="22"/>
  <c r="I342" i="22"/>
  <c r="J342" i="22"/>
  <c r="K342" i="22"/>
  <c r="L342" i="22"/>
  <c r="O342" i="22"/>
  <c r="P342" i="22"/>
  <c r="A343" i="22"/>
  <c r="C343" i="22"/>
  <c r="D343" i="22"/>
  <c r="E343" i="22"/>
  <c r="G343" i="22"/>
  <c r="H343" i="22"/>
  <c r="I343" i="22"/>
  <c r="J343" i="22"/>
  <c r="K343" i="22"/>
  <c r="L343" i="22"/>
  <c r="O343" i="22"/>
  <c r="P343" i="22"/>
  <c r="A344" i="22"/>
  <c r="F344" i="22"/>
  <c r="C344" i="22"/>
  <c r="D344" i="22"/>
  <c r="E344" i="22"/>
  <c r="G344" i="22"/>
  <c r="H344" i="22"/>
  <c r="I344" i="22"/>
  <c r="J344" i="22"/>
  <c r="K344" i="22"/>
  <c r="L344" i="22"/>
  <c r="O344" i="22"/>
  <c r="P344" i="22"/>
  <c r="A345" i="22"/>
  <c r="R345" i="22"/>
  <c r="C345" i="22"/>
  <c r="D345" i="22"/>
  <c r="E345" i="22"/>
  <c r="G345" i="22"/>
  <c r="H345" i="22"/>
  <c r="I345" i="22"/>
  <c r="J345" i="22"/>
  <c r="K345" i="22"/>
  <c r="L345" i="22"/>
  <c r="O345" i="22"/>
  <c r="P345" i="22"/>
  <c r="A346" i="22"/>
  <c r="B346" i="22"/>
  <c r="C346" i="22"/>
  <c r="D346" i="22"/>
  <c r="E346" i="22"/>
  <c r="G346" i="22"/>
  <c r="H346" i="22"/>
  <c r="I346" i="22"/>
  <c r="J346" i="22"/>
  <c r="K346" i="22"/>
  <c r="L346" i="22"/>
  <c r="O346" i="22"/>
  <c r="P346" i="22"/>
  <c r="A347" i="22"/>
  <c r="S347" i="22"/>
  <c r="C347" i="22"/>
  <c r="D347" i="22"/>
  <c r="E347" i="22"/>
  <c r="G347" i="22"/>
  <c r="H347" i="22"/>
  <c r="I347" i="22"/>
  <c r="J347" i="22"/>
  <c r="K347" i="22"/>
  <c r="L347" i="22"/>
  <c r="O347" i="22"/>
  <c r="P347" i="22"/>
  <c r="A348" i="22"/>
  <c r="B348" i="22"/>
  <c r="C348" i="22"/>
  <c r="D348" i="22"/>
  <c r="E348" i="22"/>
  <c r="G348" i="22"/>
  <c r="H348" i="22"/>
  <c r="I348" i="22"/>
  <c r="J348" i="22"/>
  <c r="K348" i="22"/>
  <c r="L348" i="22"/>
  <c r="O348" i="22"/>
  <c r="P348" i="22"/>
  <c r="A349" i="22"/>
  <c r="C349" i="22"/>
  <c r="D349" i="22"/>
  <c r="E349" i="22"/>
  <c r="G349" i="22"/>
  <c r="H349" i="22"/>
  <c r="I349" i="22"/>
  <c r="J349" i="22"/>
  <c r="K349" i="22"/>
  <c r="L349" i="22"/>
  <c r="O349" i="22"/>
  <c r="P349" i="22"/>
  <c r="A350" i="22"/>
  <c r="B350" i="22"/>
  <c r="C350" i="22"/>
  <c r="D350" i="22"/>
  <c r="E350" i="22"/>
  <c r="G350" i="22"/>
  <c r="H350" i="22"/>
  <c r="I350" i="22"/>
  <c r="J350" i="22"/>
  <c r="K350" i="22"/>
  <c r="L350" i="22"/>
  <c r="O350" i="22"/>
  <c r="P350" i="22"/>
  <c r="A351" i="22"/>
  <c r="C351" i="22"/>
  <c r="D351" i="22"/>
  <c r="E351" i="22"/>
  <c r="G351" i="22"/>
  <c r="H351" i="22"/>
  <c r="I351" i="22"/>
  <c r="J351" i="22"/>
  <c r="K351" i="22"/>
  <c r="L351" i="22"/>
  <c r="O351" i="22"/>
  <c r="P351" i="22"/>
  <c r="A352" i="22"/>
  <c r="C352" i="22"/>
  <c r="D352" i="22"/>
  <c r="E352" i="22"/>
  <c r="G352" i="22"/>
  <c r="H352" i="22"/>
  <c r="I352" i="22"/>
  <c r="J352" i="22"/>
  <c r="K352" i="22"/>
  <c r="L352" i="22"/>
  <c r="O352" i="22"/>
  <c r="P352" i="22"/>
  <c r="A353" i="22"/>
  <c r="S353" i="22"/>
  <c r="C353" i="22"/>
  <c r="D353" i="22"/>
  <c r="E353" i="22"/>
  <c r="G353" i="22"/>
  <c r="H353" i="22"/>
  <c r="I353" i="22"/>
  <c r="J353" i="22"/>
  <c r="K353" i="22"/>
  <c r="L353" i="22"/>
  <c r="O353" i="22"/>
  <c r="P353" i="22"/>
  <c r="A354" i="22"/>
  <c r="C354" i="22"/>
  <c r="D354" i="22"/>
  <c r="E354" i="22"/>
  <c r="G354" i="22"/>
  <c r="H354" i="22"/>
  <c r="I354" i="22"/>
  <c r="J354" i="22"/>
  <c r="K354" i="22"/>
  <c r="L354" i="22"/>
  <c r="O354" i="22"/>
  <c r="P354" i="22"/>
  <c r="A355" i="22"/>
  <c r="C355" i="22"/>
  <c r="D355" i="22"/>
  <c r="E355" i="22"/>
  <c r="G355" i="22"/>
  <c r="H355" i="22"/>
  <c r="I355" i="22"/>
  <c r="J355" i="22"/>
  <c r="K355" i="22"/>
  <c r="L355" i="22"/>
  <c r="O355" i="22"/>
  <c r="P355" i="22"/>
  <c r="A356" i="22"/>
  <c r="C356" i="22"/>
  <c r="D356" i="22"/>
  <c r="E356" i="22"/>
  <c r="G356" i="22"/>
  <c r="H356" i="22"/>
  <c r="I356" i="22"/>
  <c r="J356" i="22"/>
  <c r="K356" i="22"/>
  <c r="L356" i="22"/>
  <c r="O356" i="22"/>
  <c r="P356" i="22"/>
  <c r="A357" i="22"/>
  <c r="C357" i="22"/>
  <c r="D357" i="22"/>
  <c r="E357" i="22"/>
  <c r="G357" i="22"/>
  <c r="H357" i="22"/>
  <c r="I357" i="22"/>
  <c r="J357" i="22"/>
  <c r="K357" i="22"/>
  <c r="L357" i="22"/>
  <c r="O357" i="22"/>
  <c r="P357" i="22"/>
  <c r="A358" i="22"/>
  <c r="C358" i="22"/>
  <c r="D358" i="22"/>
  <c r="E358" i="22"/>
  <c r="G358" i="22"/>
  <c r="H358" i="22"/>
  <c r="I358" i="22"/>
  <c r="J358" i="22"/>
  <c r="K358" i="22"/>
  <c r="L358" i="22"/>
  <c r="O358" i="22"/>
  <c r="P358" i="22"/>
  <c r="A359" i="22"/>
  <c r="C359" i="22"/>
  <c r="D359" i="22"/>
  <c r="E359" i="22"/>
  <c r="G359" i="22"/>
  <c r="H359" i="22"/>
  <c r="I359" i="22"/>
  <c r="J359" i="22"/>
  <c r="K359" i="22"/>
  <c r="L359" i="22"/>
  <c r="O359" i="22"/>
  <c r="P359" i="22"/>
  <c r="A360" i="22"/>
  <c r="C360" i="22"/>
  <c r="D360" i="22"/>
  <c r="E360" i="22"/>
  <c r="G360" i="22"/>
  <c r="H360" i="22"/>
  <c r="I360" i="22"/>
  <c r="J360" i="22"/>
  <c r="K360" i="22"/>
  <c r="L360" i="22"/>
  <c r="O360" i="22"/>
  <c r="P360" i="22"/>
  <c r="A361" i="22"/>
  <c r="S361" i="22"/>
  <c r="C361" i="22"/>
  <c r="D361" i="22"/>
  <c r="E361" i="22"/>
  <c r="G361" i="22"/>
  <c r="H361" i="22"/>
  <c r="I361" i="22"/>
  <c r="J361" i="22"/>
  <c r="K361" i="22"/>
  <c r="L361" i="22"/>
  <c r="O361" i="22"/>
  <c r="P361" i="22"/>
  <c r="A362" i="22"/>
  <c r="M362" i="22"/>
  <c r="C362" i="22"/>
  <c r="D362" i="22"/>
  <c r="E362" i="22"/>
  <c r="G362" i="22"/>
  <c r="H362" i="22"/>
  <c r="I362" i="22"/>
  <c r="J362" i="22"/>
  <c r="K362" i="22"/>
  <c r="L362" i="22"/>
  <c r="O362" i="22"/>
  <c r="P362" i="22"/>
  <c r="A363" i="22"/>
  <c r="C363" i="22"/>
  <c r="D363" i="22"/>
  <c r="E363" i="22"/>
  <c r="G363" i="22"/>
  <c r="H363" i="22"/>
  <c r="I363" i="22"/>
  <c r="J363" i="22"/>
  <c r="K363" i="22"/>
  <c r="L363" i="22"/>
  <c r="O363" i="22"/>
  <c r="P363" i="22"/>
  <c r="A364" i="22"/>
  <c r="C364" i="22"/>
  <c r="D364" i="22"/>
  <c r="E364" i="22"/>
  <c r="G364" i="22"/>
  <c r="H364" i="22"/>
  <c r="I364" i="22"/>
  <c r="J364" i="22"/>
  <c r="K364" i="22"/>
  <c r="L364" i="22"/>
  <c r="O364" i="22"/>
  <c r="P364" i="22"/>
  <c r="A365" i="22"/>
  <c r="C365" i="22"/>
  <c r="D365" i="22"/>
  <c r="E365" i="22"/>
  <c r="G365" i="22"/>
  <c r="H365" i="22"/>
  <c r="I365" i="22"/>
  <c r="J365" i="22"/>
  <c r="K365" i="22"/>
  <c r="L365" i="22"/>
  <c r="O365" i="22"/>
  <c r="P365" i="22"/>
  <c r="A366" i="22"/>
  <c r="M366" i="22"/>
  <c r="C366" i="22"/>
  <c r="D366" i="22"/>
  <c r="E366" i="22"/>
  <c r="G366" i="22"/>
  <c r="H366" i="22"/>
  <c r="I366" i="22"/>
  <c r="J366" i="22"/>
  <c r="K366" i="22"/>
  <c r="L366" i="22"/>
  <c r="O366" i="22"/>
  <c r="P366" i="22"/>
  <c r="A367" i="22"/>
  <c r="S367" i="22"/>
  <c r="C367" i="22"/>
  <c r="D367" i="22"/>
  <c r="E367" i="22"/>
  <c r="G367" i="22"/>
  <c r="H367" i="22"/>
  <c r="I367" i="22"/>
  <c r="J367" i="22"/>
  <c r="K367" i="22"/>
  <c r="L367" i="22"/>
  <c r="O367" i="22"/>
  <c r="P367" i="22"/>
  <c r="A368" i="22"/>
  <c r="C368" i="22"/>
  <c r="D368" i="22"/>
  <c r="E368" i="22"/>
  <c r="G368" i="22"/>
  <c r="H368" i="22"/>
  <c r="I368" i="22"/>
  <c r="J368" i="22"/>
  <c r="K368" i="22"/>
  <c r="L368" i="22"/>
  <c r="O368" i="22"/>
  <c r="P368" i="22"/>
  <c r="A369" i="22"/>
  <c r="F369" i="22"/>
  <c r="T369" i="22"/>
  <c r="C369" i="22"/>
  <c r="D369" i="22"/>
  <c r="E369" i="22"/>
  <c r="G369" i="22"/>
  <c r="H369" i="22"/>
  <c r="I369" i="22"/>
  <c r="J369" i="22"/>
  <c r="K369" i="22"/>
  <c r="L369" i="22"/>
  <c r="O369" i="22"/>
  <c r="P369" i="22"/>
  <c r="A370" i="22"/>
  <c r="M370" i="22"/>
  <c r="C370" i="22"/>
  <c r="D370" i="22"/>
  <c r="E370" i="22"/>
  <c r="G370" i="22"/>
  <c r="H370" i="22"/>
  <c r="I370" i="22"/>
  <c r="J370" i="22"/>
  <c r="K370" i="22"/>
  <c r="L370" i="22"/>
  <c r="O370" i="22"/>
  <c r="P370" i="22"/>
  <c r="A371" i="22"/>
  <c r="C371" i="22"/>
  <c r="D371" i="22"/>
  <c r="E371" i="22"/>
  <c r="G371" i="22"/>
  <c r="H371" i="22"/>
  <c r="I371" i="22"/>
  <c r="J371" i="22"/>
  <c r="K371" i="22"/>
  <c r="L371" i="22"/>
  <c r="O371" i="22"/>
  <c r="P371" i="22"/>
  <c r="A372" i="22"/>
  <c r="C372" i="22"/>
  <c r="D372" i="22"/>
  <c r="E372" i="22"/>
  <c r="G372" i="22"/>
  <c r="H372" i="22"/>
  <c r="I372" i="22"/>
  <c r="J372" i="22"/>
  <c r="K372" i="22"/>
  <c r="L372" i="22"/>
  <c r="O372" i="22"/>
  <c r="P372" i="22"/>
  <c r="A373" i="22"/>
  <c r="F373" i="22"/>
  <c r="T373" i="22"/>
  <c r="C373" i="22"/>
  <c r="D373" i="22"/>
  <c r="E373" i="22"/>
  <c r="G373" i="22"/>
  <c r="H373" i="22"/>
  <c r="I373" i="22"/>
  <c r="J373" i="22"/>
  <c r="K373" i="22"/>
  <c r="L373" i="22"/>
  <c r="O373" i="22"/>
  <c r="P373" i="22"/>
  <c r="A374" i="22"/>
  <c r="M374" i="22"/>
  <c r="C374" i="22"/>
  <c r="D374" i="22"/>
  <c r="E374" i="22"/>
  <c r="G374" i="22"/>
  <c r="H374" i="22"/>
  <c r="I374" i="22"/>
  <c r="J374" i="22"/>
  <c r="K374" i="22"/>
  <c r="L374" i="22"/>
  <c r="O374" i="22"/>
  <c r="P374" i="22"/>
  <c r="A375" i="22"/>
  <c r="F375" i="22"/>
  <c r="C375" i="22"/>
  <c r="D375" i="22"/>
  <c r="E375" i="22"/>
  <c r="G375" i="22"/>
  <c r="H375" i="22"/>
  <c r="I375" i="22"/>
  <c r="J375" i="22"/>
  <c r="K375" i="22"/>
  <c r="L375" i="22"/>
  <c r="O375" i="22"/>
  <c r="P375" i="22"/>
  <c r="A376" i="22"/>
  <c r="M376" i="22"/>
  <c r="C376" i="22"/>
  <c r="D376" i="22"/>
  <c r="E376" i="22"/>
  <c r="G376" i="22"/>
  <c r="H376" i="22"/>
  <c r="I376" i="22"/>
  <c r="J376" i="22"/>
  <c r="K376" i="22"/>
  <c r="L376" i="22"/>
  <c r="O376" i="22"/>
  <c r="P376" i="22"/>
  <c r="A377" i="22"/>
  <c r="S377" i="22"/>
  <c r="C377" i="22"/>
  <c r="D377" i="22"/>
  <c r="E377" i="22"/>
  <c r="G377" i="22"/>
  <c r="H377" i="22"/>
  <c r="I377" i="22"/>
  <c r="J377" i="22"/>
  <c r="K377" i="22"/>
  <c r="L377" i="22"/>
  <c r="O377" i="22"/>
  <c r="P377" i="22"/>
  <c r="A378" i="22"/>
  <c r="R378" i="22"/>
  <c r="C378" i="22"/>
  <c r="D378" i="22"/>
  <c r="E378" i="22"/>
  <c r="G378" i="22"/>
  <c r="H378" i="22"/>
  <c r="I378" i="22"/>
  <c r="J378" i="22"/>
  <c r="K378" i="22"/>
  <c r="L378" i="22"/>
  <c r="O378" i="22"/>
  <c r="P378" i="22"/>
  <c r="A379" i="22"/>
  <c r="C379" i="22"/>
  <c r="D379" i="22"/>
  <c r="E379" i="22"/>
  <c r="G379" i="22"/>
  <c r="H379" i="22"/>
  <c r="I379" i="22"/>
  <c r="J379" i="22"/>
  <c r="K379" i="22"/>
  <c r="L379" i="22"/>
  <c r="O379" i="22"/>
  <c r="P379" i="22"/>
  <c r="A380" i="22"/>
  <c r="B380" i="22"/>
  <c r="C380" i="22"/>
  <c r="D380" i="22"/>
  <c r="E380" i="22"/>
  <c r="G380" i="22"/>
  <c r="H380" i="22"/>
  <c r="I380" i="22"/>
  <c r="J380" i="22"/>
  <c r="K380" i="22"/>
  <c r="L380" i="22"/>
  <c r="O380" i="22"/>
  <c r="P380" i="22"/>
  <c r="A381" i="22"/>
  <c r="C381" i="22"/>
  <c r="D381" i="22"/>
  <c r="E381" i="22"/>
  <c r="G381" i="22"/>
  <c r="H381" i="22"/>
  <c r="I381" i="22"/>
  <c r="J381" i="22"/>
  <c r="K381" i="22"/>
  <c r="L381" i="22"/>
  <c r="O381" i="22"/>
  <c r="P381" i="22"/>
  <c r="A382" i="22"/>
  <c r="B382" i="22"/>
  <c r="C382" i="22"/>
  <c r="D382" i="22"/>
  <c r="E382" i="22"/>
  <c r="G382" i="22"/>
  <c r="H382" i="22"/>
  <c r="I382" i="22"/>
  <c r="J382" i="22"/>
  <c r="K382" i="22"/>
  <c r="L382" i="22"/>
  <c r="O382" i="22"/>
  <c r="P382" i="22"/>
  <c r="A383" i="22"/>
  <c r="R383" i="22"/>
  <c r="C383" i="22"/>
  <c r="D383" i="22"/>
  <c r="E383" i="22"/>
  <c r="G383" i="22"/>
  <c r="H383" i="22"/>
  <c r="I383" i="22"/>
  <c r="J383" i="22"/>
  <c r="K383" i="22"/>
  <c r="L383" i="22"/>
  <c r="O383" i="22"/>
  <c r="P383" i="22"/>
  <c r="A384" i="22"/>
  <c r="C384" i="22"/>
  <c r="D384" i="22"/>
  <c r="E384" i="22"/>
  <c r="G384" i="22"/>
  <c r="H384" i="22"/>
  <c r="I384" i="22"/>
  <c r="J384" i="22"/>
  <c r="K384" i="22"/>
  <c r="L384" i="22"/>
  <c r="O384" i="22"/>
  <c r="P384" i="22"/>
  <c r="A385" i="22"/>
  <c r="M385" i="22"/>
  <c r="C385" i="22"/>
  <c r="D385" i="22"/>
  <c r="E385" i="22"/>
  <c r="G385" i="22"/>
  <c r="H385" i="22"/>
  <c r="I385" i="22"/>
  <c r="J385" i="22"/>
  <c r="K385" i="22"/>
  <c r="L385" i="22"/>
  <c r="O385" i="22"/>
  <c r="P385" i="22"/>
  <c r="A386" i="22"/>
  <c r="C386" i="22"/>
  <c r="D386" i="22"/>
  <c r="E386" i="22"/>
  <c r="G386" i="22"/>
  <c r="H386" i="22"/>
  <c r="I386" i="22"/>
  <c r="J386" i="22"/>
  <c r="K386" i="22"/>
  <c r="L386" i="22"/>
  <c r="O386" i="22"/>
  <c r="P386" i="22"/>
  <c r="A387" i="22"/>
  <c r="C387" i="22"/>
  <c r="D387" i="22"/>
  <c r="E387" i="22"/>
  <c r="G387" i="22"/>
  <c r="H387" i="22"/>
  <c r="I387" i="22"/>
  <c r="J387" i="22"/>
  <c r="K387" i="22"/>
  <c r="L387" i="22"/>
  <c r="O387" i="22"/>
  <c r="P387" i="22"/>
  <c r="A388" i="22"/>
  <c r="C388" i="22"/>
  <c r="D388" i="22"/>
  <c r="E388" i="22"/>
  <c r="G388" i="22"/>
  <c r="H388" i="22"/>
  <c r="I388" i="22"/>
  <c r="J388" i="22"/>
  <c r="K388" i="22"/>
  <c r="L388" i="22"/>
  <c r="O388" i="22"/>
  <c r="P388" i="22"/>
  <c r="A389" i="22"/>
  <c r="C389" i="22"/>
  <c r="D389" i="22"/>
  <c r="E389" i="22"/>
  <c r="G389" i="22"/>
  <c r="H389" i="22"/>
  <c r="I389" i="22"/>
  <c r="J389" i="22"/>
  <c r="K389" i="22"/>
  <c r="L389" i="22"/>
  <c r="O389" i="22"/>
  <c r="P389" i="22"/>
  <c r="A390" i="22"/>
  <c r="R390" i="22"/>
  <c r="C390" i="22"/>
  <c r="D390" i="22"/>
  <c r="E390" i="22"/>
  <c r="G390" i="22"/>
  <c r="H390" i="22"/>
  <c r="I390" i="22"/>
  <c r="J390" i="22"/>
  <c r="K390" i="22"/>
  <c r="L390" i="22"/>
  <c r="O390" i="22"/>
  <c r="P390" i="22"/>
  <c r="A391" i="22"/>
  <c r="M391" i="22"/>
  <c r="C391" i="22"/>
  <c r="D391" i="22"/>
  <c r="E391" i="22"/>
  <c r="G391" i="22"/>
  <c r="H391" i="22"/>
  <c r="I391" i="22"/>
  <c r="J391" i="22"/>
  <c r="K391" i="22"/>
  <c r="L391" i="22"/>
  <c r="O391" i="22"/>
  <c r="P391" i="22"/>
  <c r="A392" i="22"/>
  <c r="F392" i="22"/>
  <c r="V392" i="22"/>
  <c r="C392" i="22"/>
  <c r="D392" i="22"/>
  <c r="E392" i="22"/>
  <c r="G392" i="22"/>
  <c r="H392" i="22"/>
  <c r="I392" i="22"/>
  <c r="J392" i="22"/>
  <c r="K392" i="22"/>
  <c r="L392" i="22"/>
  <c r="O392" i="22"/>
  <c r="P392" i="22"/>
  <c r="A393" i="22"/>
  <c r="R393" i="22"/>
  <c r="C393" i="22"/>
  <c r="D393" i="22"/>
  <c r="E393" i="22"/>
  <c r="G393" i="22"/>
  <c r="H393" i="22"/>
  <c r="I393" i="22"/>
  <c r="J393" i="22"/>
  <c r="K393" i="22"/>
  <c r="L393" i="22"/>
  <c r="O393" i="22"/>
  <c r="P393" i="22"/>
  <c r="A394" i="22"/>
  <c r="B394" i="22"/>
  <c r="C394" i="22"/>
  <c r="D394" i="22"/>
  <c r="E394" i="22"/>
  <c r="G394" i="22"/>
  <c r="H394" i="22"/>
  <c r="I394" i="22"/>
  <c r="J394" i="22"/>
  <c r="K394" i="22"/>
  <c r="L394" i="22"/>
  <c r="O394" i="22"/>
  <c r="P394" i="22"/>
  <c r="A395" i="22"/>
  <c r="S395" i="22"/>
  <c r="C395" i="22"/>
  <c r="D395" i="22"/>
  <c r="E395" i="22"/>
  <c r="G395" i="22"/>
  <c r="H395" i="22"/>
  <c r="I395" i="22"/>
  <c r="J395" i="22"/>
  <c r="K395" i="22"/>
  <c r="L395" i="22"/>
  <c r="O395" i="22"/>
  <c r="P395" i="22"/>
  <c r="A396" i="22"/>
  <c r="C396" i="22"/>
  <c r="D396" i="22"/>
  <c r="E396" i="22"/>
  <c r="G396" i="22"/>
  <c r="H396" i="22"/>
  <c r="I396" i="22"/>
  <c r="J396" i="22"/>
  <c r="K396" i="22"/>
  <c r="L396" i="22"/>
  <c r="O396" i="22"/>
  <c r="P396" i="22"/>
  <c r="A397" i="22"/>
  <c r="C397" i="22"/>
  <c r="D397" i="22"/>
  <c r="E397" i="22"/>
  <c r="G397" i="22"/>
  <c r="H397" i="22"/>
  <c r="I397" i="22"/>
  <c r="J397" i="22"/>
  <c r="K397" i="22"/>
  <c r="L397" i="22"/>
  <c r="O397" i="22"/>
  <c r="P397" i="22"/>
  <c r="A398" i="22"/>
  <c r="M398" i="22"/>
  <c r="C398" i="22"/>
  <c r="D398" i="22"/>
  <c r="E398" i="22"/>
  <c r="G398" i="22"/>
  <c r="H398" i="22"/>
  <c r="I398" i="22"/>
  <c r="J398" i="22"/>
  <c r="K398" i="22"/>
  <c r="L398" i="22"/>
  <c r="O398" i="22"/>
  <c r="P398" i="22"/>
  <c r="A399" i="22"/>
  <c r="S399" i="22"/>
  <c r="C399" i="22"/>
  <c r="D399" i="22"/>
  <c r="E399" i="22"/>
  <c r="G399" i="22"/>
  <c r="H399" i="22"/>
  <c r="I399" i="22"/>
  <c r="J399" i="22"/>
  <c r="K399" i="22"/>
  <c r="L399" i="22"/>
  <c r="O399" i="22"/>
  <c r="P399" i="22"/>
  <c r="A400" i="22"/>
  <c r="C400" i="22"/>
  <c r="D400" i="22"/>
  <c r="E400" i="22"/>
  <c r="G400" i="22"/>
  <c r="H400" i="22"/>
  <c r="I400" i="22"/>
  <c r="J400" i="22"/>
  <c r="K400" i="22"/>
  <c r="L400" i="22"/>
  <c r="O400" i="22"/>
  <c r="P400" i="22"/>
  <c r="A401" i="22"/>
  <c r="M401" i="22"/>
  <c r="C401" i="22"/>
  <c r="D401" i="22"/>
  <c r="E401" i="22"/>
  <c r="G401" i="22"/>
  <c r="H401" i="22"/>
  <c r="I401" i="22"/>
  <c r="J401" i="22"/>
  <c r="K401" i="22"/>
  <c r="L401" i="22"/>
  <c r="O401" i="22"/>
  <c r="P401" i="22"/>
  <c r="A402" i="22"/>
  <c r="M402" i="22"/>
  <c r="C402" i="22"/>
  <c r="D402" i="22"/>
  <c r="E402" i="22"/>
  <c r="G402" i="22"/>
  <c r="H402" i="22"/>
  <c r="I402" i="22"/>
  <c r="J402" i="22"/>
  <c r="K402" i="22"/>
  <c r="L402" i="22"/>
  <c r="O402" i="22"/>
  <c r="P402" i="22"/>
  <c r="A403" i="22"/>
  <c r="B403" i="22"/>
  <c r="C403" i="22"/>
  <c r="D403" i="22"/>
  <c r="E403" i="22"/>
  <c r="G403" i="22"/>
  <c r="H403" i="22"/>
  <c r="I403" i="22"/>
  <c r="J403" i="22"/>
  <c r="K403" i="22"/>
  <c r="L403" i="22"/>
  <c r="O403" i="22"/>
  <c r="P403" i="22"/>
  <c r="A404" i="22"/>
  <c r="C404" i="22"/>
  <c r="D404" i="22"/>
  <c r="E404" i="22"/>
  <c r="G404" i="22"/>
  <c r="H404" i="22"/>
  <c r="I404" i="22"/>
  <c r="J404" i="22"/>
  <c r="K404" i="22"/>
  <c r="L404" i="22"/>
  <c r="O404" i="22"/>
  <c r="P404" i="22"/>
  <c r="A405" i="22"/>
  <c r="M405" i="22"/>
  <c r="C405" i="22"/>
  <c r="D405" i="22"/>
  <c r="E405" i="22"/>
  <c r="G405" i="22"/>
  <c r="H405" i="22"/>
  <c r="I405" i="22"/>
  <c r="J405" i="22"/>
  <c r="K405" i="22"/>
  <c r="L405" i="22"/>
  <c r="O405" i="22"/>
  <c r="P405" i="22"/>
  <c r="A406" i="22"/>
  <c r="R406" i="22"/>
  <c r="C406" i="22"/>
  <c r="D406" i="22"/>
  <c r="E406" i="22"/>
  <c r="G406" i="22"/>
  <c r="H406" i="22"/>
  <c r="I406" i="22"/>
  <c r="J406" i="22"/>
  <c r="K406" i="22"/>
  <c r="L406" i="22"/>
  <c r="O406" i="22"/>
  <c r="P406" i="22"/>
  <c r="A407" i="22"/>
  <c r="S407" i="22"/>
  <c r="C407" i="22"/>
  <c r="D407" i="22"/>
  <c r="E407" i="22"/>
  <c r="G407" i="22"/>
  <c r="H407" i="22"/>
  <c r="I407" i="22"/>
  <c r="J407" i="22"/>
  <c r="K407" i="22"/>
  <c r="L407" i="22"/>
  <c r="O407" i="22"/>
  <c r="P407" i="22"/>
  <c r="A408" i="22"/>
  <c r="S408" i="22"/>
  <c r="C408" i="22"/>
  <c r="D408" i="22"/>
  <c r="E408" i="22"/>
  <c r="G408" i="22"/>
  <c r="H408" i="22"/>
  <c r="I408" i="22"/>
  <c r="J408" i="22"/>
  <c r="K408" i="22"/>
  <c r="L408" i="22"/>
  <c r="O408" i="22"/>
  <c r="P408" i="22"/>
  <c r="A409" i="22"/>
  <c r="C409" i="22"/>
  <c r="D409" i="22"/>
  <c r="E409" i="22"/>
  <c r="G409" i="22"/>
  <c r="H409" i="22"/>
  <c r="I409" i="22"/>
  <c r="J409" i="22"/>
  <c r="K409" i="22"/>
  <c r="L409" i="22"/>
  <c r="O409" i="22"/>
  <c r="P409" i="22"/>
  <c r="A410" i="22"/>
  <c r="F410" i="22"/>
  <c r="C410" i="22"/>
  <c r="D410" i="22"/>
  <c r="E410" i="22"/>
  <c r="G410" i="22"/>
  <c r="H410" i="22"/>
  <c r="I410" i="22"/>
  <c r="J410" i="22"/>
  <c r="K410" i="22"/>
  <c r="L410" i="22"/>
  <c r="O410" i="22"/>
  <c r="P410" i="22"/>
  <c r="A411" i="22"/>
  <c r="R411" i="22"/>
  <c r="C411" i="22"/>
  <c r="D411" i="22"/>
  <c r="E411" i="22"/>
  <c r="G411" i="22"/>
  <c r="H411" i="22"/>
  <c r="I411" i="22"/>
  <c r="J411" i="22"/>
  <c r="K411" i="22"/>
  <c r="L411" i="22"/>
  <c r="O411" i="22"/>
  <c r="P411" i="22"/>
  <c r="A412" i="22"/>
  <c r="M412" i="22"/>
  <c r="C412" i="22"/>
  <c r="D412" i="22"/>
  <c r="E412" i="22"/>
  <c r="G412" i="22"/>
  <c r="H412" i="22"/>
  <c r="I412" i="22"/>
  <c r="J412" i="22"/>
  <c r="K412" i="22"/>
  <c r="L412" i="22"/>
  <c r="O412" i="22"/>
  <c r="P412" i="22"/>
  <c r="A413" i="22"/>
  <c r="B413" i="22"/>
  <c r="C413" i="22"/>
  <c r="D413" i="22"/>
  <c r="E413" i="22"/>
  <c r="G413" i="22"/>
  <c r="H413" i="22"/>
  <c r="I413" i="22"/>
  <c r="J413" i="22"/>
  <c r="K413" i="22"/>
  <c r="L413" i="22"/>
  <c r="O413" i="22"/>
  <c r="P413" i="22"/>
  <c r="A414" i="22"/>
  <c r="M414" i="22"/>
  <c r="C414" i="22"/>
  <c r="D414" i="22"/>
  <c r="E414" i="22"/>
  <c r="G414" i="22"/>
  <c r="H414" i="22"/>
  <c r="I414" i="22"/>
  <c r="J414" i="22"/>
  <c r="K414" i="22"/>
  <c r="L414" i="22"/>
  <c r="O414" i="22"/>
  <c r="P414" i="22"/>
  <c r="A415" i="22"/>
  <c r="M415" i="22"/>
  <c r="C415" i="22"/>
  <c r="D415" i="22"/>
  <c r="E415" i="22"/>
  <c r="G415" i="22"/>
  <c r="H415" i="22"/>
  <c r="I415" i="22"/>
  <c r="J415" i="22"/>
  <c r="K415" i="22"/>
  <c r="L415" i="22"/>
  <c r="O415" i="22"/>
  <c r="P415" i="22"/>
  <c r="A416" i="22"/>
  <c r="B416" i="22"/>
  <c r="C416" i="22"/>
  <c r="D416" i="22"/>
  <c r="E416" i="22"/>
  <c r="G416" i="22"/>
  <c r="H416" i="22"/>
  <c r="I416" i="22"/>
  <c r="J416" i="22"/>
  <c r="K416" i="22"/>
  <c r="L416" i="22"/>
  <c r="O416" i="22"/>
  <c r="P416" i="22"/>
  <c r="A417" i="22"/>
  <c r="C417" i="22"/>
  <c r="D417" i="22"/>
  <c r="E417" i="22"/>
  <c r="G417" i="22"/>
  <c r="H417" i="22"/>
  <c r="I417" i="22"/>
  <c r="J417" i="22"/>
  <c r="K417" i="22"/>
  <c r="L417" i="22"/>
  <c r="O417" i="22"/>
  <c r="P417" i="22"/>
  <c r="A418" i="22"/>
  <c r="M418" i="22"/>
  <c r="C418" i="22"/>
  <c r="D418" i="22"/>
  <c r="E418" i="22"/>
  <c r="G418" i="22"/>
  <c r="H418" i="22"/>
  <c r="I418" i="22"/>
  <c r="J418" i="22"/>
  <c r="K418" i="22"/>
  <c r="L418" i="22"/>
  <c r="O418" i="22"/>
  <c r="P418" i="22"/>
  <c r="A419" i="22"/>
  <c r="R419" i="22"/>
  <c r="C419" i="22"/>
  <c r="D419" i="22"/>
  <c r="E419" i="22"/>
  <c r="G419" i="22"/>
  <c r="H419" i="22"/>
  <c r="I419" i="22"/>
  <c r="J419" i="22"/>
  <c r="K419" i="22"/>
  <c r="L419" i="22"/>
  <c r="O419" i="22"/>
  <c r="P419" i="22"/>
  <c r="A420" i="22"/>
  <c r="C420" i="22"/>
  <c r="D420" i="22"/>
  <c r="E420" i="22"/>
  <c r="G420" i="22"/>
  <c r="H420" i="22"/>
  <c r="I420" i="22"/>
  <c r="J420" i="22"/>
  <c r="K420" i="22"/>
  <c r="L420" i="22"/>
  <c r="O420" i="22"/>
  <c r="P420" i="22"/>
  <c r="A421" i="22"/>
  <c r="C421" i="22"/>
  <c r="D421" i="22"/>
  <c r="E421" i="22"/>
  <c r="G421" i="22"/>
  <c r="H421" i="22"/>
  <c r="I421" i="22"/>
  <c r="J421" i="22"/>
  <c r="K421" i="22"/>
  <c r="L421" i="22"/>
  <c r="O421" i="22"/>
  <c r="P421" i="22"/>
  <c r="A422" i="22"/>
  <c r="R422" i="22"/>
  <c r="C422" i="22"/>
  <c r="D422" i="22"/>
  <c r="E422" i="22"/>
  <c r="G422" i="22"/>
  <c r="H422" i="22"/>
  <c r="I422" i="22"/>
  <c r="J422" i="22"/>
  <c r="K422" i="22"/>
  <c r="L422" i="22"/>
  <c r="O422" i="22"/>
  <c r="P422" i="22"/>
  <c r="A423" i="22"/>
  <c r="R423" i="22"/>
  <c r="C423" i="22"/>
  <c r="D423" i="22"/>
  <c r="E423" i="22"/>
  <c r="G423" i="22"/>
  <c r="H423" i="22"/>
  <c r="I423" i="22"/>
  <c r="J423" i="22"/>
  <c r="K423" i="22"/>
  <c r="L423" i="22"/>
  <c r="O423" i="22"/>
  <c r="P423" i="22"/>
  <c r="A424" i="22"/>
  <c r="F424" i="22"/>
  <c r="T424" i="22"/>
  <c r="C424" i="22"/>
  <c r="D424" i="22"/>
  <c r="E424" i="22"/>
  <c r="G424" i="22"/>
  <c r="H424" i="22"/>
  <c r="I424" i="22"/>
  <c r="J424" i="22"/>
  <c r="K424" i="22"/>
  <c r="L424" i="22"/>
  <c r="O424" i="22"/>
  <c r="P424" i="22"/>
  <c r="A425" i="22"/>
  <c r="C425" i="22"/>
  <c r="D425" i="22"/>
  <c r="E425" i="22"/>
  <c r="G425" i="22"/>
  <c r="H425" i="22"/>
  <c r="I425" i="22"/>
  <c r="J425" i="22"/>
  <c r="K425" i="22"/>
  <c r="L425" i="22"/>
  <c r="O425" i="22"/>
  <c r="P425" i="22"/>
  <c r="A426" i="22"/>
  <c r="C426" i="22"/>
  <c r="D426" i="22"/>
  <c r="E426" i="22"/>
  <c r="G426" i="22"/>
  <c r="H426" i="22"/>
  <c r="I426" i="22"/>
  <c r="J426" i="22"/>
  <c r="K426" i="22"/>
  <c r="L426" i="22"/>
  <c r="O426" i="22"/>
  <c r="P426" i="22"/>
  <c r="A427" i="22"/>
  <c r="R427" i="22"/>
  <c r="C427" i="22"/>
  <c r="D427" i="22"/>
  <c r="E427" i="22"/>
  <c r="G427" i="22"/>
  <c r="H427" i="22"/>
  <c r="I427" i="22"/>
  <c r="J427" i="22"/>
  <c r="K427" i="22"/>
  <c r="L427" i="22"/>
  <c r="O427" i="22"/>
  <c r="P427" i="22"/>
  <c r="A428" i="22"/>
  <c r="B428" i="22"/>
  <c r="C428" i="22"/>
  <c r="D428" i="22"/>
  <c r="E428" i="22"/>
  <c r="G428" i="22"/>
  <c r="H428" i="22"/>
  <c r="I428" i="22"/>
  <c r="J428" i="22"/>
  <c r="K428" i="22"/>
  <c r="L428" i="22"/>
  <c r="O428" i="22"/>
  <c r="P428" i="22"/>
  <c r="A429" i="22"/>
  <c r="S429" i="22"/>
  <c r="C429" i="22"/>
  <c r="D429" i="22"/>
  <c r="E429" i="22"/>
  <c r="G429" i="22"/>
  <c r="H429" i="22"/>
  <c r="I429" i="22"/>
  <c r="J429" i="22"/>
  <c r="K429" i="22"/>
  <c r="L429" i="22"/>
  <c r="O429" i="22"/>
  <c r="P429" i="22"/>
  <c r="A430" i="22"/>
  <c r="F430" i="22"/>
  <c r="C430" i="22"/>
  <c r="D430" i="22"/>
  <c r="E430" i="22"/>
  <c r="G430" i="22"/>
  <c r="H430" i="22"/>
  <c r="I430" i="22"/>
  <c r="J430" i="22"/>
  <c r="K430" i="22"/>
  <c r="L430" i="22"/>
  <c r="O430" i="22"/>
  <c r="P430" i="22"/>
  <c r="A431" i="22"/>
  <c r="F431" i="22"/>
  <c r="V431" i="22"/>
  <c r="C431" i="22"/>
  <c r="D431" i="22"/>
  <c r="E431" i="22"/>
  <c r="G431" i="22"/>
  <c r="H431" i="22"/>
  <c r="I431" i="22"/>
  <c r="J431" i="22"/>
  <c r="K431" i="22"/>
  <c r="L431" i="22"/>
  <c r="O431" i="22"/>
  <c r="P431" i="22"/>
  <c r="A432" i="22"/>
  <c r="B432" i="22"/>
  <c r="C432" i="22"/>
  <c r="D432" i="22"/>
  <c r="E432" i="22"/>
  <c r="G432" i="22"/>
  <c r="H432" i="22"/>
  <c r="I432" i="22"/>
  <c r="J432" i="22"/>
  <c r="K432" i="22"/>
  <c r="L432" i="22"/>
  <c r="O432" i="22"/>
  <c r="P432" i="22"/>
  <c r="A433" i="22"/>
  <c r="C433" i="22"/>
  <c r="D433" i="22"/>
  <c r="E433" i="22"/>
  <c r="G433" i="22"/>
  <c r="H433" i="22"/>
  <c r="I433" i="22"/>
  <c r="J433" i="22"/>
  <c r="K433" i="22"/>
  <c r="L433" i="22"/>
  <c r="O433" i="22"/>
  <c r="P433" i="22"/>
  <c r="A434" i="22"/>
  <c r="C434" i="22"/>
  <c r="D434" i="22"/>
  <c r="E434" i="22"/>
  <c r="G434" i="22"/>
  <c r="H434" i="22"/>
  <c r="I434" i="22"/>
  <c r="J434" i="22"/>
  <c r="K434" i="22"/>
  <c r="L434" i="22"/>
  <c r="O434" i="22"/>
  <c r="P434" i="22"/>
  <c r="A435" i="22"/>
  <c r="S435" i="22"/>
  <c r="C435" i="22"/>
  <c r="D435" i="22"/>
  <c r="E435" i="22"/>
  <c r="G435" i="22"/>
  <c r="H435" i="22"/>
  <c r="I435" i="22"/>
  <c r="J435" i="22"/>
  <c r="K435" i="22"/>
  <c r="L435" i="22"/>
  <c r="O435" i="22"/>
  <c r="P435" i="22"/>
  <c r="A436" i="22"/>
  <c r="M436" i="22"/>
  <c r="C436" i="22"/>
  <c r="D436" i="22"/>
  <c r="E436" i="22"/>
  <c r="G436" i="22"/>
  <c r="H436" i="22"/>
  <c r="I436" i="22"/>
  <c r="J436" i="22"/>
  <c r="K436" i="22"/>
  <c r="L436" i="22"/>
  <c r="O436" i="22"/>
  <c r="P436" i="22"/>
  <c r="A437" i="22"/>
  <c r="R437" i="22"/>
  <c r="C437" i="22"/>
  <c r="D437" i="22"/>
  <c r="E437" i="22"/>
  <c r="G437" i="22"/>
  <c r="H437" i="22"/>
  <c r="I437" i="22"/>
  <c r="J437" i="22"/>
  <c r="K437" i="22"/>
  <c r="L437" i="22"/>
  <c r="O437" i="22"/>
  <c r="P437" i="22"/>
  <c r="A438" i="22"/>
  <c r="M438" i="22"/>
  <c r="C438" i="22"/>
  <c r="D438" i="22"/>
  <c r="E438" i="22"/>
  <c r="G438" i="22"/>
  <c r="H438" i="22"/>
  <c r="I438" i="22"/>
  <c r="J438" i="22"/>
  <c r="K438" i="22"/>
  <c r="L438" i="22"/>
  <c r="O438" i="22"/>
  <c r="P438" i="22"/>
  <c r="A439" i="22"/>
  <c r="M439" i="22"/>
  <c r="C439" i="22"/>
  <c r="D439" i="22"/>
  <c r="E439" i="22"/>
  <c r="G439" i="22"/>
  <c r="H439" i="22"/>
  <c r="I439" i="22"/>
  <c r="J439" i="22"/>
  <c r="K439" i="22"/>
  <c r="L439" i="22"/>
  <c r="O439" i="22"/>
  <c r="P439" i="22"/>
  <c r="A440" i="22"/>
  <c r="B440" i="22"/>
  <c r="C440" i="22"/>
  <c r="D440" i="22"/>
  <c r="E440" i="22"/>
  <c r="G440" i="22"/>
  <c r="H440" i="22"/>
  <c r="I440" i="22"/>
  <c r="J440" i="22"/>
  <c r="K440" i="22"/>
  <c r="L440" i="22"/>
  <c r="O440" i="22"/>
  <c r="P440" i="22"/>
  <c r="A441" i="22"/>
  <c r="C441" i="22"/>
  <c r="D441" i="22"/>
  <c r="E441" i="22"/>
  <c r="G441" i="22"/>
  <c r="H441" i="22"/>
  <c r="I441" i="22"/>
  <c r="J441" i="22"/>
  <c r="K441" i="22"/>
  <c r="L441" i="22"/>
  <c r="O441" i="22"/>
  <c r="P441" i="22"/>
  <c r="A442" i="22"/>
  <c r="F442" i="22"/>
  <c r="U442" i="22"/>
  <c r="C442" i="22"/>
  <c r="D442" i="22"/>
  <c r="E442" i="22"/>
  <c r="G442" i="22"/>
  <c r="H442" i="22"/>
  <c r="I442" i="22"/>
  <c r="J442" i="22"/>
  <c r="K442" i="22"/>
  <c r="L442" i="22"/>
  <c r="O442" i="22"/>
  <c r="P442" i="22"/>
  <c r="A443" i="22"/>
  <c r="M443" i="22"/>
  <c r="C443" i="22"/>
  <c r="D443" i="22"/>
  <c r="E443" i="22"/>
  <c r="G443" i="22"/>
  <c r="H443" i="22"/>
  <c r="I443" i="22"/>
  <c r="J443" i="22"/>
  <c r="K443" i="22"/>
  <c r="L443" i="22"/>
  <c r="O443" i="22"/>
  <c r="P443" i="22"/>
  <c r="A444" i="22"/>
  <c r="C444" i="22"/>
  <c r="D444" i="22"/>
  <c r="E444" i="22"/>
  <c r="G444" i="22"/>
  <c r="H444" i="22"/>
  <c r="I444" i="22"/>
  <c r="J444" i="22"/>
  <c r="K444" i="22"/>
  <c r="L444" i="22"/>
  <c r="O444" i="22"/>
  <c r="P444" i="22"/>
  <c r="A445" i="22"/>
  <c r="B445" i="22"/>
  <c r="C445" i="22"/>
  <c r="D445" i="22"/>
  <c r="E445" i="22"/>
  <c r="G445" i="22"/>
  <c r="H445" i="22"/>
  <c r="I445" i="22"/>
  <c r="J445" i="22"/>
  <c r="K445" i="22"/>
  <c r="L445" i="22"/>
  <c r="O445" i="22"/>
  <c r="P445" i="22"/>
  <c r="A446" i="22"/>
  <c r="M446" i="22"/>
  <c r="C446" i="22"/>
  <c r="D446" i="22"/>
  <c r="E446" i="22"/>
  <c r="G446" i="22"/>
  <c r="H446" i="22"/>
  <c r="I446" i="22"/>
  <c r="J446" i="22"/>
  <c r="K446" i="22"/>
  <c r="L446" i="22"/>
  <c r="O446" i="22"/>
  <c r="P446" i="22"/>
  <c r="A447" i="22"/>
  <c r="S447" i="22"/>
  <c r="C447" i="22"/>
  <c r="D447" i="22"/>
  <c r="E447" i="22"/>
  <c r="G447" i="22"/>
  <c r="H447" i="22"/>
  <c r="I447" i="22"/>
  <c r="J447" i="22"/>
  <c r="K447" i="22"/>
  <c r="L447" i="22"/>
  <c r="O447" i="22"/>
  <c r="P447" i="22"/>
  <c r="A448" i="22"/>
  <c r="S448" i="22"/>
  <c r="C448" i="22"/>
  <c r="D448" i="22"/>
  <c r="E448" i="22"/>
  <c r="G448" i="22"/>
  <c r="H448" i="22"/>
  <c r="I448" i="22"/>
  <c r="J448" i="22"/>
  <c r="K448" i="22"/>
  <c r="L448" i="22"/>
  <c r="O448" i="22"/>
  <c r="P448" i="22"/>
  <c r="A449" i="22"/>
  <c r="C449" i="22"/>
  <c r="D449" i="22"/>
  <c r="E449" i="22"/>
  <c r="G449" i="22"/>
  <c r="H449" i="22"/>
  <c r="I449" i="22"/>
  <c r="J449" i="22"/>
  <c r="K449" i="22"/>
  <c r="L449" i="22"/>
  <c r="O449" i="22"/>
  <c r="P449" i="22"/>
  <c r="A450" i="22"/>
  <c r="C450" i="22"/>
  <c r="D450" i="22"/>
  <c r="E450" i="22"/>
  <c r="G450" i="22"/>
  <c r="H450" i="22"/>
  <c r="I450" i="22"/>
  <c r="J450" i="22"/>
  <c r="K450" i="22"/>
  <c r="L450" i="22"/>
  <c r="O450" i="22"/>
  <c r="P450" i="22"/>
  <c r="A451" i="22"/>
  <c r="M451" i="22"/>
  <c r="C451" i="22"/>
  <c r="D451" i="22"/>
  <c r="E451" i="22"/>
  <c r="G451" i="22"/>
  <c r="H451" i="22"/>
  <c r="I451" i="22"/>
  <c r="J451" i="22"/>
  <c r="K451" i="22"/>
  <c r="L451" i="22"/>
  <c r="O451" i="22"/>
  <c r="P451" i="22"/>
  <c r="A452" i="22"/>
  <c r="F452" i="22"/>
  <c r="C452" i="22"/>
  <c r="D452" i="22"/>
  <c r="E452" i="22"/>
  <c r="G452" i="22"/>
  <c r="H452" i="22"/>
  <c r="I452" i="22"/>
  <c r="J452" i="22"/>
  <c r="K452" i="22"/>
  <c r="L452" i="22"/>
  <c r="O452" i="22"/>
  <c r="P452" i="22"/>
  <c r="A453" i="22"/>
  <c r="R453" i="22"/>
  <c r="C453" i="22"/>
  <c r="D453" i="22"/>
  <c r="E453" i="22"/>
  <c r="G453" i="22"/>
  <c r="H453" i="22"/>
  <c r="I453" i="22"/>
  <c r="J453" i="22"/>
  <c r="K453" i="22"/>
  <c r="L453" i="22"/>
  <c r="O453" i="22"/>
  <c r="P453" i="22"/>
  <c r="A454" i="22"/>
  <c r="C454" i="22"/>
  <c r="D454" i="22"/>
  <c r="E454" i="22"/>
  <c r="G454" i="22"/>
  <c r="H454" i="22"/>
  <c r="I454" i="22"/>
  <c r="J454" i="22"/>
  <c r="K454" i="22"/>
  <c r="L454" i="22"/>
  <c r="O454" i="22"/>
  <c r="P454" i="22"/>
  <c r="A455" i="22"/>
  <c r="R455" i="22"/>
  <c r="C455" i="22"/>
  <c r="D455" i="22"/>
  <c r="E455" i="22"/>
  <c r="G455" i="22"/>
  <c r="H455" i="22"/>
  <c r="I455" i="22"/>
  <c r="J455" i="22"/>
  <c r="K455" i="22"/>
  <c r="L455" i="22"/>
  <c r="O455" i="22"/>
  <c r="P455" i="22"/>
  <c r="A456" i="22"/>
  <c r="M456" i="22"/>
  <c r="C456" i="22"/>
  <c r="D456" i="22"/>
  <c r="E456" i="22"/>
  <c r="G456" i="22"/>
  <c r="H456" i="22"/>
  <c r="I456" i="22"/>
  <c r="J456" i="22"/>
  <c r="K456" i="22"/>
  <c r="L456" i="22"/>
  <c r="O456" i="22"/>
  <c r="P456" i="22"/>
  <c r="A457" i="22"/>
  <c r="S457" i="22"/>
  <c r="C457" i="22"/>
  <c r="D457" i="22"/>
  <c r="E457" i="22"/>
  <c r="G457" i="22"/>
  <c r="H457" i="22"/>
  <c r="I457" i="22"/>
  <c r="J457" i="22"/>
  <c r="K457" i="22"/>
  <c r="L457" i="22"/>
  <c r="O457" i="22"/>
  <c r="P457" i="22"/>
  <c r="A458" i="22"/>
  <c r="B458" i="22"/>
  <c r="C458" i="22"/>
  <c r="D458" i="22"/>
  <c r="E458" i="22"/>
  <c r="G458" i="22"/>
  <c r="H458" i="22"/>
  <c r="I458" i="22"/>
  <c r="J458" i="22"/>
  <c r="K458" i="22"/>
  <c r="L458" i="22"/>
  <c r="O458" i="22"/>
  <c r="P458" i="22"/>
  <c r="A459" i="22"/>
  <c r="C459" i="22"/>
  <c r="D459" i="22"/>
  <c r="E459" i="22"/>
  <c r="G459" i="22"/>
  <c r="H459" i="22"/>
  <c r="I459" i="22"/>
  <c r="J459" i="22"/>
  <c r="K459" i="22"/>
  <c r="L459" i="22"/>
  <c r="O459" i="22"/>
  <c r="P459" i="22"/>
  <c r="A460" i="22"/>
  <c r="C460" i="22"/>
  <c r="D460" i="22"/>
  <c r="E460" i="22"/>
  <c r="G460" i="22"/>
  <c r="H460" i="22"/>
  <c r="I460" i="22"/>
  <c r="J460" i="22"/>
  <c r="K460" i="22"/>
  <c r="L460" i="22"/>
  <c r="O460" i="22"/>
  <c r="P460" i="22"/>
  <c r="A461" i="22"/>
  <c r="C461" i="22"/>
  <c r="D461" i="22"/>
  <c r="E461" i="22"/>
  <c r="G461" i="22"/>
  <c r="H461" i="22"/>
  <c r="I461" i="22"/>
  <c r="J461" i="22"/>
  <c r="K461" i="22"/>
  <c r="L461" i="22"/>
  <c r="O461" i="22"/>
  <c r="P461" i="22"/>
  <c r="A462" i="22"/>
  <c r="M462" i="22"/>
  <c r="C462" i="22"/>
  <c r="D462" i="22"/>
  <c r="E462" i="22"/>
  <c r="G462" i="22"/>
  <c r="H462" i="22"/>
  <c r="I462" i="22"/>
  <c r="J462" i="22"/>
  <c r="K462" i="22"/>
  <c r="L462" i="22"/>
  <c r="O462" i="22"/>
  <c r="P462" i="22"/>
  <c r="A463" i="22"/>
  <c r="S463" i="22"/>
  <c r="C463" i="22"/>
  <c r="D463" i="22"/>
  <c r="E463" i="22"/>
  <c r="G463" i="22"/>
  <c r="H463" i="22"/>
  <c r="I463" i="22"/>
  <c r="J463" i="22"/>
  <c r="K463" i="22"/>
  <c r="L463" i="22"/>
  <c r="O463" i="22"/>
  <c r="P463" i="22"/>
  <c r="A464" i="22"/>
  <c r="S464" i="22"/>
  <c r="C464" i="22"/>
  <c r="D464" i="22"/>
  <c r="E464" i="22"/>
  <c r="G464" i="22"/>
  <c r="H464" i="22"/>
  <c r="I464" i="22"/>
  <c r="J464" i="22"/>
  <c r="K464" i="22"/>
  <c r="L464" i="22"/>
  <c r="O464" i="22"/>
  <c r="P464" i="22"/>
  <c r="A465" i="22"/>
  <c r="S465" i="22"/>
  <c r="C465" i="22"/>
  <c r="D465" i="22"/>
  <c r="E465" i="22"/>
  <c r="G465" i="22"/>
  <c r="H465" i="22"/>
  <c r="I465" i="22"/>
  <c r="J465" i="22"/>
  <c r="K465" i="22"/>
  <c r="L465" i="22"/>
  <c r="O465" i="22"/>
  <c r="P465" i="22"/>
  <c r="A466" i="22"/>
  <c r="M466" i="22"/>
  <c r="C466" i="22"/>
  <c r="D466" i="22"/>
  <c r="E466" i="22"/>
  <c r="G466" i="22"/>
  <c r="H466" i="22"/>
  <c r="I466" i="22"/>
  <c r="J466" i="22"/>
  <c r="K466" i="22"/>
  <c r="L466" i="22"/>
  <c r="O466" i="22"/>
  <c r="P466" i="22"/>
  <c r="A467" i="22"/>
  <c r="R467" i="22"/>
  <c r="C467" i="22"/>
  <c r="D467" i="22"/>
  <c r="E467" i="22"/>
  <c r="G467" i="22"/>
  <c r="H467" i="22"/>
  <c r="I467" i="22"/>
  <c r="J467" i="22"/>
  <c r="K467" i="22"/>
  <c r="L467" i="22"/>
  <c r="O467" i="22"/>
  <c r="P467" i="22"/>
  <c r="A468" i="22"/>
  <c r="M468" i="22"/>
  <c r="C468" i="22"/>
  <c r="D468" i="22"/>
  <c r="E468" i="22"/>
  <c r="G468" i="22"/>
  <c r="H468" i="22"/>
  <c r="I468" i="22"/>
  <c r="J468" i="22"/>
  <c r="K468" i="22"/>
  <c r="L468" i="22"/>
  <c r="O468" i="22"/>
  <c r="P468" i="22"/>
  <c r="A469" i="22"/>
  <c r="C469" i="22"/>
  <c r="D469" i="22"/>
  <c r="E469" i="22"/>
  <c r="G469" i="22"/>
  <c r="H469" i="22"/>
  <c r="I469" i="22"/>
  <c r="J469" i="22"/>
  <c r="K469" i="22"/>
  <c r="L469" i="22"/>
  <c r="O469" i="22"/>
  <c r="P469" i="22"/>
  <c r="A470" i="22"/>
  <c r="R470" i="22"/>
  <c r="C470" i="22"/>
  <c r="D470" i="22"/>
  <c r="E470" i="22"/>
  <c r="G470" i="22"/>
  <c r="H470" i="22"/>
  <c r="I470" i="22"/>
  <c r="J470" i="22"/>
  <c r="K470" i="22"/>
  <c r="L470" i="22"/>
  <c r="O470" i="22"/>
  <c r="P470" i="22"/>
  <c r="A471" i="22"/>
  <c r="F471" i="22"/>
  <c r="T471" i="22"/>
  <c r="C471" i="22"/>
  <c r="D471" i="22"/>
  <c r="E471" i="22"/>
  <c r="G471" i="22"/>
  <c r="H471" i="22"/>
  <c r="I471" i="22"/>
  <c r="J471" i="22"/>
  <c r="K471" i="22"/>
  <c r="L471" i="22"/>
  <c r="O471" i="22"/>
  <c r="P471" i="22"/>
  <c r="A472" i="22"/>
  <c r="B472" i="22"/>
  <c r="C472" i="22"/>
  <c r="D472" i="22"/>
  <c r="E472" i="22"/>
  <c r="G472" i="22"/>
  <c r="H472" i="22"/>
  <c r="I472" i="22"/>
  <c r="J472" i="22"/>
  <c r="K472" i="22"/>
  <c r="L472" i="22"/>
  <c r="O472" i="22"/>
  <c r="P472" i="22"/>
  <c r="A473" i="22"/>
  <c r="B473" i="22"/>
  <c r="C473" i="22"/>
  <c r="D473" i="22"/>
  <c r="E473" i="22"/>
  <c r="G473" i="22"/>
  <c r="H473" i="22"/>
  <c r="I473" i="22"/>
  <c r="J473" i="22"/>
  <c r="K473" i="22"/>
  <c r="L473" i="22"/>
  <c r="O473" i="22"/>
  <c r="P473" i="22"/>
  <c r="A474" i="22"/>
  <c r="C474" i="22"/>
  <c r="D474" i="22"/>
  <c r="E474" i="22"/>
  <c r="G474" i="22"/>
  <c r="H474" i="22"/>
  <c r="I474" i="22"/>
  <c r="J474" i="22"/>
  <c r="K474" i="22"/>
  <c r="L474" i="22"/>
  <c r="O474" i="22"/>
  <c r="P474" i="22"/>
  <c r="A475" i="22"/>
  <c r="F475" i="22"/>
  <c r="T475" i="22"/>
  <c r="C475" i="22"/>
  <c r="D475" i="22"/>
  <c r="E475" i="22"/>
  <c r="G475" i="22"/>
  <c r="H475" i="22"/>
  <c r="I475" i="22"/>
  <c r="J475" i="22"/>
  <c r="K475" i="22"/>
  <c r="L475" i="22"/>
  <c r="O475" i="22"/>
  <c r="P475" i="22"/>
  <c r="A476" i="22"/>
  <c r="R476" i="22"/>
  <c r="C476" i="22"/>
  <c r="D476" i="22"/>
  <c r="E476" i="22"/>
  <c r="G476" i="22"/>
  <c r="H476" i="22"/>
  <c r="I476" i="22"/>
  <c r="J476" i="22"/>
  <c r="K476" i="22"/>
  <c r="L476" i="22"/>
  <c r="O476" i="22"/>
  <c r="P476" i="22"/>
  <c r="A477" i="22"/>
  <c r="F477" i="22"/>
  <c r="V477" i="22"/>
  <c r="C477" i="22"/>
  <c r="D477" i="22"/>
  <c r="E477" i="22"/>
  <c r="G477" i="22"/>
  <c r="H477" i="22"/>
  <c r="I477" i="22"/>
  <c r="J477" i="22"/>
  <c r="K477" i="22"/>
  <c r="L477" i="22"/>
  <c r="O477" i="22"/>
  <c r="P477" i="22"/>
  <c r="A478" i="22"/>
  <c r="B478" i="22"/>
  <c r="C478" i="22"/>
  <c r="D478" i="22"/>
  <c r="E478" i="22"/>
  <c r="G478" i="22"/>
  <c r="H478" i="22"/>
  <c r="I478" i="22"/>
  <c r="J478" i="22"/>
  <c r="K478" i="22"/>
  <c r="L478" i="22"/>
  <c r="O478" i="22"/>
  <c r="P478" i="22"/>
  <c r="A479" i="22"/>
  <c r="M479" i="22"/>
  <c r="C479" i="22"/>
  <c r="D479" i="22"/>
  <c r="E479" i="22"/>
  <c r="G479" i="22"/>
  <c r="H479" i="22"/>
  <c r="I479" i="22"/>
  <c r="J479" i="22"/>
  <c r="K479" i="22"/>
  <c r="L479" i="22"/>
  <c r="O479" i="22"/>
  <c r="P479" i="22"/>
  <c r="A480" i="22"/>
  <c r="C480" i="22"/>
  <c r="D480" i="22"/>
  <c r="E480" i="22"/>
  <c r="G480" i="22"/>
  <c r="H480" i="22"/>
  <c r="I480" i="22"/>
  <c r="J480" i="22"/>
  <c r="K480" i="22"/>
  <c r="L480" i="22"/>
  <c r="O480" i="22"/>
  <c r="P480" i="22"/>
  <c r="A481" i="22"/>
  <c r="B481" i="22"/>
  <c r="C481" i="22"/>
  <c r="D481" i="22"/>
  <c r="E481" i="22"/>
  <c r="G481" i="22"/>
  <c r="H481" i="22"/>
  <c r="I481" i="22"/>
  <c r="J481" i="22"/>
  <c r="K481" i="22"/>
  <c r="L481" i="22"/>
  <c r="O481" i="22"/>
  <c r="P481" i="22"/>
  <c r="A482" i="22"/>
  <c r="C482" i="22"/>
  <c r="D482" i="22"/>
  <c r="E482" i="22"/>
  <c r="G482" i="22"/>
  <c r="H482" i="22"/>
  <c r="I482" i="22"/>
  <c r="J482" i="22"/>
  <c r="K482" i="22"/>
  <c r="L482" i="22"/>
  <c r="O482" i="22"/>
  <c r="P482" i="22"/>
  <c r="A483" i="22"/>
  <c r="F483" i="22"/>
  <c r="V483" i="22"/>
  <c r="C483" i="22"/>
  <c r="D483" i="22"/>
  <c r="E483" i="22"/>
  <c r="G483" i="22"/>
  <c r="H483" i="22"/>
  <c r="I483" i="22"/>
  <c r="J483" i="22"/>
  <c r="K483" i="22"/>
  <c r="L483" i="22"/>
  <c r="O483" i="22"/>
  <c r="P483" i="22"/>
  <c r="A484" i="22"/>
  <c r="C484" i="22"/>
  <c r="D484" i="22"/>
  <c r="E484" i="22"/>
  <c r="G484" i="22"/>
  <c r="H484" i="22"/>
  <c r="I484" i="22"/>
  <c r="J484" i="22"/>
  <c r="K484" i="22"/>
  <c r="L484" i="22"/>
  <c r="O484" i="22"/>
  <c r="P484" i="22"/>
  <c r="A485" i="22"/>
  <c r="C485" i="22"/>
  <c r="D485" i="22"/>
  <c r="E485" i="22"/>
  <c r="G485" i="22"/>
  <c r="H485" i="22"/>
  <c r="I485" i="22"/>
  <c r="J485" i="22"/>
  <c r="K485" i="22"/>
  <c r="L485" i="22"/>
  <c r="O485" i="22"/>
  <c r="P485" i="22"/>
  <c r="A486" i="22"/>
  <c r="S486" i="22"/>
  <c r="C486" i="22"/>
  <c r="D486" i="22"/>
  <c r="E486" i="22"/>
  <c r="G486" i="22"/>
  <c r="H486" i="22"/>
  <c r="I486" i="22"/>
  <c r="J486" i="22"/>
  <c r="K486" i="22"/>
  <c r="L486" i="22"/>
  <c r="O486" i="22"/>
  <c r="P486" i="22"/>
  <c r="A487" i="22"/>
  <c r="F487" i="22"/>
  <c r="U487" i="22"/>
  <c r="C487" i="22"/>
  <c r="D487" i="22"/>
  <c r="E487" i="22"/>
  <c r="G487" i="22"/>
  <c r="H487" i="22"/>
  <c r="I487" i="22"/>
  <c r="J487" i="22"/>
  <c r="K487" i="22"/>
  <c r="L487" i="22"/>
  <c r="O487" i="22"/>
  <c r="P487" i="22"/>
  <c r="A488" i="22"/>
  <c r="S488" i="22"/>
  <c r="C488" i="22"/>
  <c r="D488" i="22"/>
  <c r="E488" i="22"/>
  <c r="G488" i="22"/>
  <c r="H488" i="22"/>
  <c r="I488" i="22"/>
  <c r="J488" i="22"/>
  <c r="K488" i="22"/>
  <c r="L488" i="22"/>
  <c r="O488" i="22"/>
  <c r="P488" i="22"/>
  <c r="A489" i="22"/>
  <c r="F489" i="22"/>
  <c r="T489" i="22"/>
  <c r="C489" i="22"/>
  <c r="D489" i="22"/>
  <c r="E489" i="22"/>
  <c r="G489" i="22"/>
  <c r="H489" i="22"/>
  <c r="I489" i="22"/>
  <c r="J489" i="22"/>
  <c r="K489" i="22"/>
  <c r="L489" i="22"/>
  <c r="O489" i="22"/>
  <c r="P489" i="22"/>
  <c r="A490" i="22"/>
  <c r="C490" i="22"/>
  <c r="D490" i="22"/>
  <c r="E490" i="22"/>
  <c r="G490" i="22"/>
  <c r="H490" i="22"/>
  <c r="I490" i="22"/>
  <c r="J490" i="22"/>
  <c r="K490" i="22"/>
  <c r="L490" i="22"/>
  <c r="O490" i="22"/>
  <c r="P490" i="22"/>
  <c r="A491" i="22"/>
  <c r="C491" i="22"/>
  <c r="D491" i="22"/>
  <c r="E491" i="22"/>
  <c r="G491" i="22"/>
  <c r="H491" i="22"/>
  <c r="I491" i="22"/>
  <c r="J491" i="22"/>
  <c r="K491" i="22"/>
  <c r="L491" i="22"/>
  <c r="O491" i="22"/>
  <c r="P491" i="22"/>
  <c r="A492" i="22"/>
  <c r="S492" i="22"/>
  <c r="C492" i="22"/>
  <c r="D492" i="22"/>
  <c r="E492" i="22"/>
  <c r="G492" i="22"/>
  <c r="H492" i="22"/>
  <c r="I492" i="22"/>
  <c r="J492" i="22"/>
  <c r="K492" i="22"/>
  <c r="L492" i="22"/>
  <c r="O492" i="22"/>
  <c r="P492" i="22"/>
  <c r="A493" i="22"/>
  <c r="R493" i="22"/>
  <c r="C493" i="22"/>
  <c r="D493" i="22"/>
  <c r="E493" i="22"/>
  <c r="G493" i="22"/>
  <c r="H493" i="22"/>
  <c r="I493" i="22"/>
  <c r="J493" i="22"/>
  <c r="K493" i="22"/>
  <c r="L493" i="22"/>
  <c r="O493" i="22"/>
  <c r="P493" i="22"/>
  <c r="A494" i="22"/>
  <c r="C494" i="22"/>
  <c r="D494" i="22"/>
  <c r="E494" i="22"/>
  <c r="G494" i="22"/>
  <c r="H494" i="22"/>
  <c r="I494" i="22"/>
  <c r="J494" i="22"/>
  <c r="K494" i="22"/>
  <c r="L494" i="22"/>
  <c r="O494" i="22"/>
  <c r="P494" i="22"/>
  <c r="A495" i="22"/>
  <c r="C495" i="22"/>
  <c r="D495" i="22"/>
  <c r="E495" i="22"/>
  <c r="G495" i="22"/>
  <c r="H495" i="22"/>
  <c r="I495" i="22"/>
  <c r="J495" i="22"/>
  <c r="K495" i="22"/>
  <c r="L495" i="22"/>
  <c r="O495" i="22"/>
  <c r="P495" i="22"/>
  <c r="A496" i="22"/>
  <c r="M496" i="22"/>
  <c r="C496" i="22"/>
  <c r="D496" i="22"/>
  <c r="E496" i="22"/>
  <c r="G496" i="22"/>
  <c r="H496" i="22"/>
  <c r="I496" i="22"/>
  <c r="J496" i="22"/>
  <c r="K496" i="22"/>
  <c r="L496" i="22"/>
  <c r="O496" i="22"/>
  <c r="P496" i="22"/>
  <c r="A497" i="22"/>
  <c r="B497" i="22"/>
  <c r="C497" i="22"/>
  <c r="D497" i="22"/>
  <c r="E497" i="22"/>
  <c r="G497" i="22"/>
  <c r="H497" i="22"/>
  <c r="I497" i="22"/>
  <c r="J497" i="22"/>
  <c r="K497" i="22"/>
  <c r="L497" i="22"/>
  <c r="O497" i="22"/>
  <c r="P497" i="22"/>
  <c r="A498" i="22"/>
  <c r="B498" i="22"/>
  <c r="C498" i="22"/>
  <c r="D498" i="22"/>
  <c r="E498" i="22"/>
  <c r="G498" i="22"/>
  <c r="H498" i="22"/>
  <c r="I498" i="22"/>
  <c r="J498" i="22"/>
  <c r="K498" i="22"/>
  <c r="L498" i="22"/>
  <c r="O498" i="22"/>
  <c r="P498" i="22"/>
  <c r="A499" i="22"/>
  <c r="C499" i="22"/>
  <c r="D499" i="22"/>
  <c r="E499" i="22"/>
  <c r="G499" i="22"/>
  <c r="H499" i="22"/>
  <c r="I499" i="22"/>
  <c r="J499" i="22"/>
  <c r="K499" i="22"/>
  <c r="L499" i="22"/>
  <c r="O499" i="22"/>
  <c r="P499" i="22"/>
  <c r="A500" i="22"/>
  <c r="F500" i="22"/>
  <c r="V500" i="22"/>
  <c r="C500" i="22"/>
  <c r="D500" i="22"/>
  <c r="E500" i="22"/>
  <c r="G500" i="22"/>
  <c r="H500" i="22"/>
  <c r="I500" i="22"/>
  <c r="J500" i="22"/>
  <c r="K500" i="22"/>
  <c r="L500" i="22"/>
  <c r="O500" i="22"/>
  <c r="P500" i="22"/>
  <c r="I180" i="14"/>
  <c r="H180" i="14"/>
  <c r="G180" i="14"/>
  <c r="Q181" i="14"/>
  <c r="I175" i="14"/>
  <c r="H175" i="14"/>
  <c r="G175" i="14"/>
  <c r="P80" i="22"/>
  <c r="J80" i="22"/>
  <c r="D80" i="22"/>
  <c r="M307" i="22"/>
  <c r="D4" i="21"/>
  <c r="E4" i="21"/>
  <c r="F4" i="21"/>
  <c r="H4" i="21"/>
  <c r="D5" i="21"/>
  <c r="E5" i="21"/>
  <c r="F5" i="21"/>
  <c r="H5" i="21"/>
  <c r="D6" i="21"/>
  <c r="E6" i="21"/>
  <c r="F6" i="21"/>
  <c r="H6" i="21"/>
  <c r="D7" i="21"/>
  <c r="E7" i="21"/>
  <c r="F7" i="21"/>
  <c r="H7" i="21"/>
  <c r="D8" i="21"/>
  <c r="E8" i="21"/>
  <c r="F8" i="21"/>
  <c r="H8" i="21"/>
  <c r="D9" i="21"/>
  <c r="E9" i="21"/>
  <c r="F9" i="21"/>
  <c r="H9" i="21"/>
  <c r="D10" i="21"/>
  <c r="E10" i="21"/>
  <c r="F10" i="21"/>
  <c r="H10" i="21"/>
  <c r="D11" i="21"/>
  <c r="E11" i="21"/>
  <c r="F11" i="21"/>
  <c r="H11" i="21"/>
  <c r="D12" i="21"/>
  <c r="E12" i="21"/>
  <c r="F12" i="21"/>
  <c r="H12" i="21"/>
  <c r="D13" i="21"/>
  <c r="E13" i="21"/>
  <c r="F13" i="21"/>
  <c r="H13" i="21"/>
  <c r="D14" i="21"/>
  <c r="E14" i="21"/>
  <c r="F14" i="21"/>
  <c r="H14" i="21"/>
  <c r="D15" i="21"/>
  <c r="E15" i="21"/>
  <c r="F15" i="21"/>
  <c r="H15" i="21"/>
  <c r="D16" i="21"/>
  <c r="E16" i="21"/>
  <c r="F16" i="21"/>
  <c r="H16" i="21"/>
  <c r="D17" i="21"/>
  <c r="E17" i="21"/>
  <c r="F17" i="21"/>
  <c r="H17" i="21"/>
  <c r="D18" i="21"/>
  <c r="E18" i="21"/>
  <c r="F18" i="21"/>
  <c r="H18" i="21"/>
  <c r="D19" i="21"/>
  <c r="E19" i="21"/>
  <c r="F19" i="21"/>
  <c r="H19" i="21"/>
  <c r="D20" i="21"/>
  <c r="E20" i="21"/>
  <c r="F20" i="21"/>
  <c r="H20" i="21"/>
  <c r="D21" i="21"/>
  <c r="E21" i="21"/>
  <c r="F21" i="21"/>
  <c r="H21" i="21"/>
  <c r="D22" i="21"/>
  <c r="E22" i="21"/>
  <c r="F22" i="21"/>
  <c r="H22" i="21"/>
  <c r="D23" i="21"/>
  <c r="E23" i="21"/>
  <c r="F23" i="21"/>
  <c r="H23" i="21"/>
  <c r="D24" i="21"/>
  <c r="E24" i="21"/>
  <c r="F24" i="21"/>
  <c r="H24" i="21"/>
  <c r="D25" i="21"/>
  <c r="E25" i="21"/>
  <c r="F25" i="21"/>
  <c r="H25" i="21"/>
  <c r="D26" i="21"/>
  <c r="E26" i="21"/>
  <c r="F26" i="21"/>
  <c r="H26" i="21"/>
  <c r="D27" i="21"/>
  <c r="E27" i="21"/>
  <c r="F27" i="21"/>
  <c r="H27" i="21"/>
  <c r="D28" i="21"/>
  <c r="E28" i="21"/>
  <c r="F28" i="21"/>
  <c r="H28" i="21"/>
  <c r="D29" i="21"/>
  <c r="E29" i="21"/>
  <c r="F29" i="21"/>
  <c r="H29" i="21"/>
  <c r="G172" i="14"/>
  <c r="G168" i="14"/>
  <c r="G164" i="14"/>
  <c r="G140" i="14"/>
  <c r="G77" i="14"/>
  <c r="G71" i="14"/>
  <c r="H3" i="21"/>
  <c r="E3" i="21"/>
  <c r="F3" i="21"/>
  <c r="D3" i="21"/>
  <c r="I171" i="14"/>
  <c r="H171" i="14"/>
  <c r="G171" i="14"/>
  <c r="I170" i="14"/>
  <c r="L73" i="22"/>
  <c r="H170" i="14"/>
  <c r="G170" i="14"/>
  <c r="I169" i="14"/>
  <c r="H169" i="14"/>
  <c r="G169" i="14"/>
  <c r="I167" i="14"/>
  <c r="H167" i="14"/>
  <c r="G167" i="14"/>
  <c r="I166" i="14"/>
  <c r="H166" i="14"/>
  <c r="G166" i="14"/>
  <c r="I165" i="14"/>
  <c r="H165" i="14"/>
  <c r="G165" i="14"/>
  <c r="I163" i="14"/>
  <c r="L66" i="22"/>
  <c r="H163" i="14"/>
  <c r="G66" i="22"/>
  <c r="G163" i="14"/>
  <c r="I162" i="14"/>
  <c r="L65" i="22"/>
  <c r="H162" i="14"/>
  <c r="G65" i="22"/>
  <c r="G162" i="14"/>
  <c r="I161" i="14"/>
  <c r="H161" i="14"/>
  <c r="G161" i="14"/>
  <c r="I160" i="14"/>
  <c r="G160" i="14"/>
  <c r="I159" i="14"/>
  <c r="H159" i="14"/>
  <c r="G159" i="14"/>
  <c r="G158" i="14"/>
  <c r="G151" i="14"/>
  <c r="I142" i="14"/>
  <c r="G142" i="14"/>
  <c r="I141" i="14"/>
  <c r="H141" i="14"/>
  <c r="G141" i="14"/>
  <c r="I125" i="14"/>
  <c r="H125" i="14"/>
  <c r="G125" i="14"/>
  <c r="I87" i="14"/>
  <c r="L53" i="22"/>
  <c r="H87" i="14"/>
  <c r="G53" i="22"/>
  <c r="G87" i="14"/>
  <c r="I85" i="14"/>
  <c r="H85" i="14"/>
  <c r="G52" i="22"/>
  <c r="G85" i="14"/>
  <c r="I84" i="14"/>
  <c r="H84" i="14"/>
  <c r="G84" i="14"/>
  <c r="H83" i="14"/>
  <c r="G50" i="22"/>
  <c r="G83" i="14"/>
  <c r="I79" i="14"/>
  <c r="H79" i="14"/>
  <c r="G49" i="22"/>
  <c r="G79" i="14"/>
  <c r="I76" i="14"/>
  <c r="H76" i="14"/>
  <c r="G76" i="14"/>
  <c r="I75" i="14"/>
  <c r="L45" i="22"/>
  <c r="H75" i="14"/>
  <c r="G45" i="22"/>
  <c r="G75" i="14"/>
  <c r="I74" i="14"/>
  <c r="H74" i="14"/>
  <c r="G74" i="14"/>
  <c r="I73" i="14"/>
  <c r="H73" i="14"/>
  <c r="G73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2" i="14"/>
  <c r="H62" i="14"/>
  <c r="I61" i="14"/>
  <c r="H61" i="14"/>
  <c r="G32" i="22"/>
  <c r="I58" i="14"/>
  <c r="L30" i="22"/>
  <c r="H58" i="14"/>
  <c r="I56" i="14"/>
  <c r="H56" i="14"/>
  <c r="I52" i="14"/>
  <c r="H52" i="14"/>
  <c r="I50" i="14"/>
  <c r="L15" i="22"/>
  <c r="H50" i="14"/>
  <c r="I48" i="14"/>
  <c r="H48" i="14"/>
  <c r="G48" i="14"/>
  <c r="G8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M180" i="14"/>
  <c r="Q180" i="14"/>
  <c r="P168" i="14"/>
  <c r="H71" i="22"/>
  <c r="H74" i="22"/>
  <c r="C74" i="22"/>
  <c r="C65" i="22"/>
  <c r="K65" i="22"/>
  <c r="I65" i="22"/>
  <c r="A65" i="22"/>
  <c r="F65" i="22"/>
  <c r="U65" i="22"/>
  <c r="H65" i="22"/>
  <c r="O65" i="22"/>
  <c r="P65" i="22"/>
  <c r="D65" i="22"/>
  <c r="E65" i="22"/>
  <c r="H66" i="22"/>
  <c r="P66" i="22"/>
  <c r="C66" i="22"/>
  <c r="D66" i="22"/>
  <c r="O66" i="22"/>
  <c r="E66" i="22"/>
  <c r="I66" i="22"/>
  <c r="K66" i="22"/>
  <c r="A66" i="22"/>
  <c r="C9" i="21"/>
  <c r="C17" i="21"/>
  <c r="C25" i="21"/>
  <c r="C5" i="21"/>
  <c r="C13" i="21"/>
  <c r="C21" i="21"/>
  <c r="C4" i="21"/>
  <c r="C12" i="21"/>
  <c r="C20" i="21"/>
  <c r="C8" i="21"/>
  <c r="C16" i="21"/>
  <c r="C24" i="21"/>
  <c r="C29" i="21"/>
  <c r="C28" i="21"/>
  <c r="C11" i="21"/>
  <c r="C19" i="21"/>
  <c r="C27" i="21"/>
  <c r="C7" i="21"/>
  <c r="C15" i="21"/>
  <c r="C23" i="21"/>
  <c r="C6" i="21"/>
  <c r="C14" i="21"/>
  <c r="C22" i="21"/>
  <c r="C10" i="21"/>
  <c r="C18" i="21"/>
  <c r="C26" i="21"/>
  <c r="C3" i="21"/>
  <c r="A45" i="22"/>
  <c r="F45" i="22"/>
  <c r="U45" i="22"/>
  <c r="E59" i="22"/>
  <c r="P59" i="22"/>
  <c r="D59" i="22"/>
  <c r="O59" i="22"/>
  <c r="L59" i="22"/>
  <c r="A59" i="22"/>
  <c r="F59" i="22"/>
  <c r="T59" i="22"/>
  <c r="C59" i="22"/>
  <c r="G59" i="22"/>
  <c r="I59" i="22"/>
  <c r="H59" i="22"/>
  <c r="J59" i="22"/>
  <c r="K59" i="22"/>
  <c r="G58" i="22"/>
  <c r="P58" i="22"/>
  <c r="A44" i="22"/>
  <c r="M44" i="22"/>
  <c r="G3" i="12"/>
  <c r="H3" i="12"/>
  <c r="G4" i="12"/>
  <c r="H4" i="12"/>
  <c r="G5" i="12"/>
  <c r="H5" i="12"/>
  <c r="G6" i="12"/>
  <c r="H6" i="12"/>
  <c r="G7" i="12"/>
  <c r="H7" i="12"/>
  <c r="G8" i="12"/>
  <c r="H8" i="12"/>
  <c r="G9" i="12"/>
  <c r="H9" i="12"/>
  <c r="G10" i="12"/>
  <c r="H10" i="12"/>
  <c r="G11" i="12"/>
  <c r="H11" i="12"/>
  <c r="G12" i="12"/>
  <c r="H12" i="12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G20" i="12"/>
  <c r="H20" i="12"/>
  <c r="G21" i="12"/>
  <c r="H21" i="12"/>
  <c r="G22" i="12"/>
  <c r="H22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29" i="12"/>
  <c r="H29" i="12"/>
  <c r="G30" i="12"/>
  <c r="H30" i="12"/>
  <c r="G31" i="12"/>
  <c r="H31" i="12"/>
  <c r="G32" i="12"/>
  <c r="H32" i="12"/>
  <c r="G33" i="12"/>
  <c r="H33" i="12"/>
  <c r="G34" i="12"/>
  <c r="H34" i="12"/>
  <c r="G35" i="12"/>
  <c r="H35" i="12"/>
  <c r="G36" i="12"/>
  <c r="H36" i="12"/>
  <c r="G37" i="12"/>
  <c r="H37" i="12"/>
  <c r="G38" i="12"/>
  <c r="H38" i="12"/>
  <c r="G39" i="12"/>
  <c r="H39" i="12"/>
  <c r="G40" i="12"/>
  <c r="H40" i="12"/>
  <c r="G41" i="12"/>
  <c r="H41" i="12"/>
  <c r="G42" i="12"/>
  <c r="H42" i="12"/>
  <c r="G43" i="12"/>
  <c r="H43" i="12"/>
  <c r="G44" i="12"/>
  <c r="H44" i="12"/>
  <c r="G45" i="12"/>
  <c r="H45" i="12"/>
  <c r="G46" i="12"/>
  <c r="H46" i="12"/>
  <c r="G47" i="12"/>
  <c r="H47" i="12"/>
  <c r="G48" i="12"/>
  <c r="H48" i="12"/>
  <c r="G49" i="12"/>
  <c r="H49" i="12"/>
  <c r="G50" i="12"/>
  <c r="H50" i="12"/>
  <c r="G51" i="12"/>
  <c r="H51" i="12"/>
  <c r="G52" i="12"/>
  <c r="H52" i="12"/>
  <c r="G53" i="12"/>
  <c r="H53" i="12"/>
  <c r="G54" i="12"/>
  <c r="H54" i="12"/>
  <c r="G55" i="12"/>
  <c r="H55" i="12"/>
  <c r="G56" i="12"/>
  <c r="H56" i="12"/>
  <c r="G57" i="12"/>
  <c r="H57" i="12"/>
  <c r="G58" i="12"/>
  <c r="H58" i="12"/>
  <c r="G59" i="12"/>
  <c r="H59" i="12"/>
  <c r="G60" i="12"/>
  <c r="H60" i="12"/>
  <c r="G61" i="12"/>
  <c r="H61" i="12"/>
  <c r="G62" i="12"/>
  <c r="H62" i="12"/>
  <c r="G63" i="12"/>
  <c r="H63" i="12"/>
  <c r="G64" i="12"/>
  <c r="H64" i="12"/>
  <c r="G65" i="12"/>
  <c r="H65" i="12"/>
  <c r="G66" i="12"/>
  <c r="H66" i="12"/>
  <c r="G67" i="12"/>
  <c r="H67" i="12"/>
  <c r="G68" i="12"/>
  <c r="H68" i="12"/>
  <c r="G69" i="12"/>
  <c r="H69" i="12"/>
  <c r="G70" i="12"/>
  <c r="H70" i="12"/>
  <c r="G71" i="12"/>
  <c r="H71" i="12"/>
  <c r="G72" i="12"/>
  <c r="H72" i="12"/>
  <c r="G73" i="12"/>
  <c r="H73" i="12"/>
  <c r="G74" i="12"/>
  <c r="H74" i="12"/>
  <c r="G75" i="12"/>
  <c r="H75" i="12"/>
  <c r="G76" i="12"/>
  <c r="H76" i="12"/>
  <c r="G77" i="12"/>
  <c r="H77" i="12"/>
  <c r="G78" i="12"/>
  <c r="H78" i="12"/>
  <c r="G79" i="12"/>
  <c r="H79" i="12"/>
  <c r="G80" i="12"/>
  <c r="H80" i="12"/>
  <c r="G81" i="12"/>
  <c r="H81" i="12"/>
  <c r="G82" i="12"/>
  <c r="H82" i="12"/>
  <c r="G83" i="12"/>
  <c r="H83" i="12"/>
  <c r="G84" i="12"/>
  <c r="H84" i="12"/>
  <c r="G85" i="12"/>
  <c r="H85" i="12"/>
  <c r="G86" i="12"/>
  <c r="H86" i="12"/>
  <c r="G87" i="12"/>
  <c r="H87" i="12"/>
  <c r="G88" i="12"/>
  <c r="H88" i="12"/>
  <c r="G89" i="12"/>
  <c r="H89" i="12"/>
  <c r="G90" i="12"/>
  <c r="H90" i="12"/>
  <c r="G91" i="12"/>
  <c r="H91" i="12"/>
  <c r="G92" i="12"/>
  <c r="H92" i="12"/>
  <c r="G93" i="12"/>
  <c r="H93" i="12"/>
  <c r="G94" i="12"/>
  <c r="H94" i="12"/>
  <c r="G95" i="12"/>
  <c r="H95" i="12"/>
  <c r="G96" i="12"/>
  <c r="H96" i="12"/>
  <c r="G97" i="12"/>
  <c r="H97" i="12"/>
  <c r="G98" i="12"/>
  <c r="H98" i="12"/>
  <c r="G99" i="12"/>
  <c r="H99" i="12"/>
  <c r="G100" i="12"/>
  <c r="H100" i="12"/>
  <c r="G101" i="12"/>
  <c r="H101" i="12"/>
  <c r="G102" i="12"/>
  <c r="H102" i="12"/>
  <c r="G103" i="12"/>
  <c r="H103" i="12"/>
  <c r="G104" i="12"/>
  <c r="H104" i="12"/>
  <c r="G105" i="12"/>
  <c r="H105" i="12"/>
  <c r="G106" i="12"/>
  <c r="H106" i="12"/>
  <c r="G107" i="12"/>
  <c r="H107" i="12"/>
  <c r="G108" i="12"/>
  <c r="H108" i="12"/>
  <c r="G109" i="12"/>
  <c r="H109" i="12"/>
  <c r="G110" i="12"/>
  <c r="H110" i="12"/>
  <c r="G111" i="12"/>
  <c r="H111" i="12"/>
  <c r="G112" i="12"/>
  <c r="H112" i="12"/>
  <c r="G113" i="12"/>
  <c r="H113" i="12"/>
  <c r="G114" i="12"/>
  <c r="H114" i="12"/>
  <c r="G115" i="12"/>
  <c r="H115" i="12"/>
  <c r="G116" i="12"/>
  <c r="H116" i="12"/>
  <c r="G117" i="12"/>
  <c r="H117" i="12"/>
  <c r="G118" i="12"/>
  <c r="H118" i="12"/>
  <c r="G119" i="12"/>
  <c r="H119" i="12"/>
  <c r="G120" i="12"/>
  <c r="H120" i="12"/>
  <c r="G121" i="12"/>
  <c r="H121" i="12"/>
  <c r="G122" i="12"/>
  <c r="H122" i="12"/>
  <c r="G123" i="12"/>
  <c r="H123" i="12"/>
  <c r="G124" i="12"/>
  <c r="H124" i="12"/>
  <c r="G125" i="12"/>
  <c r="H125" i="12"/>
  <c r="G126" i="12"/>
  <c r="H126" i="12"/>
  <c r="G127" i="12"/>
  <c r="H127" i="12"/>
  <c r="G128" i="12"/>
  <c r="H128" i="12"/>
  <c r="G129" i="12"/>
  <c r="H129" i="12"/>
  <c r="G130" i="12"/>
  <c r="H130" i="12"/>
  <c r="G131" i="12"/>
  <c r="H131" i="12"/>
  <c r="G132" i="12"/>
  <c r="H132" i="12"/>
  <c r="G133" i="12"/>
  <c r="H133" i="12"/>
  <c r="G134" i="12"/>
  <c r="H134" i="12"/>
  <c r="G135" i="12"/>
  <c r="H135" i="12"/>
  <c r="G136" i="12"/>
  <c r="H136" i="12"/>
  <c r="G137" i="12"/>
  <c r="H137" i="12"/>
  <c r="G138" i="12"/>
  <c r="H138" i="12"/>
  <c r="G139" i="12"/>
  <c r="H139" i="12"/>
  <c r="G140" i="12"/>
  <c r="H140" i="12"/>
  <c r="G141" i="12"/>
  <c r="H141" i="12"/>
  <c r="G142" i="12"/>
  <c r="H142" i="12"/>
  <c r="G143" i="12"/>
  <c r="H143" i="12"/>
  <c r="G144" i="12"/>
  <c r="H144" i="12"/>
  <c r="G145" i="12"/>
  <c r="H145" i="12"/>
  <c r="G146" i="12"/>
  <c r="H146" i="12"/>
  <c r="G147" i="12"/>
  <c r="H147" i="12"/>
  <c r="G148" i="12"/>
  <c r="H148" i="12"/>
  <c r="G149" i="12"/>
  <c r="H149" i="12"/>
  <c r="G150" i="12"/>
  <c r="H150" i="12"/>
  <c r="G151" i="12"/>
  <c r="H151" i="12"/>
  <c r="G152" i="12"/>
  <c r="H152" i="12"/>
  <c r="G153" i="12"/>
  <c r="H153" i="12"/>
  <c r="G154" i="12"/>
  <c r="H154" i="12"/>
  <c r="G155" i="12"/>
  <c r="H155" i="12"/>
  <c r="G156" i="12"/>
  <c r="H156" i="12"/>
  <c r="G157" i="12"/>
  <c r="H157" i="12"/>
  <c r="G158" i="12"/>
  <c r="H158" i="12"/>
  <c r="G159" i="12"/>
  <c r="H159" i="12"/>
  <c r="G160" i="12"/>
  <c r="H160" i="12"/>
  <c r="G161" i="12"/>
  <c r="H161" i="12"/>
  <c r="G162" i="12"/>
  <c r="H162" i="12"/>
  <c r="G163" i="12"/>
  <c r="H163" i="12"/>
  <c r="G164" i="12"/>
  <c r="H164" i="12"/>
  <c r="G165" i="12"/>
  <c r="H165" i="12"/>
  <c r="G166" i="12"/>
  <c r="H166" i="12"/>
  <c r="G167" i="12"/>
  <c r="H167" i="12"/>
  <c r="G168" i="12"/>
  <c r="H168" i="12"/>
  <c r="G169" i="12"/>
  <c r="H169" i="12"/>
  <c r="G170" i="12"/>
  <c r="H170" i="12"/>
  <c r="G171" i="12"/>
  <c r="H171" i="12"/>
  <c r="G172" i="12"/>
  <c r="H172" i="12"/>
  <c r="G173" i="12"/>
  <c r="H173" i="12"/>
  <c r="G174" i="12"/>
  <c r="H174" i="12"/>
  <c r="G175" i="12"/>
  <c r="H175" i="12"/>
  <c r="G176" i="12"/>
  <c r="H176" i="12"/>
  <c r="G177" i="12"/>
  <c r="H177" i="12"/>
  <c r="G178" i="12"/>
  <c r="H178" i="12"/>
  <c r="G179" i="12"/>
  <c r="H179" i="12"/>
  <c r="G180" i="12"/>
  <c r="H180" i="12"/>
  <c r="G181" i="12"/>
  <c r="H181" i="12"/>
  <c r="G182" i="12"/>
  <c r="H182" i="12"/>
  <c r="G183" i="12"/>
  <c r="H183" i="12"/>
  <c r="G184" i="12"/>
  <c r="H184" i="12"/>
  <c r="G185" i="12"/>
  <c r="H185" i="12"/>
  <c r="G186" i="12"/>
  <c r="H186" i="12"/>
  <c r="G187" i="12"/>
  <c r="H187" i="12"/>
  <c r="G188" i="12"/>
  <c r="H188" i="12"/>
  <c r="G189" i="12"/>
  <c r="H189" i="12"/>
  <c r="G190" i="12"/>
  <c r="H190" i="12"/>
  <c r="G191" i="12"/>
  <c r="H191" i="12"/>
  <c r="G192" i="12"/>
  <c r="H192" i="12"/>
  <c r="G193" i="12"/>
  <c r="H193" i="12"/>
  <c r="G194" i="12"/>
  <c r="H194" i="12"/>
  <c r="G195" i="12"/>
  <c r="H195" i="12"/>
  <c r="G196" i="12"/>
  <c r="H196" i="12"/>
  <c r="G197" i="12"/>
  <c r="H197" i="12"/>
  <c r="G198" i="12"/>
  <c r="H198" i="12"/>
  <c r="G199" i="12"/>
  <c r="H199" i="12"/>
  <c r="G200" i="12"/>
  <c r="H200" i="12"/>
  <c r="G201" i="12"/>
  <c r="H201" i="12"/>
  <c r="G202" i="12"/>
  <c r="H202" i="12"/>
  <c r="G203" i="12"/>
  <c r="H203" i="12"/>
  <c r="G204" i="12"/>
  <c r="H204" i="12"/>
  <c r="G205" i="12"/>
  <c r="H205" i="12"/>
  <c r="G206" i="12"/>
  <c r="H206" i="12"/>
  <c r="G207" i="12"/>
  <c r="H207" i="12"/>
  <c r="G208" i="12"/>
  <c r="H208" i="12"/>
  <c r="G209" i="12"/>
  <c r="H209" i="12"/>
  <c r="G210" i="12"/>
  <c r="H210" i="12"/>
  <c r="G211" i="12"/>
  <c r="H211" i="12"/>
  <c r="G212" i="12"/>
  <c r="H212" i="12"/>
  <c r="G213" i="12"/>
  <c r="H213" i="12"/>
  <c r="G214" i="12"/>
  <c r="H214" i="12"/>
  <c r="G215" i="12"/>
  <c r="H215" i="12"/>
  <c r="G216" i="12"/>
  <c r="H216" i="12"/>
  <c r="G217" i="12"/>
  <c r="H217" i="12"/>
  <c r="G218" i="12"/>
  <c r="H218" i="12"/>
  <c r="G219" i="12"/>
  <c r="H219" i="12"/>
  <c r="G220" i="12"/>
  <c r="H220" i="12"/>
  <c r="G221" i="12"/>
  <c r="H221" i="12"/>
  <c r="G222" i="12"/>
  <c r="H222" i="12"/>
  <c r="G223" i="12"/>
  <c r="H223" i="12"/>
  <c r="G224" i="12"/>
  <c r="H224" i="12"/>
  <c r="G225" i="12"/>
  <c r="H225" i="12"/>
  <c r="G226" i="12"/>
  <c r="H226" i="12"/>
  <c r="G227" i="12"/>
  <c r="H227" i="12"/>
  <c r="G228" i="12"/>
  <c r="H228" i="12"/>
  <c r="G229" i="12"/>
  <c r="H229" i="12"/>
  <c r="G230" i="12"/>
  <c r="H230" i="12"/>
  <c r="G231" i="12"/>
  <c r="H231" i="12"/>
  <c r="G232" i="12"/>
  <c r="H232" i="12"/>
  <c r="G233" i="12"/>
  <c r="H233" i="12"/>
  <c r="G234" i="12"/>
  <c r="H234" i="12"/>
  <c r="G235" i="12"/>
  <c r="H235" i="12"/>
  <c r="G236" i="12"/>
  <c r="H236" i="12"/>
  <c r="G237" i="12"/>
  <c r="H237" i="12"/>
  <c r="G238" i="12"/>
  <c r="H238" i="12"/>
  <c r="G239" i="12"/>
  <c r="H239" i="12"/>
  <c r="G240" i="12"/>
  <c r="H240" i="12"/>
  <c r="G241" i="12"/>
  <c r="H241" i="12"/>
  <c r="G242" i="12"/>
  <c r="H242" i="12"/>
  <c r="G243" i="12"/>
  <c r="H243" i="12"/>
  <c r="G244" i="12"/>
  <c r="H244" i="12"/>
  <c r="G245" i="12"/>
  <c r="H245" i="12"/>
  <c r="G246" i="12"/>
  <c r="H246" i="12"/>
  <c r="G247" i="12"/>
  <c r="H247" i="12"/>
  <c r="G248" i="12"/>
  <c r="H248" i="12"/>
  <c r="G249" i="12"/>
  <c r="H249" i="12"/>
  <c r="G250" i="12"/>
  <c r="H250" i="12"/>
  <c r="G251" i="12"/>
  <c r="H251" i="12"/>
  <c r="G252" i="12"/>
  <c r="H252" i="12"/>
  <c r="G253" i="12"/>
  <c r="H253" i="12"/>
  <c r="G254" i="12"/>
  <c r="H254" i="12"/>
  <c r="G255" i="12"/>
  <c r="H255" i="12"/>
  <c r="G256" i="12"/>
  <c r="H256" i="12"/>
  <c r="G257" i="12"/>
  <c r="H257" i="12"/>
  <c r="G258" i="12"/>
  <c r="H258" i="12"/>
  <c r="G259" i="12"/>
  <c r="H259" i="12"/>
  <c r="G260" i="12"/>
  <c r="H260" i="12"/>
  <c r="G261" i="12"/>
  <c r="H261" i="12"/>
  <c r="G262" i="12"/>
  <c r="H262" i="12"/>
  <c r="G263" i="12"/>
  <c r="H263" i="12"/>
  <c r="G264" i="12"/>
  <c r="H264" i="12"/>
  <c r="G265" i="12"/>
  <c r="H265" i="12"/>
  <c r="G266" i="12"/>
  <c r="H266" i="12"/>
  <c r="G267" i="12"/>
  <c r="H267" i="12"/>
  <c r="G268" i="12"/>
  <c r="H268" i="12"/>
  <c r="G269" i="12"/>
  <c r="H269" i="12"/>
  <c r="G270" i="12"/>
  <c r="H270" i="12"/>
  <c r="G271" i="12"/>
  <c r="H271" i="12"/>
  <c r="G272" i="12"/>
  <c r="H272" i="12"/>
  <c r="G273" i="12"/>
  <c r="H273" i="12"/>
  <c r="G274" i="12"/>
  <c r="H274" i="12"/>
  <c r="G275" i="12"/>
  <c r="H275" i="12"/>
  <c r="G276" i="12"/>
  <c r="H276" i="12"/>
  <c r="G277" i="12"/>
  <c r="H277" i="12"/>
  <c r="G278" i="12"/>
  <c r="H278" i="12"/>
  <c r="G279" i="12"/>
  <c r="H279" i="12"/>
  <c r="G280" i="12"/>
  <c r="H280" i="12"/>
  <c r="G281" i="12"/>
  <c r="H281" i="12"/>
  <c r="G282" i="12"/>
  <c r="H282" i="12"/>
  <c r="G283" i="12"/>
  <c r="H283" i="12"/>
  <c r="G284" i="12"/>
  <c r="H284" i="12"/>
  <c r="G285" i="12"/>
  <c r="H285" i="12"/>
  <c r="G286" i="12"/>
  <c r="H286" i="12"/>
  <c r="G287" i="12"/>
  <c r="H287" i="12"/>
  <c r="G288" i="12"/>
  <c r="H288" i="12"/>
  <c r="G289" i="12"/>
  <c r="H289" i="12"/>
  <c r="G290" i="12"/>
  <c r="H290" i="12"/>
  <c r="G291" i="12"/>
  <c r="H291" i="12"/>
  <c r="G292" i="12"/>
  <c r="H292" i="12"/>
  <c r="G293" i="12"/>
  <c r="H293" i="12"/>
  <c r="G294" i="12"/>
  <c r="H294" i="12"/>
  <c r="G295" i="12"/>
  <c r="H295" i="12"/>
  <c r="G296" i="12"/>
  <c r="H296" i="12"/>
  <c r="G297" i="12"/>
  <c r="H297" i="12"/>
  <c r="G298" i="12"/>
  <c r="H298" i="12"/>
  <c r="G299" i="12"/>
  <c r="H299" i="12"/>
  <c r="G300" i="12"/>
  <c r="H300" i="12"/>
  <c r="G301" i="12"/>
  <c r="H301" i="12"/>
  <c r="G302" i="12"/>
  <c r="H302" i="12"/>
  <c r="G303" i="12"/>
  <c r="H303" i="12"/>
  <c r="G304" i="12"/>
  <c r="H304" i="12"/>
  <c r="G305" i="12"/>
  <c r="H305" i="12"/>
  <c r="G306" i="12"/>
  <c r="H306" i="12"/>
  <c r="G307" i="12"/>
  <c r="H307" i="12"/>
  <c r="G308" i="12"/>
  <c r="H308" i="12"/>
  <c r="G309" i="12"/>
  <c r="H309" i="12"/>
  <c r="G310" i="12"/>
  <c r="H310" i="12"/>
  <c r="G311" i="12"/>
  <c r="H311" i="12"/>
  <c r="G312" i="12"/>
  <c r="H312" i="12"/>
  <c r="G313" i="12"/>
  <c r="H313" i="12"/>
  <c r="G314" i="12"/>
  <c r="H314" i="12"/>
  <c r="G315" i="12"/>
  <c r="H315" i="12"/>
  <c r="G316" i="12"/>
  <c r="H316" i="12"/>
  <c r="G317" i="12"/>
  <c r="H317" i="12"/>
  <c r="G318" i="12"/>
  <c r="H318" i="12"/>
  <c r="G319" i="12"/>
  <c r="H319" i="12"/>
  <c r="G320" i="12"/>
  <c r="H320" i="12"/>
  <c r="G321" i="12"/>
  <c r="H321" i="12"/>
  <c r="G322" i="12"/>
  <c r="H322" i="12"/>
  <c r="G323" i="12"/>
  <c r="H323" i="12"/>
  <c r="G324" i="12"/>
  <c r="H324" i="12"/>
  <c r="G325" i="12"/>
  <c r="H325" i="12"/>
  <c r="G326" i="12"/>
  <c r="H326" i="12"/>
  <c r="G327" i="12"/>
  <c r="H327" i="12"/>
  <c r="G328" i="12"/>
  <c r="H328" i="12"/>
  <c r="G329" i="12"/>
  <c r="H329" i="12"/>
  <c r="G330" i="12"/>
  <c r="H330" i="12"/>
  <c r="G331" i="12"/>
  <c r="H331" i="12"/>
  <c r="G332" i="12"/>
  <c r="H332" i="12"/>
  <c r="G333" i="12"/>
  <c r="H333" i="12"/>
  <c r="G334" i="12"/>
  <c r="H334" i="12"/>
  <c r="G335" i="12"/>
  <c r="H335" i="12"/>
  <c r="G336" i="12"/>
  <c r="H336" i="12"/>
  <c r="G337" i="12"/>
  <c r="H337" i="12"/>
  <c r="G338" i="12"/>
  <c r="H338" i="12"/>
  <c r="G339" i="12"/>
  <c r="H339" i="12"/>
  <c r="G340" i="12"/>
  <c r="H340" i="12"/>
  <c r="G341" i="12"/>
  <c r="H341" i="12"/>
  <c r="G342" i="12"/>
  <c r="H342" i="12"/>
  <c r="G343" i="12"/>
  <c r="H343" i="12"/>
  <c r="G344" i="12"/>
  <c r="H344" i="12"/>
  <c r="G345" i="12"/>
  <c r="H345" i="12"/>
  <c r="G346" i="12"/>
  <c r="H346" i="12"/>
  <c r="G347" i="12"/>
  <c r="H347" i="12"/>
  <c r="G348" i="12"/>
  <c r="H348" i="12"/>
  <c r="G349" i="12"/>
  <c r="H349" i="12"/>
  <c r="G350" i="12"/>
  <c r="H350" i="12"/>
  <c r="G351" i="12"/>
  <c r="H351" i="12"/>
  <c r="G352" i="12"/>
  <c r="H352" i="12"/>
  <c r="G353" i="12"/>
  <c r="H353" i="12"/>
  <c r="G354" i="12"/>
  <c r="H354" i="12"/>
  <c r="G355" i="12"/>
  <c r="H355" i="12"/>
  <c r="G356" i="12"/>
  <c r="H356" i="12"/>
  <c r="G357" i="12"/>
  <c r="H357" i="12"/>
  <c r="G358" i="12"/>
  <c r="H358" i="12"/>
  <c r="G359" i="12"/>
  <c r="H359" i="12"/>
  <c r="G360" i="12"/>
  <c r="H360" i="12"/>
  <c r="G361" i="12"/>
  <c r="H361" i="12"/>
  <c r="G362" i="12"/>
  <c r="H362" i="12"/>
  <c r="G363" i="12"/>
  <c r="H363" i="12"/>
  <c r="G364" i="12"/>
  <c r="H364" i="12"/>
  <c r="G365" i="12"/>
  <c r="H365" i="12"/>
  <c r="G366" i="12"/>
  <c r="H366" i="12"/>
  <c r="G367" i="12"/>
  <c r="H367" i="12"/>
  <c r="G368" i="12"/>
  <c r="H368" i="12"/>
  <c r="G369" i="12"/>
  <c r="H369" i="12"/>
  <c r="G370" i="12"/>
  <c r="H370" i="12"/>
  <c r="G371" i="12"/>
  <c r="H371" i="12"/>
  <c r="G372" i="12"/>
  <c r="H372" i="12"/>
  <c r="G373" i="12"/>
  <c r="H373" i="12"/>
  <c r="G374" i="12"/>
  <c r="H374" i="12"/>
  <c r="G375" i="12"/>
  <c r="H375" i="12"/>
  <c r="G376" i="12"/>
  <c r="H376" i="12"/>
  <c r="G377" i="12"/>
  <c r="H377" i="12"/>
  <c r="G378" i="12"/>
  <c r="H378" i="12"/>
  <c r="G379" i="12"/>
  <c r="H379" i="12"/>
  <c r="G380" i="12"/>
  <c r="H380" i="12"/>
  <c r="G381" i="12"/>
  <c r="H381" i="12"/>
  <c r="G382" i="12"/>
  <c r="H382" i="12"/>
  <c r="G383" i="12"/>
  <c r="H383" i="12"/>
  <c r="G384" i="12"/>
  <c r="H384" i="12"/>
  <c r="G385" i="12"/>
  <c r="H385" i="12"/>
  <c r="G386" i="12"/>
  <c r="H386" i="12"/>
  <c r="G387" i="12"/>
  <c r="H387" i="12"/>
  <c r="G388" i="12"/>
  <c r="H388" i="12"/>
  <c r="G389" i="12"/>
  <c r="H389" i="12"/>
  <c r="G390" i="12"/>
  <c r="H390" i="12"/>
  <c r="G391" i="12"/>
  <c r="H391" i="12"/>
  <c r="G392" i="12"/>
  <c r="H392" i="12"/>
  <c r="G393" i="12"/>
  <c r="H393" i="12"/>
  <c r="G394" i="12"/>
  <c r="H394" i="12"/>
  <c r="G395" i="12"/>
  <c r="H395" i="12"/>
  <c r="G396" i="12"/>
  <c r="H396" i="12"/>
  <c r="G397" i="12"/>
  <c r="H397" i="12"/>
  <c r="G398" i="12"/>
  <c r="H398" i="12"/>
  <c r="G399" i="12"/>
  <c r="H399" i="12"/>
  <c r="G400" i="12"/>
  <c r="H400" i="12"/>
  <c r="G401" i="12"/>
  <c r="H401" i="12"/>
  <c r="G402" i="12"/>
  <c r="H402" i="12"/>
  <c r="G403" i="12"/>
  <c r="H403" i="12"/>
  <c r="G404" i="12"/>
  <c r="H404" i="12"/>
  <c r="G405" i="12"/>
  <c r="H405" i="12"/>
  <c r="G406" i="12"/>
  <c r="H406" i="12"/>
  <c r="G407" i="12"/>
  <c r="H407" i="12"/>
  <c r="G408" i="12"/>
  <c r="H408" i="12"/>
  <c r="G409" i="12"/>
  <c r="H409" i="12"/>
  <c r="G410" i="12"/>
  <c r="H410" i="12"/>
  <c r="G411" i="12"/>
  <c r="H411" i="12"/>
  <c r="G412" i="12"/>
  <c r="H412" i="12"/>
  <c r="G413" i="12"/>
  <c r="H413" i="12"/>
  <c r="G414" i="12"/>
  <c r="H414" i="12"/>
  <c r="G415" i="12"/>
  <c r="H415" i="12"/>
  <c r="G416" i="12"/>
  <c r="H416" i="12"/>
  <c r="G417" i="12"/>
  <c r="H417" i="12"/>
  <c r="G418" i="12"/>
  <c r="H418" i="12"/>
  <c r="G419" i="12"/>
  <c r="H419" i="12"/>
  <c r="G420" i="12"/>
  <c r="H420" i="12"/>
  <c r="G421" i="12"/>
  <c r="H421" i="12"/>
  <c r="G422" i="12"/>
  <c r="H422" i="12"/>
  <c r="G423" i="12"/>
  <c r="H423" i="12"/>
  <c r="G424" i="12"/>
  <c r="H424" i="12"/>
  <c r="G425" i="12"/>
  <c r="H425" i="12"/>
  <c r="G426" i="12"/>
  <c r="H426" i="12"/>
  <c r="G427" i="12"/>
  <c r="H427" i="12"/>
  <c r="G428" i="12"/>
  <c r="H428" i="12"/>
  <c r="G429" i="12"/>
  <c r="H429" i="12"/>
  <c r="G430" i="12"/>
  <c r="H430" i="12"/>
  <c r="G431" i="12"/>
  <c r="H431" i="12"/>
  <c r="G432" i="12"/>
  <c r="H432" i="12"/>
  <c r="G433" i="12"/>
  <c r="H433" i="12"/>
  <c r="G434" i="12"/>
  <c r="H434" i="12"/>
  <c r="G435" i="12"/>
  <c r="H435" i="12"/>
  <c r="G436" i="12"/>
  <c r="H436" i="12"/>
  <c r="G437" i="12"/>
  <c r="H437" i="12"/>
  <c r="G438" i="12"/>
  <c r="H438" i="12"/>
  <c r="G439" i="12"/>
  <c r="H439" i="12"/>
  <c r="G440" i="12"/>
  <c r="H440" i="12"/>
  <c r="G441" i="12"/>
  <c r="H441" i="12"/>
  <c r="G442" i="12"/>
  <c r="H442" i="12"/>
  <c r="G443" i="12"/>
  <c r="H443" i="12"/>
  <c r="G444" i="12"/>
  <c r="H444" i="12"/>
  <c r="G445" i="12"/>
  <c r="H445" i="12"/>
  <c r="G446" i="12"/>
  <c r="H446" i="12"/>
  <c r="G447" i="12"/>
  <c r="H447" i="12"/>
  <c r="G448" i="12"/>
  <c r="H448" i="12"/>
  <c r="G449" i="12"/>
  <c r="H449" i="12"/>
  <c r="G450" i="12"/>
  <c r="H450" i="12"/>
  <c r="G451" i="12"/>
  <c r="H451" i="12"/>
  <c r="G452" i="12"/>
  <c r="H452" i="12"/>
  <c r="G453" i="12"/>
  <c r="H453" i="12"/>
  <c r="G454" i="12"/>
  <c r="H454" i="12"/>
  <c r="G455" i="12"/>
  <c r="H455" i="12"/>
  <c r="G456" i="12"/>
  <c r="H456" i="12"/>
  <c r="G457" i="12"/>
  <c r="H457" i="12"/>
  <c r="G458" i="12"/>
  <c r="H458" i="12"/>
  <c r="G459" i="12"/>
  <c r="H459" i="12"/>
  <c r="G460" i="12"/>
  <c r="H460" i="12"/>
  <c r="G461" i="12"/>
  <c r="H461" i="12"/>
  <c r="G462" i="12"/>
  <c r="H462" i="12"/>
  <c r="G463" i="12"/>
  <c r="H463" i="12"/>
  <c r="G464" i="12"/>
  <c r="H464" i="12"/>
  <c r="G465" i="12"/>
  <c r="H465" i="12"/>
  <c r="G466" i="12"/>
  <c r="H466" i="12"/>
  <c r="G467" i="12"/>
  <c r="H467" i="12"/>
  <c r="G468" i="12"/>
  <c r="H468" i="12"/>
  <c r="G469" i="12"/>
  <c r="H469" i="12"/>
  <c r="G470" i="12"/>
  <c r="H470" i="12"/>
  <c r="G471" i="12"/>
  <c r="H471" i="12"/>
  <c r="G472" i="12"/>
  <c r="H472" i="12"/>
  <c r="G473" i="12"/>
  <c r="H473" i="12"/>
  <c r="G474" i="12"/>
  <c r="H474" i="12"/>
  <c r="G475" i="12"/>
  <c r="H475" i="12"/>
  <c r="G476" i="12"/>
  <c r="H476" i="12"/>
  <c r="G477" i="12"/>
  <c r="H477" i="12"/>
  <c r="G478" i="12"/>
  <c r="H478" i="12"/>
  <c r="G479" i="12"/>
  <c r="H479" i="12"/>
  <c r="G480" i="12"/>
  <c r="H480" i="12"/>
  <c r="G481" i="12"/>
  <c r="H481" i="12"/>
  <c r="G482" i="12"/>
  <c r="H482" i="12"/>
  <c r="G483" i="12"/>
  <c r="H483" i="12"/>
  <c r="G484" i="12"/>
  <c r="H484" i="12"/>
  <c r="G485" i="12"/>
  <c r="H485" i="12"/>
  <c r="G486" i="12"/>
  <c r="H486" i="12"/>
  <c r="G487" i="12"/>
  <c r="H487" i="12"/>
  <c r="G488" i="12"/>
  <c r="H488" i="12"/>
  <c r="G489" i="12"/>
  <c r="H489" i="12"/>
  <c r="G490" i="12"/>
  <c r="H490" i="12"/>
  <c r="G491" i="12"/>
  <c r="H491" i="12"/>
  <c r="G492" i="12"/>
  <c r="H492" i="12"/>
  <c r="G493" i="12"/>
  <c r="H493" i="12"/>
  <c r="G494" i="12"/>
  <c r="H494" i="12"/>
  <c r="G495" i="12"/>
  <c r="H495" i="12"/>
  <c r="G496" i="12"/>
  <c r="H496" i="12"/>
  <c r="G497" i="12"/>
  <c r="H497" i="12"/>
  <c r="G498" i="12"/>
  <c r="H498" i="12"/>
  <c r="G499" i="12"/>
  <c r="H499" i="12"/>
  <c r="G500" i="12"/>
  <c r="H500" i="12"/>
  <c r="G501" i="12"/>
  <c r="H501" i="12"/>
  <c r="G502" i="12"/>
  <c r="H502" i="12"/>
  <c r="G503" i="12"/>
  <c r="H503" i="12"/>
  <c r="G504" i="12"/>
  <c r="H504" i="12"/>
  <c r="G505" i="12"/>
  <c r="H505" i="12"/>
  <c r="G506" i="12"/>
  <c r="H506" i="12"/>
  <c r="G507" i="12"/>
  <c r="H507" i="12"/>
  <c r="G508" i="12"/>
  <c r="H508" i="12"/>
  <c r="G509" i="12"/>
  <c r="H509" i="12"/>
  <c r="G510" i="12"/>
  <c r="H510" i="12"/>
  <c r="G511" i="12"/>
  <c r="H511" i="12"/>
  <c r="G512" i="12"/>
  <c r="H512" i="12"/>
  <c r="G513" i="12"/>
  <c r="H513" i="12"/>
  <c r="G514" i="12"/>
  <c r="H514" i="12"/>
  <c r="G515" i="12"/>
  <c r="H515" i="12"/>
  <c r="G516" i="12"/>
  <c r="H516" i="12"/>
  <c r="G517" i="12"/>
  <c r="H517" i="12"/>
  <c r="G518" i="12"/>
  <c r="H518" i="12"/>
  <c r="G519" i="12"/>
  <c r="H519" i="12"/>
  <c r="G520" i="12"/>
  <c r="H520" i="12"/>
  <c r="G521" i="12"/>
  <c r="H521" i="12"/>
  <c r="G522" i="12"/>
  <c r="H522" i="12"/>
  <c r="G523" i="12"/>
  <c r="H523" i="12"/>
  <c r="G524" i="12"/>
  <c r="H524" i="12"/>
  <c r="G525" i="12"/>
  <c r="H525" i="12"/>
  <c r="G526" i="12"/>
  <c r="H526" i="12"/>
  <c r="G527" i="12"/>
  <c r="H527" i="12"/>
  <c r="G528" i="12"/>
  <c r="H528" i="12"/>
  <c r="G529" i="12"/>
  <c r="H529" i="12"/>
  <c r="G530" i="12"/>
  <c r="H530" i="12"/>
  <c r="G531" i="12"/>
  <c r="H531" i="12"/>
  <c r="G532" i="12"/>
  <c r="H532" i="12"/>
  <c r="G533" i="12"/>
  <c r="H533" i="12"/>
  <c r="G534" i="12"/>
  <c r="H534" i="12"/>
  <c r="G535" i="12"/>
  <c r="H535" i="12"/>
  <c r="G536" i="12"/>
  <c r="H536" i="12"/>
  <c r="G537" i="12"/>
  <c r="H537" i="12"/>
  <c r="G538" i="12"/>
  <c r="H538" i="12"/>
  <c r="G539" i="12"/>
  <c r="H539" i="12"/>
  <c r="G540" i="12"/>
  <c r="H540" i="12"/>
  <c r="G541" i="12"/>
  <c r="H541" i="12"/>
  <c r="G542" i="12"/>
  <c r="H542" i="12"/>
  <c r="G543" i="12"/>
  <c r="H543" i="12"/>
  <c r="G544" i="12"/>
  <c r="H544" i="12"/>
  <c r="G545" i="12"/>
  <c r="H545" i="12"/>
  <c r="G546" i="12"/>
  <c r="H546" i="12"/>
  <c r="G547" i="12"/>
  <c r="H547" i="12"/>
  <c r="G548" i="12"/>
  <c r="H548" i="12"/>
  <c r="G549" i="12"/>
  <c r="H549" i="12"/>
  <c r="G550" i="12"/>
  <c r="H550" i="12"/>
  <c r="G551" i="12"/>
  <c r="H551" i="12"/>
  <c r="G552" i="12"/>
  <c r="H552" i="12"/>
  <c r="G553" i="12"/>
  <c r="H553" i="12"/>
  <c r="G554" i="12"/>
  <c r="H554" i="12"/>
  <c r="G555" i="12"/>
  <c r="H555" i="12"/>
  <c r="G556" i="12"/>
  <c r="H556" i="12"/>
  <c r="G557" i="12"/>
  <c r="H557" i="12"/>
  <c r="G558" i="12"/>
  <c r="H558" i="12"/>
  <c r="G559" i="12"/>
  <c r="H559" i="12"/>
  <c r="G560" i="12"/>
  <c r="H560" i="12"/>
  <c r="G561" i="12"/>
  <c r="H561" i="12"/>
  <c r="G562" i="12"/>
  <c r="H562" i="12"/>
  <c r="G563" i="12"/>
  <c r="H563" i="12"/>
  <c r="G564" i="12"/>
  <c r="H564" i="12"/>
  <c r="G565" i="12"/>
  <c r="H565" i="12"/>
  <c r="G566" i="12"/>
  <c r="H566" i="12"/>
  <c r="G567" i="12"/>
  <c r="H567" i="12"/>
  <c r="G568" i="12"/>
  <c r="H568" i="12"/>
  <c r="G569" i="12"/>
  <c r="H569" i="12"/>
  <c r="G570" i="12"/>
  <c r="H570" i="12"/>
  <c r="G571" i="12"/>
  <c r="H571" i="12"/>
  <c r="G572" i="12"/>
  <c r="H572" i="12"/>
  <c r="H573" i="12"/>
  <c r="H574" i="12"/>
  <c r="H575" i="12"/>
  <c r="H576" i="12"/>
  <c r="H577" i="12"/>
  <c r="H578" i="12"/>
  <c r="G579" i="12"/>
  <c r="H579" i="12"/>
  <c r="G580" i="12"/>
  <c r="H580" i="12"/>
  <c r="G581" i="12"/>
  <c r="H581" i="12"/>
  <c r="G582" i="12"/>
  <c r="H582" i="12"/>
  <c r="G583" i="12"/>
  <c r="H583" i="12"/>
  <c r="H2" i="12"/>
  <c r="G2" i="12"/>
  <c r="G7" i="14"/>
  <c r="B45" i="22"/>
  <c r="K64" i="22"/>
  <c r="A64" i="22"/>
  <c r="B64" i="22"/>
  <c r="J64" i="22"/>
  <c r="D64" i="22"/>
  <c r="E64" i="22"/>
  <c r="G64" i="22"/>
  <c r="C64" i="22"/>
  <c r="H64" i="22"/>
  <c r="I64" i="22"/>
  <c r="L64" i="22"/>
  <c r="O64" i="22"/>
  <c r="P64" i="22"/>
  <c r="R44" i="22"/>
  <c r="C21" i="15"/>
  <c r="R172" i="14"/>
  <c r="R170" i="14"/>
  <c r="R167" i="14"/>
  <c r="R166" i="14"/>
  <c r="R164" i="14"/>
  <c r="R77" i="14"/>
  <c r="R76" i="14"/>
  <c r="R73" i="14"/>
  <c r="R58" i="14"/>
  <c r="R60" i="14"/>
  <c r="R65" i="14"/>
  <c r="R49" i="14"/>
  <c r="R50" i="14"/>
  <c r="R51" i="14"/>
  <c r="R52" i="14"/>
  <c r="R53" i="14"/>
  <c r="R54" i="14"/>
  <c r="R12" i="14"/>
  <c r="R10" i="14"/>
  <c r="R9" i="14"/>
  <c r="R7" i="14"/>
  <c r="P3" i="22"/>
  <c r="I309" i="12"/>
  <c r="G23" i="15"/>
  <c r="C73" i="22"/>
  <c r="O73" i="22"/>
  <c r="D73" i="22"/>
  <c r="P73" i="22"/>
  <c r="E73" i="22"/>
  <c r="H73" i="22"/>
  <c r="I73" i="22"/>
  <c r="A73" i="22"/>
  <c r="F73" i="22"/>
  <c r="K73" i="22"/>
  <c r="G73" i="22"/>
  <c r="A75" i="22"/>
  <c r="M75" i="22"/>
  <c r="I75" i="22"/>
  <c r="J75" i="22"/>
  <c r="C75" i="22"/>
  <c r="K75" i="22"/>
  <c r="D75" i="22"/>
  <c r="L75" i="22"/>
  <c r="E75" i="22"/>
  <c r="O75" i="22"/>
  <c r="G75" i="22"/>
  <c r="P75" i="22"/>
  <c r="H75" i="22"/>
  <c r="D5" i="22"/>
  <c r="L5" i="22"/>
  <c r="E5" i="22"/>
  <c r="O5" i="22"/>
  <c r="C5" i="22"/>
  <c r="G5" i="22"/>
  <c r="I5" i="22"/>
  <c r="H5" i="22"/>
  <c r="J5" i="22"/>
  <c r="K5" i="22"/>
  <c r="P5" i="22"/>
  <c r="A5" i="22"/>
  <c r="M5" i="22"/>
  <c r="E11" i="22"/>
  <c r="P11" i="22"/>
  <c r="G11" i="22"/>
  <c r="H11" i="22"/>
  <c r="C11" i="22"/>
  <c r="D11" i="22"/>
  <c r="K11" i="22"/>
  <c r="O11" i="22"/>
  <c r="I11" i="22"/>
  <c r="J11" i="22"/>
  <c r="L11" i="22"/>
  <c r="A11" i="22"/>
  <c r="B11" i="22"/>
  <c r="G23" i="22"/>
  <c r="H23" i="22"/>
  <c r="I23" i="22"/>
  <c r="A23" i="22"/>
  <c r="M23" i="22"/>
  <c r="O23" i="22"/>
  <c r="P23" i="22"/>
  <c r="E23" i="22"/>
  <c r="C23" i="22"/>
  <c r="D23" i="22"/>
  <c r="J23" i="22"/>
  <c r="K23" i="22"/>
  <c r="L23" i="22"/>
  <c r="A35" i="22"/>
  <c r="F35" i="22"/>
  <c r="J35" i="22"/>
  <c r="K35" i="22"/>
  <c r="C35" i="22"/>
  <c r="L35" i="22"/>
  <c r="H35" i="22"/>
  <c r="I35" i="22"/>
  <c r="P35" i="22"/>
  <c r="E35" i="22"/>
  <c r="O35" i="22"/>
  <c r="G35" i="22"/>
  <c r="D35" i="22"/>
  <c r="O40" i="22"/>
  <c r="H25" i="22"/>
  <c r="I25" i="22"/>
  <c r="A25" i="22"/>
  <c r="M25" i="22"/>
  <c r="J25" i="22"/>
  <c r="G25" i="22"/>
  <c r="K25" i="22"/>
  <c r="C25" i="22"/>
  <c r="L25" i="22"/>
  <c r="O25" i="22"/>
  <c r="D25" i="22"/>
  <c r="P25" i="22"/>
  <c r="E25" i="22"/>
  <c r="H22" i="22"/>
  <c r="A22" i="22"/>
  <c r="R22" i="22"/>
  <c r="I22" i="22"/>
  <c r="J22" i="22"/>
  <c r="E22" i="22"/>
  <c r="K22" i="22"/>
  <c r="C22" i="22"/>
  <c r="G22" i="22"/>
  <c r="O22" i="22"/>
  <c r="L22" i="22"/>
  <c r="P22" i="22"/>
  <c r="D22" i="22"/>
  <c r="P29" i="22"/>
  <c r="C29" i="22"/>
  <c r="L29" i="22"/>
  <c r="C47" i="22"/>
  <c r="K47" i="22"/>
  <c r="A47" i="22"/>
  <c r="B47" i="22"/>
  <c r="J47" i="22"/>
  <c r="G47" i="22"/>
  <c r="H47" i="22"/>
  <c r="I47" i="22"/>
  <c r="O47" i="22"/>
  <c r="P47" i="22"/>
  <c r="D47" i="22"/>
  <c r="E47" i="22"/>
  <c r="L47" i="22"/>
  <c r="A52" i="22"/>
  <c r="M52" i="22"/>
  <c r="J52" i="22"/>
  <c r="I52" i="22"/>
  <c r="L52" i="22"/>
  <c r="O52" i="22"/>
  <c r="C52" i="22"/>
  <c r="P52" i="22"/>
  <c r="E52" i="22"/>
  <c r="D52" i="22"/>
  <c r="H52" i="22"/>
  <c r="K52" i="22"/>
  <c r="I57" i="22"/>
  <c r="H57" i="22"/>
  <c r="P57" i="22"/>
  <c r="O57" i="22"/>
  <c r="G57" i="22"/>
  <c r="C57" i="22"/>
  <c r="K57" i="22"/>
  <c r="G69" i="22"/>
  <c r="O69" i="22"/>
  <c r="E69" i="22"/>
  <c r="H69" i="22"/>
  <c r="I69" i="22"/>
  <c r="D69" i="22"/>
  <c r="J69" i="22"/>
  <c r="K69" i="22"/>
  <c r="A69" i="22"/>
  <c r="S69" i="22"/>
  <c r="P69" i="22"/>
  <c r="C69" i="22"/>
  <c r="L69" i="22"/>
  <c r="I8" i="22"/>
  <c r="E8" i="22"/>
  <c r="O8" i="22"/>
  <c r="H43" i="22"/>
  <c r="I43" i="22"/>
  <c r="A43" i="22"/>
  <c r="B43" i="22"/>
  <c r="J43" i="22"/>
  <c r="E43" i="22"/>
  <c r="L43" i="22"/>
  <c r="P43" i="22"/>
  <c r="K43" i="22"/>
  <c r="O43" i="22"/>
  <c r="C43" i="22"/>
  <c r="D43" i="22"/>
  <c r="H7" i="22"/>
  <c r="I7" i="22"/>
  <c r="A7" i="22"/>
  <c r="M7" i="22"/>
  <c r="J7" i="22"/>
  <c r="E7" i="22"/>
  <c r="G7" i="22"/>
  <c r="K7" i="22"/>
  <c r="P7" i="22"/>
  <c r="L7" i="22"/>
  <c r="O7" i="22"/>
  <c r="C7" i="22"/>
  <c r="D7" i="22"/>
  <c r="H13" i="22"/>
  <c r="P13" i="22"/>
  <c r="I13" i="22"/>
  <c r="A13" i="22"/>
  <c r="F13" i="22"/>
  <c r="T13" i="22"/>
  <c r="D13" i="22"/>
  <c r="O13" i="22"/>
  <c r="E13" i="22"/>
  <c r="K13" i="22"/>
  <c r="C13" i="22"/>
  <c r="O16" i="22"/>
  <c r="G16" i="22"/>
  <c r="P16" i="22"/>
  <c r="H16" i="22"/>
  <c r="D16" i="22"/>
  <c r="J16" i="22"/>
  <c r="K16" i="22"/>
  <c r="L16" i="22"/>
  <c r="E16" i="22"/>
  <c r="I16" i="22"/>
  <c r="A16" i="22"/>
  <c r="F16" i="22"/>
  <c r="U16" i="22"/>
  <c r="C16" i="22"/>
  <c r="G10" i="22"/>
  <c r="J10" i="22"/>
  <c r="K10" i="22"/>
  <c r="E46" i="22"/>
  <c r="D46" i="22"/>
  <c r="L46" i="22"/>
  <c r="C46" i="22"/>
  <c r="O46" i="22"/>
  <c r="P46" i="22"/>
  <c r="G46" i="22"/>
  <c r="K46" i="22"/>
  <c r="A46" i="22"/>
  <c r="S46" i="22"/>
  <c r="H46" i="22"/>
  <c r="I46" i="22"/>
  <c r="J46" i="22"/>
  <c r="O26" i="22"/>
  <c r="P26" i="22"/>
  <c r="G26" i="22"/>
  <c r="H26" i="22"/>
  <c r="C26" i="22"/>
  <c r="D26" i="22"/>
  <c r="J26" i="22"/>
  <c r="K26" i="22"/>
  <c r="E26" i="22"/>
  <c r="A26" i="22"/>
  <c r="B26" i="22"/>
  <c r="I26" i="22"/>
  <c r="L26" i="22"/>
  <c r="D33" i="22"/>
  <c r="L33" i="22"/>
  <c r="E33" i="22"/>
  <c r="O33" i="22"/>
  <c r="C33" i="22"/>
  <c r="G33" i="22"/>
  <c r="I33" i="22"/>
  <c r="J33" i="22"/>
  <c r="H33" i="22"/>
  <c r="K33" i="22"/>
  <c r="P33" i="22"/>
  <c r="A33" i="22"/>
  <c r="S33" i="22"/>
  <c r="E49" i="22"/>
  <c r="D49" i="22"/>
  <c r="L49" i="22"/>
  <c r="I49" i="22"/>
  <c r="J49" i="22"/>
  <c r="A49" i="22"/>
  <c r="B49" i="22"/>
  <c r="K49" i="22"/>
  <c r="P49" i="22"/>
  <c r="C49" i="22"/>
  <c r="H49" i="22"/>
  <c r="O49" i="22"/>
  <c r="A53" i="22"/>
  <c r="F53" i="22"/>
  <c r="T53" i="22"/>
  <c r="I53" i="22"/>
  <c r="P53" i="22"/>
  <c r="H53" i="22"/>
  <c r="O53" i="22"/>
  <c r="C53" i="22"/>
  <c r="D53" i="22"/>
  <c r="E53" i="22"/>
  <c r="K53" i="22"/>
  <c r="H61" i="22"/>
  <c r="P61" i="22"/>
  <c r="G61" i="22"/>
  <c r="O61" i="22"/>
  <c r="D61" i="22"/>
  <c r="E61" i="22"/>
  <c r="I61" i="22"/>
  <c r="J61" i="22"/>
  <c r="L61" i="22"/>
  <c r="K61" i="22"/>
  <c r="A61" i="22"/>
  <c r="M61" i="22"/>
  <c r="C61" i="22"/>
  <c r="D70" i="22"/>
  <c r="L70" i="22"/>
  <c r="C70" i="22"/>
  <c r="K70" i="22"/>
  <c r="H70" i="22"/>
  <c r="I70" i="22"/>
  <c r="J70" i="22"/>
  <c r="E70" i="22"/>
  <c r="G70" i="22"/>
  <c r="O70" i="22"/>
  <c r="A70" i="22"/>
  <c r="F70" i="22"/>
  <c r="U70" i="22"/>
  <c r="P70" i="22"/>
  <c r="D15" i="22"/>
  <c r="O15" i="22"/>
  <c r="E15" i="22"/>
  <c r="P15" i="22"/>
  <c r="H15" i="22"/>
  <c r="I15" i="22"/>
  <c r="A15" i="22"/>
  <c r="R15" i="22"/>
  <c r="C15" i="22"/>
  <c r="K15" i="22"/>
  <c r="J20" i="22"/>
  <c r="K20" i="22"/>
  <c r="C20" i="22"/>
  <c r="D20" i="22"/>
  <c r="L20" i="22"/>
  <c r="O20" i="22"/>
  <c r="P20" i="22"/>
  <c r="G20" i="22"/>
  <c r="H20" i="22"/>
  <c r="A20" i="22"/>
  <c r="B20" i="22"/>
  <c r="E20" i="22"/>
  <c r="I20" i="22"/>
  <c r="D30" i="22"/>
  <c r="E30" i="22"/>
  <c r="O30" i="22"/>
  <c r="A30" i="22"/>
  <c r="B30" i="22"/>
  <c r="P30" i="22"/>
  <c r="G30" i="22"/>
  <c r="C30" i="22"/>
  <c r="H30" i="22"/>
  <c r="I30" i="22"/>
  <c r="K30" i="22"/>
  <c r="O9" i="22"/>
  <c r="L9" i="22"/>
  <c r="C9" i="22"/>
  <c r="D17" i="22"/>
  <c r="L17" i="22"/>
  <c r="E17" i="22"/>
  <c r="K17" i="22"/>
  <c r="O17" i="22"/>
  <c r="I17" i="22"/>
  <c r="A17" i="22"/>
  <c r="S17" i="22"/>
  <c r="P17" i="22"/>
  <c r="C17" i="22"/>
  <c r="G17" i="22"/>
  <c r="H17" i="22"/>
  <c r="J17" i="22"/>
  <c r="O14" i="22"/>
  <c r="G14" i="22"/>
  <c r="P14" i="22"/>
  <c r="H14" i="22"/>
  <c r="K14" i="22"/>
  <c r="A14" i="22"/>
  <c r="S14" i="22"/>
  <c r="L14" i="22"/>
  <c r="I14" i="22"/>
  <c r="J14" i="22"/>
  <c r="C14" i="22"/>
  <c r="D14" i="22"/>
  <c r="E14" i="22"/>
  <c r="H41" i="22"/>
  <c r="I41" i="22"/>
  <c r="A41" i="22"/>
  <c r="F41" i="22"/>
  <c r="J41" i="22"/>
  <c r="O41" i="22"/>
  <c r="C41" i="22"/>
  <c r="D41" i="22"/>
  <c r="K41" i="22"/>
  <c r="P41" i="22"/>
  <c r="L41" i="22"/>
  <c r="E41" i="22"/>
  <c r="G41" i="22"/>
  <c r="A50" i="22"/>
  <c r="S50" i="22"/>
  <c r="J50" i="22"/>
  <c r="I50" i="22"/>
  <c r="L50" i="22"/>
  <c r="C50" i="22"/>
  <c r="D50" i="22"/>
  <c r="O50" i="22"/>
  <c r="P50" i="22"/>
  <c r="E50" i="22"/>
  <c r="H50" i="22"/>
  <c r="K50" i="22"/>
  <c r="O54" i="22"/>
  <c r="A54" i="22"/>
  <c r="B54" i="22"/>
  <c r="H54" i="22"/>
  <c r="A63" i="22"/>
  <c r="B63" i="22"/>
  <c r="I63" i="22"/>
  <c r="H63" i="22"/>
  <c r="K63" i="22"/>
  <c r="C63" i="22"/>
  <c r="D63" i="22"/>
  <c r="E63" i="22"/>
  <c r="O63" i="22"/>
  <c r="P63" i="22"/>
  <c r="D32" i="22"/>
  <c r="I19" i="22"/>
  <c r="J19" i="22"/>
  <c r="A19" i="22"/>
  <c r="R19" i="22"/>
  <c r="K19" i="22"/>
  <c r="C19" i="22"/>
  <c r="D19" i="22"/>
  <c r="G19" i="22"/>
  <c r="O19" i="22"/>
  <c r="P19" i="22"/>
  <c r="E19" i="22"/>
  <c r="H19" i="22"/>
  <c r="L19" i="22"/>
  <c r="H24" i="22"/>
  <c r="A24" i="22"/>
  <c r="S24" i="22"/>
  <c r="I24" i="22"/>
  <c r="J24" i="22"/>
  <c r="L24" i="22"/>
  <c r="P24" i="22"/>
  <c r="G24" i="22"/>
  <c r="K24" i="22"/>
  <c r="O24" i="22"/>
  <c r="C24" i="22"/>
  <c r="D24" i="22"/>
  <c r="E24" i="22"/>
  <c r="P31" i="22"/>
  <c r="J31" i="22"/>
  <c r="I21" i="22"/>
  <c r="A21" i="22"/>
  <c r="J21" i="22"/>
  <c r="C21" i="22"/>
  <c r="K21" i="22"/>
  <c r="H21" i="22"/>
  <c r="L21" i="22"/>
  <c r="P21" i="22"/>
  <c r="O21" i="22"/>
  <c r="D21" i="22"/>
  <c r="E21" i="22"/>
  <c r="G21" i="22"/>
  <c r="J18" i="22"/>
  <c r="K18" i="22"/>
  <c r="C18" i="22"/>
  <c r="D18" i="22"/>
  <c r="L18" i="22"/>
  <c r="G18" i="22"/>
  <c r="H18" i="22"/>
  <c r="O18" i="22"/>
  <c r="A18" i="22"/>
  <c r="R18" i="22"/>
  <c r="I18" i="22"/>
  <c r="P18" i="22"/>
  <c r="E18" i="22"/>
  <c r="A51" i="22"/>
  <c r="B51" i="22"/>
  <c r="I51" i="22"/>
  <c r="H51" i="22"/>
  <c r="E51" i="22"/>
  <c r="G51" i="22"/>
  <c r="O51" i="22"/>
  <c r="P51" i="22"/>
  <c r="C51" i="22"/>
  <c r="D51" i="22"/>
  <c r="J51" i="22"/>
  <c r="K51" i="22"/>
  <c r="L51" i="22"/>
  <c r="O67" i="22"/>
  <c r="E67" i="22"/>
  <c r="D67" i="22"/>
  <c r="G67" i="22"/>
  <c r="H67" i="22"/>
  <c r="A67" i="22"/>
  <c r="R67" i="22"/>
  <c r="C67" i="22"/>
  <c r="I67" i="22"/>
  <c r="J67" i="22"/>
  <c r="K67" i="22"/>
  <c r="L67" i="22"/>
  <c r="P67" i="22"/>
  <c r="P4" i="22"/>
  <c r="K4" i="22"/>
  <c r="C4" i="22"/>
  <c r="D4" i="22"/>
  <c r="I4" i="22"/>
  <c r="G4" i="22"/>
  <c r="J4" i="22"/>
  <c r="A4" i="22"/>
  <c r="M4" i="22"/>
  <c r="L4" i="22"/>
  <c r="E4" i="22"/>
  <c r="O4" i="22"/>
  <c r="H4" i="22"/>
  <c r="O2" i="22"/>
  <c r="P2" i="22"/>
  <c r="L3" i="22"/>
  <c r="O3" i="22"/>
  <c r="J2" i="22"/>
  <c r="L2" i="22"/>
  <c r="G3" i="22"/>
  <c r="J3" i="22"/>
  <c r="G2" i="22"/>
  <c r="A2" i="22"/>
  <c r="F2" i="22"/>
  <c r="A3" i="22"/>
  <c r="B3" i="22"/>
  <c r="I3" i="22"/>
  <c r="K3" i="22"/>
  <c r="C3" i="22"/>
  <c r="D3" i="22"/>
  <c r="E3" i="22"/>
  <c r="H3" i="22"/>
  <c r="I2" i="22"/>
  <c r="K2" i="22"/>
  <c r="H2" i="22"/>
  <c r="D2" i="22"/>
  <c r="E2" i="22"/>
  <c r="C2" i="22"/>
  <c r="R79" i="14"/>
  <c r="R142" i="14"/>
  <c r="I583" i="12"/>
  <c r="I582" i="12"/>
  <c r="I581" i="12"/>
  <c r="I580" i="12"/>
  <c r="I579" i="12"/>
  <c r="I572" i="12"/>
  <c r="I571" i="12"/>
  <c r="I570" i="12"/>
  <c r="I569" i="12"/>
  <c r="I568" i="12"/>
  <c r="I567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8" i="12"/>
  <c r="I537" i="12"/>
  <c r="I536" i="12"/>
  <c r="I535" i="12"/>
  <c r="I534" i="12"/>
  <c r="I533" i="12"/>
  <c r="I532" i="12"/>
  <c r="I530" i="12"/>
  <c r="I529" i="12"/>
  <c r="I524" i="12"/>
  <c r="I523" i="12"/>
  <c r="I522" i="12"/>
  <c r="I521" i="12"/>
  <c r="I520" i="12"/>
  <c r="I519" i="12"/>
  <c r="I517" i="12"/>
  <c r="I516" i="12"/>
  <c r="I515" i="12"/>
  <c r="I514" i="12"/>
  <c r="I513" i="12"/>
  <c r="I512" i="12"/>
  <c r="I511" i="12"/>
  <c r="I507" i="12"/>
  <c r="I505" i="12"/>
  <c r="I503" i="12"/>
  <c r="I502" i="12"/>
  <c r="I501" i="12"/>
  <c r="I499" i="12"/>
  <c r="I498" i="12"/>
  <c r="I497" i="12"/>
  <c r="I496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2" i="12"/>
  <c r="I221" i="12"/>
  <c r="I220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8" i="12"/>
  <c r="I157" i="12"/>
  <c r="I156" i="12"/>
  <c r="I155" i="12"/>
  <c r="I154" i="12"/>
  <c r="I152" i="12"/>
  <c r="I151" i="12"/>
  <c r="I149" i="12"/>
  <c r="I148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5" i="12"/>
  <c r="I3" i="12"/>
  <c r="I310" i="12"/>
  <c r="I99" i="12"/>
  <c r="I4" i="12"/>
  <c r="I2" i="12"/>
  <c r="E31" i="22"/>
  <c r="I31" i="22"/>
  <c r="D31" i="22"/>
  <c r="A31" i="22"/>
  <c r="B31" i="22"/>
  <c r="O31" i="22"/>
  <c r="H31" i="22"/>
  <c r="L31" i="22"/>
  <c r="G31" i="22"/>
  <c r="C31" i="22"/>
  <c r="P44" i="22"/>
  <c r="K74" i="22"/>
  <c r="G44" i="22"/>
  <c r="L63" i="22"/>
  <c r="L80" i="22"/>
  <c r="O74" i="22"/>
  <c r="G13" i="22"/>
  <c r="G80" i="22"/>
  <c r="R40" i="14"/>
  <c r="I224" i="12"/>
  <c r="P159" i="14"/>
  <c r="L178" i="14"/>
  <c r="I539" i="12"/>
  <c r="D57" i="22"/>
  <c r="E57" i="22"/>
  <c r="G60" i="22"/>
  <c r="L60" i="22"/>
  <c r="O60" i="22"/>
  <c r="R158" i="14"/>
  <c r="J60" i="22"/>
  <c r="D60" i="22"/>
  <c r="P60" i="22"/>
  <c r="K60" i="22"/>
  <c r="E60" i="22"/>
  <c r="C60" i="22"/>
  <c r="H60" i="22"/>
  <c r="A60" i="22"/>
  <c r="M60" i="22"/>
  <c r="I60" i="22"/>
  <c r="G15" i="22"/>
  <c r="R13" i="14"/>
  <c r="I6" i="12"/>
  <c r="R64" i="14"/>
  <c r="I500" i="12"/>
  <c r="R133" i="14"/>
  <c r="I531" i="12"/>
  <c r="I504" i="12"/>
  <c r="J127" i="14"/>
  <c r="P127" i="14"/>
  <c r="R127" i="14"/>
  <c r="J56" i="14"/>
  <c r="P56" i="14"/>
  <c r="G28" i="22"/>
  <c r="R134" i="14"/>
  <c r="I281" i="12"/>
  <c r="I39" i="22"/>
  <c r="C39" i="22"/>
  <c r="A39" i="22"/>
  <c r="B39" i="22"/>
  <c r="D39" i="22"/>
  <c r="R69" i="14"/>
  <c r="E39" i="22"/>
  <c r="K39" i="22"/>
  <c r="I510" i="12"/>
  <c r="H39" i="22"/>
  <c r="P39" i="22"/>
  <c r="O39" i="22"/>
  <c r="R61" i="14"/>
  <c r="P32" i="22"/>
  <c r="H32" i="22"/>
  <c r="E32" i="22"/>
  <c r="I32" i="22"/>
  <c r="K32" i="22"/>
  <c r="O32" i="22"/>
  <c r="C32" i="22"/>
  <c r="A32" i="22"/>
  <c r="B32" i="22"/>
  <c r="H29" i="22"/>
  <c r="I29" i="22"/>
  <c r="D29" i="22"/>
  <c r="O29" i="22"/>
  <c r="E29" i="22"/>
  <c r="J29" i="22"/>
  <c r="G29" i="22"/>
  <c r="A29" i="22"/>
  <c r="K29" i="22"/>
  <c r="R20" i="14"/>
  <c r="I130" i="12"/>
  <c r="R125" i="14"/>
  <c r="I54" i="22"/>
  <c r="C54" i="22"/>
  <c r="I518" i="12"/>
  <c r="G54" i="22"/>
  <c r="J54" i="22"/>
  <c r="D54" i="22"/>
  <c r="P54" i="22"/>
  <c r="K54" i="22"/>
  <c r="E54" i="22"/>
  <c r="K38" i="22"/>
  <c r="H38" i="22"/>
  <c r="R68" i="14"/>
  <c r="A38" i="22"/>
  <c r="P38" i="22"/>
  <c r="D38" i="22"/>
  <c r="I38" i="22"/>
  <c r="E38" i="22"/>
  <c r="C38" i="22"/>
  <c r="O38" i="22"/>
  <c r="I509" i="12"/>
  <c r="R43" i="14"/>
  <c r="I223" i="12"/>
  <c r="P10" i="22"/>
  <c r="A10" i="22"/>
  <c r="M10" i="22"/>
  <c r="D10" i="22"/>
  <c r="I159" i="12"/>
  <c r="H10" i="22"/>
  <c r="L10" i="22"/>
  <c r="E10" i="22"/>
  <c r="R28" i="14"/>
  <c r="O10" i="22"/>
  <c r="I10" i="22"/>
  <c r="C10" i="22"/>
  <c r="R19" i="14"/>
  <c r="I129" i="12"/>
  <c r="J37" i="22"/>
  <c r="L37" i="22"/>
  <c r="K37" i="22"/>
  <c r="P37" i="22"/>
  <c r="O37" i="22"/>
  <c r="R67" i="14"/>
  <c r="C37" i="22"/>
  <c r="E37" i="22"/>
  <c r="A37" i="22"/>
  <c r="D37" i="22"/>
  <c r="I37" i="22"/>
  <c r="I508" i="12"/>
  <c r="H37" i="22"/>
  <c r="R42" i="14"/>
  <c r="I219" i="12"/>
  <c r="P9" i="22"/>
  <c r="A9" i="22"/>
  <c r="M9" i="22"/>
  <c r="D9" i="22"/>
  <c r="H9" i="22"/>
  <c r="J9" i="22"/>
  <c r="E9" i="22"/>
  <c r="G9" i="22"/>
  <c r="I9" i="22"/>
  <c r="K9" i="22"/>
  <c r="I153" i="12"/>
  <c r="R27" i="14"/>
  <c r="R18" i="14"/>
  <c r="I68" i="12"/>
  <c r="R14" i="14"/>
  <c r="I147" i="12"/>
  <c r="J40" i="22"/>
  <c r="H40" i="22"/>
  <c r="R70" i="14"/>
  <c r="C40" i="22"/>
  <c r="L40" i="22"/>
  <c r="D40" i="22"/>
  <c r="A40" i="22"/>
  <c r="R40" i="22"/>
  <c r="K40" i="22"/>
  <c r="G40" i="22"/>
  <c r="I40" i="22"/>
  <c r="E40" i="22"/>
  <c r="P40" i="22"/>
  <c r="R26" i="14"/>
  <c r="J8" i="22"/>
  <c r="H8" i="22"/>
  <c r="P8" i="22"/>
  <c r="C8" i="22"/>
  <c r="L8" i="22"/>
  <c r="D8" i="22"/>
  <c r="I150" i="12"/>
  <c r="A8" i="22"/>
  <c r="S8" i="22"/>
  <c r="K8" i="22"/>
  <c r="G8" i="22"/>
  <c r="R22" i="14"/>
  <c r="I44" i="12"/>
  <c r="J15" i="22"/>
  <c r="R45" i="22"/>
  <c r="J62" i="14"/>
  <c r="P62" i="14"/>
  <c r="G39" i="22"/>
  <c r="G38" i="22"/>
  <c r="J39" i="22"/>
  <c r="L54" i="22"/>
  <c r="J130" i="14"/>
  <c r="P130" i="14"/>
  <c r="I525" i="12"/>
  <c r="J32" i="22"/>
  <c r="G37" i="22"/>
  <c r="J38" i="22"/>
  <c r="L32" i="22"/>
  <c r="S45" i="22"/>
  <c r="S167" i="22"/>
  <c r="M45" i="22"/>
  <c r="T64" i="14"/>
  <c r="R74" i="14"/>
  <c r="M88" i="22"/>
  <c r="E44" i="22"/>
  <c r="D74" i="22"/>
  <c r="I74" i="22"/>
  <c r="L13" i="22"/>
  <c r="R106" i="22"/>
  <c r="B201" i="22"/>
  <c r="A80" i="22"/>
  <c r="B80" i="22"/>
  <c r="R181" i="14"/>
  <c r="M100" i="22"/>
  <c r="G55" i="22"/>
  <c r="E55" i="22"/>
  <c r="J55" i="22"/>
  <c r="P55" i="22"/>
  <c r="A55" i="22"/>
  <c r="B55" i="22"/>
  <c r="K55" i="22"/>
  <c r="D55" i="22"/>
  <c r="I55" i="22"/>
  <c r="H55" i="22"/>
  <c r="N55" i="22"/>
  <c r="O55" i="22"/>
  <c r="C55" i="22"/>
  <c r="L55" i="22"/>
  <c r="P66" i="14"/>
  <c r="R135" i="22"/>
  <c r="S134" i="22"/>
  <c r="F83" i="22"/>
  <c r="Q83" i="22"/>
  <c r="P74" i="22"/>
  <c r="A74" i="22"/>
  <c r="R74" i="22"/>
  <c r="G74" i="22"/>
  <c r="F161" i="22"/>
  <c r="U161" i="22"/>
  <c r="S146" i="22"/>
  <c r="C80" i="22"/>
  <c r="I80" i="22"/>
  <c r="E80" i="22"/>
  <c r="L74" i="22"/>
  <c r="O80" i="22"/>
  <c r="K80" i="22"/>
  <c r="R162" i="14"/>
  <c r="I6" i="22"/>
  <c r="L6" i="22"/>
  <c r="D6" i="22"/>
  <c r="J6" i="22"/>
  <c r="P6" i="22"/>
  <c r="G6" i="22"/>
  <c r="C6" i="22"/>
  <c r="E6" i="22"/>
  <c r="H6" i="22"/>
  <c r="A6" i="22"/>
  <c r="R6" i="22"/>
  <c r="K6" i="22"/>
  <c r="O6" i="22"/>
  <c r="R11" i="14"/>
  <c r="R127" i="22"/>
  <c r="F149" i="22"/>
  <c r="U149" i="22"/>
  <c r="F173" i="22"/>
  <c r="U173" i="22"/>
  <c r="M94" i="22"/>
  <c r="S198" i="22"/>
  <c r="S94" i="22"/>
  <c r="B92" i="22"/>
  <c r="B139" i="22"/>
  <c r="S250" i="22"/>
  <c r="F128" i="22"/>
  <c r="V128" i="22"/>
  <c r="M177" i="22"/>
  <c r="E45" i="22"/>
  <c r="D45" i="22"/>
  <c r="S59" i="22"/>
  <c r="K45" i="22"/>
  <c r="R63" i="14"/>
  <c r="I506" i="12"/>
  <c r="H45" i="22"/>
  <c r="C45" i="22"/>
  <c r="O45" i="22"/>
  <c r="R75" i="14"/>
  <c r="J66" i="22"/>
  <c r="F126" i="22"/>
  <c r="T126" i="22"/>
  <c r="F200" i="22"/>
  <c r="T200" i="22"/>
  <c r="F197" i="22"/>
  <c r="T197" i="22"/>
  <c r="R126" i="22"/>
  <c r="B266" i="22"/>
  <c r="R59" i="14"/>
  <c r="R129" i="14"/>
  <c r="I526" i="12"/>
  <c r="H44" i="22"/>
  <c r="C44" i="22"/>
  <c r="R98" i="22"/>
  <c r="R96" i="22"/>
  <c r="M112" i="22"/>
  <c r="F118" i="22"/>
  <c r="Q118" i="22"/>
  <c r="B143" i="22"/>
  <c r="R122" i="22"/>
  <c r="B123" i="22"/>
  <c r="M114" i="22"/>
  <c r="M131" i="22"/>
  <c r="R185" i="22"/>
  <c r="S139" i="22"/>
  <c r="S155" i="22"/>
  <c r="B209" i="22"/>
  <c r="B204" i="22"/>
  <c r="F208" i="22"/>
  <c r="T208" i="22"/>
  <c r="F189" i="22"/>
  <c r="T189" i="22"/>
  <c r="S211" i="22"/>
  <c r="B244" i="22"/>
  <c r="B103" i="22"/>
  <c r="F95" i="22"/>
  <c r="Q95" i="22"/>
  <c r="F103" i="22"/>
  <c r="V103" i="22"/>
  <c r="F206" i="22"/>
  <c r="Q206" i="22"/>
  <c r="F212" i="22"/>
  <c r="Q212" i="22"/>
  <c r="F198" i="22"/>
  <c r="V198" i="22"/>
  <c r="M102" i="22"/>
  <c r="F94" i="22"/>
  <c r="Q94" i="22"/>
  <c r="S109" i="22"/>
  <c r="P173" i="14"/>
  <c r="S98" i="22"/>
  <c r="F123" i="22"/>
  <c r="Q123" i="22"/>
  <c r="S88" i="22"/>
  <c r="B127" i="22"/>
  <c r="M92" i="22"/>
  <c r="F142" i="22"/>
  <c r="Q142" i="22"/>
  <c r="S100" i="22"/>
  <c r="B135" i="22"/>
  <c r="S149" i="22"/>
  <c r="F139" i="22"/>
  <c r="T139" i="22"/>
  <c r="M147" i="22"/>
  <c r="M193" i="22"/>
  <c r="F204" i="22"/>
  <c r="T204" i="22"/>
  <c r="S173" i="22"/>
  <c r="R171" i="22"/>
  <c r="S197" i="22"/>
  <c r="M246" i="22"/>
  <c r="R399" i="22"/>
  <c r="R111" i="22"/>
  <c r="F136" i="22"/>
  <c r="U136" i="22"/>
  <c r="S135" i="22"/>
  <c r="B136" i="22"/>
  <c r="M146" i="22"/>
  <c r="S170" i="22"/>
  <c r="F99" i="22"/>
  <c r="U99" i="22"/>
  <c r="F260" i="22"/>
  <c r="U260" i="22"/>
  <c r="P72" i="14"/>
  <c r="D44" i="22"/>
  <c r="K44" i="22"/>
  <c r="G43" i="22"/>
  <c r="J57" i="22"/>
  <c r="R90" i="22"/>
  <c r="S108" i="22"/>
  <c r="M111" i="22"/>
  <c r="R110" i="22"/>
  <c r="M122" i="22"/>
  <c r="S96" i="22"/>
  <c r="R112" i="22"/>
  <c r="F153" i="22"/>
  <c r="V153" i="22"/>
  <c r="R183" i="22"/>
  <c r="B138" i="22"/>
  <c r="M188" i="22"/>
  <c r="S181" i="22"/>
  <c r="R209" i="22"/>
  <c r="S204" i="22"/>
  <c r="R99" i="22"/>
  <c r="S95" i="22"/>
  <c r="S112" i="22"/>
  <c r="R172" i="22"/>
  <c r="S183" i="22"/>
  <c r="M86" i="22"/>
  <c r="S154" i="22"/>
  <c r="B129" i="22"/>
  <c r="R102" i="22"/>
  <c r="M106" i="22"/>
  <c r="R100" i="22"/>
  <c r="F112" i="22"/>
  <c r="V112" i="22"/>
  <c r="F110" i="22"/>
  <c r="U110" i="22"/>
  <c r="R118" i="22"/>
  <c r="F129" i="22"/>
  <c r="T129" i="22"/>
  <c r="S145" i="22"/>
  <c r="S92" i="22"/>
  <c r="B122" i="22"/>
  <c r="F96" i="22"/>
  <c r="Q96" i="22"/>
  <c r="F125" i="22"/>
  <c r="Q125" i="22"/>
  <c r="B104" i="22"/>
  <c r="R114" i="22"/>
  <c r="R131" i="22"/>
  <c r="B162" i="22"/>
  <c r="R141" i="22"/>
  <c r="F130" i="22"/>
  <c r="V130" i="22"/>
  <c r="R147" i="22"/>
  <c r="R167" i="22"/>
  <c r="R181" i="22"/>
  <c r="F155" i="22"/>
  <c r="T155" i="22"/>
  <c r="S179" i="22"/>
  <c r="M204" i="22"/>
  <c r="S196" i="22"/>
  <c r="M208" i="22"/>
  <c r="F171" i="22"/>
  <c r="Q171" i="22"/>
  <c r="S201" i="22"/>
  <c r="R205" i="22"/>
  <c r="M223" i="22"/>
  <c r="R262" i="22"/>
  <c r="B257" i="22"/>
  <c r="M440" i="22"/>
  <c r="R105" i="22"/>
  <c r="S118" i="22"/>
  <c r="S91" i="22"/>
  <c r="B117" i="22"/>
  <c r="M163" i="22"/>
  <c r="F225" i="22"/>
  <c r="Q225" i="22"/>
  <c r="M153" i="22"/>
  <c r="F170" i="22"/>
  <c r="V170" i="22"/>
  <c r="F175" i="22"/>
  <c r="T175" i="22"/>
  <c r="R103" i="22"/>
  <c r="R129" i="22"/>
  <c r="B121" i="22"/>
  <c r="M125" i="22"/>
  <c r="S121" i="22"/>
  <c r="B101" i="22"/>
  <c r="B13" i="22"/>
  <c r="O44" i="22"/>
  <c r="N39" i="22"/>
  <c r="J74" i="22"/>
  <c r="R86" i="22"/>
  <c r="F108" i="22"/>
  <c r="V108" i="22"/>
  <c r="S106" i="22"/>
  <c r="S111" i="22"/>
  <c r="F88" i="22"/>
  <c r="V88" i="22"/>
  <c r="S110" i="22"/>
  <c r="B118" i="22"/>
  <c r="F135" i="22"/>
  <c r="U135" i="22"/>
  <c r="F151" i="22"/>
  <c r="U151" i="22"/>
  <c r="R104" i="22"/>
  <c r="R125" i="22"/>
  <c r="M96" i="22"/>
  <c r="S125" i="22"/>
  <c r="F104" i="22"/>
  <c r="T104" i="22"/>
  <c r="B114" i="22"/>
  <c r="B151" i="22"/>
  <c r="M149" i="22"/>
  <c r="R146" i="22"/>
  <c r="M199" i="22"/>
  <c r="R139" i="22"/>
  <c r="B147" i="22"/>
  <c r="F167" i="22"/>
  <c r="V167" i="22"/>
  <c r="B155" i="22"/>
  <c r="S209" i="22"/>
  <c r="R196" i="22"/>
  <c r="B173" i="22"/>
  <c r="M196" i="22"/>
  <c r="S213" i="22"/>
  <c r="S171" i="22"/>
  <c r="R197" i="22"/>
  <c r="B271" i="22"/>
  <c r="B255" i="22"/>
  <c r="R163" i="22"/>
  <c r="F115" i="22"/>
  <c r="V115" i="22"/>
  <c r="B128" i="22"/>
  <c r="S165" i="22"/>
  <c r="S175" i="22"/>
  <c r="M123" i="22"/>
  <c r="M90" i="22"/>
  <c r="P165" i="14"/>
  <c r="P47" i="14"/>
  <c r="R59" i="22"/>
  <c r="G63" i="22"/>
  <c r="S376" i="22"/>
  <c r="F428" i="22"/>
  <c r="U428" i="22"/>
  <c r="N110" i="22"/>
  <c r="M272" i="22"/>
  <c r="R266" i="22"/>
  <c r="R132" i="14"/>
  <c r="I528" i="12"/>
  <c r="P141" i="14"/>
  <c r="L176" i="14"/>
  <c r="S44" i="22"/>
  <c r="C58" i="22"/>
  <c r="U122" i="22"/>
  <c r="R130" i="14"/>
  <c r="R492" i="22"/>
  <c r="N242" i="22"/>
  <c r="N184" i="22"/>
  <c r="N181" i="22"/>
  <c r="N172" i="22"/>
  <c r="N141" i="22"/>
  <c r="N138" i="22"/>
  <c r="N137" i="22"/>
  <c r="N135" i="22"/>
  <c r="N128" i="22"/>
  <c r="N120" i="22"/>
  <c r="N119" i="22"/>
  <c r="N118" i="22"/>
  <c r="N116" i="22"/>
  <c r="N111" i="22"/>
  <c r="B499" i="22"/>
  <c r="S499" i="22"/>
  <c r="R494" i="22"/>
  <c r="S494" i="22"/>
  <c r="F434" i="22"/>
  <c r="U434" i="22"/>
  <c r="M434" i="22"/>
  <c r="B273" i="22"/>
  <c r="S273" i="22"/>
  <c r="F269" i="22"/>
  <c r="V269" i="22"/>
  <c r="S269" i="22"/>
  <c r="S264" i="22"/>
  <c r="R264" i="22"/>
  <c r="R261" i="22"/>
  <c r="S261" i="22"/>
  <c r="S253" i="22"/>
  <c r="F253" i="22"/>
  <c r="T253" i="22"/>
  <c r="F247" i="22"/>
  <c r="V247" i="22"/>
  <c r="M247" i="22"/>
  <c r="S239" i="22"/>
  <c r="R239" i="22"/>
  <c r="R228" i="22"/>
  <c r="M228" i="22"/>
  <c r="R226" i="22"/>
  <c r="M226" i="22"/>
  <c r="F215" i="22"/>
  <c r="V215" i="22"/>
  <c r="S215" i="22"/>
  <c r="B211" i="22"/>
  <c r="F211" i="22"/>
  <c r="T211" i="22"/>
  <c r="R211" i="22"/>
  <c r="R207" i="22"/>
  <c r="B207" i="22"/>
  <c r="S207" i="22"/>
  <c r="B205" i="22"/>
  <c r="S205" i="22"/>
  <c r="F201" i="22"/>
  <c r="V201" i="22"/>
  <c r="M201" i="22"/>
  <c r="B200" i="22"/>
  <c r="R200" i="22"/>
  <c r="F193" i="22"/>
  <c r="Q193" i="22"/>
  <c r="B193" i="22"/>
  <c r="S189" i="22"/>
  <c r="R189" i="22"/>
  <c r="M189" i="22"/>
  <c r="R186" i="22"/>
  <c r="F186" i="22"/>
  <c r="U186" i="22"/>
  <c r="M174" i="22"/>
  <c r="F174" i="22"/>
  <c r="V174" i="22"/>
  <c r="B168" i="22"/>
  <c r="M168" i="22"/>
  <c r="S166" i="22"/>
  <c r="M166" i="22"/>
  <c r="R164" i="22"/>
  <c r="S164" i="22"/>
  <c r="S162" i="22"/>
  <c r="M162" i="22"/>
  <c r="R161" i="22"/>
  <c r="M161" i="22"/>
  <c r="S160" i="22"/>
  <c r="M160" i="22"/>
  <c r="F159" i="22"/>
  <c r="T159" i="22"/>
  <c r="R159" i="22"/>
  <c r="M157" i="22"/>
  <c r="R157" i="22"/>
  <c r="F157" i="22"/>
  <c r="Q157" i="22"/>
  <c r="M152" i="22"/>
  <c r="F152" i="22"/>
  <c r="V152" i="22"/>
  <c r="M148" i="22"/>
  <c r="F148" i="22"/>
  <c r="U148" i="22"/>
  <c r="F144" i="22"/>
  <c r="V144" i="22"/>
  <c r="B144" i="22"/>
  <c r="B137" i="22"/>
  <c r="M137" i="22"/>
  <c r="S137" i="22"/>
  <c r="B133" i="22"/>
  <c r="F133" i="22"/>
  <c r="U133" i="22"/>
  <c r="R133" i="22"/>
  <c r="R130" i="22"/>
  <c r="M130" i="22"/>
  <c r="B130" i="22"/>
  <c r="S120" i="22"/>
  <c r="F120" i="22"/>
  <c r="Q120" i="22"/>
  <c r="M119" i="22"/>
  <c r="S119" i="22"/>
  <c r="B119" i="22"/>
  <c r="M117" i="22"/>
  <c r="F117" i="22"/>
  <c r="V117" i="22"/>
  <c r="M115" i="22"/>
  <c r="B115" i="22"/>
  <c r="S115" i="22"/>
  <c r="B113" i="22"/>
  <c r="R113" i="22"/>
  <c r="V111" i="22"/>
  <c r="T111" i="22"/>
  <c r="F105" i="22"/>
  <c r="Q105" i="22"/>
  <c r="S105" i="22"/>
  <c r="B102" i="22"/>
  <c r="F102" i="22"/>
  <c r="U102" i="22"/>
  <c r="M95" i="22"/>
  <c r="B95" i="22"/>
  <c r="M91" i="22"/>
  <c r="F91" i="22"/>
  <c r="U91" i="22"/>
  <c r="B91" i="22"/>
  <c r="M83" i="22"/>
  <c r="B83" i="22"/>
  <c r="R94" i="22"/>
  <c r="R108" i="22"/>
  <c r="F106" i="22"/>
  <c r="T106" i="22"/>
  <c r="B111" i="22"/>
  <c r="B88" i="22"/>
  <c r="B110" i="22"/>
  <c r="S122" i="22"/>
  <c r="S129" i="22"/>
  <c r="F92" i="22"/>
  <c r="V92" i="22"/>
  <c r="R120" i="22"/>
  <c r="T122" i="22"/>
  <c r="R123" i="22"/>
  <c r="B100" i="22"/>
  <c r="M104" i="22"/>
  <c r="F114" i="22"/>
  <c r="T114" i="22"/>
  <c r="M120" i="22"/>
  <c r="S157" i="22"/>
  <c r="B185" i="22"/>
  <c r="M133" i="22"/>
  <c r="S141" i="22"/>
  <c r="R162" i="22"/>
  <c r="S147" i="22"/>
  <c r="B188" i="22"/>
  <c r="B167" i="22"/>
  <c r="M209" i="22"/>
  <c r="M155" i="22"/>
  <c r="B161" i="22"/>
  <c r="R193" i="22"/>
  <c r="B179" i="22"/>
  <c r="M200" i="22"/>
  <c r="R173" i="22"/>
  <c r="F196" i="22"/>
  <c r="T196" i="22"/>
  <c r="M207" i="22"/>
  <c r="F234" i="22"/>
  <c r="U234" i="22"/>
  <c r="M171" i="22"/>
  <c r="B263" i="22"/>
  <c r="F205" i="22"/>
  <c r="V205" i="22"/>
  <c r="M197" i="22"/>
  <c r="S336" i="22"/>
  <c r="B230" i="22"/>
  <c r="M256" i="22"/>
  <c r="B134" i="22"/>
  <c r="F121" i="22"/>
  <c r="Q121" i="22"/>
  <c r="B203" i="22"/>
  <c r="F119" i="22"/>
  <c r="Q119" i="22"/>
  <c r="M113" i="22"/>
  <c r="F113" i="22"/>
  <c r="U113" i="22"/>
  <c r="S103" i="22"/>
  <c r="S117" i="22"/>
  <c r="M156" i="22"/>
  <c r="B142" i="22"/>
  <c r="R243" i="22"/>
  <c r="B172" i="22"/>
  <c r="B158" i="22"/>
  <c r="B210" i="22"/>
  <c r="B163" i="22"/>
  <c r="M377" i="22"/>
  <c r="S83" i="22"/>
  <c r="S194" i="22"/>
  <c r="R160" i="22"/>
  <c r="F154" i="22"/>
  <c r="V154" i="22"/>
  <c r="R69" i="22"/>
  <c r="J73" i="22"/>
  <c r="B38" i="22"/>
  <c r="O58" i="22"/>
  <c r="A58" i="22"/>
  <c r="M58" i="22"/>
  <c r="L58" i="22"/>
  <c r="N449" i="22"/>
  <c r="N360" i="22"/>
  <c r="Q299" i="22"/>
  <c r="N255" i="22"/>
  <c r="N230" i="22"/>
  <c r="N227" i="22"/>
  <c r="N226" i="22"/>
  <c r="N185" i="22"/>
  <c r="K58" i="22"/>
  <c r="I58" i="22"/>
  <c r="D58" i="22"/>
  <c r="J45" i="22"/>
  <c r="J58" i="22"/>
  <c r="H58" i="22"/>
  <c r="B323" i="22"/>
  <c r="S455" i="22"/>
  <c r="M419" i="22"/>
  <c r="S432" i="22"/>
  <c r="B212" i="22"/>
  <c r="F228" i="22"/>
  <c r="T228" i="22"/>
  <c r="B259" i="22"/>
  <c r="B215" i="22"/>
  <c r="S218" i="22"/>
  <c r="S242" i="22"/>
  <c r="M263" i="22"/>
  <c r="F223" i="22"/>
  <c r="T223" i="22"/>
  <c r="B222" i="22"/>
  <c r="F273" i="22"/>
  <c r="T273" i="22"/>
  <c r="R246" i="22"/>
  <c r="S262" i="22"/>
  <c r="B231" i="22"/>
  <c r="M262" i="22"/>
  <c r="R267" i="22"/>
  <c r="R306" i="22"/>
  <c r="F239" i="22"/>
  <c r="T239" i="22"/>
  <c r="S247" i="22"/>
  <c r="B238" i="22"/>
  <c r="R265" i="22"/>
  <c r="M257" i="22"/>
  <c r="B279" i="22"/>
  <c r="S258" i="22"/>
  <c r="S255" i="22"/>
  <c r="R258" i="22"/>
  <c r="S415" i="22"/>
  <c r="S403" i="22"/>
  <c r="M467" i="22"/>
  <c r="M408" i="22"/>
  <c r="S443" i="22"/>
  <c r="S479" i="22"/>
  <c r="M407" i="22"/>
  <c r="M464" i="22"/>
  <c r="F439" i="22"/>
  <c r="V439" i="22"/>
  <c r="F499" i="22"/>
  <c r="T499" i="22"/>
  <c r="F436" i="22"/>
  <c r="T436" i="22"/>
  <c r="F240" i="22"/>
  <c r="T240" i="22"/>
  <c r="S214" i="22"/>
  <c r="R234" i="22"/>
  <c r="R235" i="22"/>
  <c r="S270" i="22"/>
  <c r="M214" i="22"/>
  <c r="S284" i="22"/>
  <c r="S434" i="22"/>
  <c r="F419" i="22"/>
  <c r="Q419" i="22"/>
  <c r="M212" i="22"/>
  <c r="B275" i="22"/>
  <c r="B213" i="22"/>
  <c r="M215" i="22"/>
  <c r="S226" i="22"/>
  <c r="F250" i="22"/>
  <c r="Q250" i="22"/>
  <c r="R263" i="22"/>
  <c r="B223" i="22"/>
  <c r="S222" i="22"/>
  <c r="F236" i="22"/>
  <c r="T236" i="22"/>
  <c r="S246" i="22"/>
  <c r="B278" i="22"/>
  <c r="M231" i="22"/>
  <c r="B267" i="22"/>
  <c r="F230" i="22"/>
  <c r="T230" i="22"/>
  <c r="B239" i="22"/>
  <c r="B247" i="22"/>
  <c r="S238" i="22"/>
  <c r="S257" i="22"/>
  <c r="F264" i="22"/>
  <c r="U264" i="22"/>
  <c r="F255" i="22"/>
  <c r="T255" i="22"/>
  <c r="M455" i="22"/>
  <c r="S427" i="22"/>
  <c r="S416" i="22"/>
  <c r="F391" i="22"/>
  <c r="T391" i="22"/>
  <c r="M399" i="22"/>
  <c r="F492" i="22"/>
  <c r="T492" i="22"/>
  <c r="B419" i="22"/>
  <c r="S439" i="22"/>
  <c r="M499" i="22"/>
  <c r="B489" i="22"/>
  <c r="S225" i="22"/>
  <c r="R224" i="22"/>
  <c r="R304" i="22"/>
  <c r="M254" i="22"/>
  <c r="M235" i="22"/>
  <c r="F270" i="22"/>
  <c r="T270" i="22"/>
  <c r="F217" i="22"/>
  <c r="Q217" i="22"/>
  <c r="S405" i="22"/>
  <c r="R483" i="22"/>
  <c r="F202" i="22"/>
  <c r="T202" i="22"/>
  <c r="R199" i="22"/>
  <c r="B269" i="22"/>
  <c r="S263" i="22"/>
  <c r="R177" i="22"/>
  <c r="N451" i="22"/>
  <c r="N441" i="22"/>
  <c r="N440" i="22"/>
  <c r="N411" i="22"/>
  <c r="N405" i="22"/>
  <c r="N399" i="22"/>
  <c r="N383" i="22"/>
  <c r="R259" i="22"/>
  <c r="R215" i="22"/>
  <c r="F218" i="22"/>
  <c r="U218" i="22"/>
  <c r="F222" i="22"/>
  <c r="T222" i="22"/>
  <c r="F246" i="22"/>
  <c r="T246" i="22"/>
  <c r="B262" i="22"/>
  <c r="B272" i="22"/>
  <c r="R247" i="22"/>
  <c r="R256" i="22"/>
  <c r="F257" i="22"/>
  <c r="T257" i="22"/>
  <c r="M255" i="22"/>
  <c r="M395" i="22"/>
  <c r="F415" i="22"/>
  <c r="U415" i="22"/>
  <c r="M403" i="22"/>
  <c r="M463" i="22"/>
  <c r="S500" i="22"/>
  <c r="M411" i="22"/>
  <c r="M432" i="22"/>
  <c r="B221" i="22"/>
  <c r="R212" i="22"/>
  <c r="M243" i="22"/>
  <c r="F286" i="22"/>
  <c r="U286" i="22"/>
  <c r="B202" i="22"/>
  <c r="B285" i="22"/>
  <c r="M494" i="22"/>
  <c r="M248" i="22"/>
  <c r="M394" i="22"/>
  <c r="S60" i="22"/>
  <c r="N482" i="22"/>
  <c r="B492" i="22"/>
  <c r="M492" i="22"/>
  <c r="S489" i="22"/>
  <c r="M489" i="22"/>
  <c r="R488" i="22"/>
  <c r="F488" i="22"/>
  <c r="Q488" i="22"/>
  <c r="B484" i="22"/>
  <c r="M484" i="22"/>
  <c r="M481" i="22"/>
  <c r="S481" i="22"/>
  <c r="R475" i="22"/>
  <c r="S475" i="22"/>
  <c r="M472" i="22"/>
  <c r="S472" i="22"/>
  <c r="R461" i="22"/>
  <c r="S461" i="22"/>
  <c r="R273" i="22"/>
  <c r="M273" i="22"/>
  <c r="S271" i="22"/>
  <c r="F271" i="22"/>
  <c r="V271" i="22"/>
  <c r="M271" i="22"/>
  <c r="M267" i="22"/>
  <c r="F267" i="22"/>
  <c r="V267" i="22"/>
  <c r="M264" i="22"/>
  <c r="B264" i="22"/>
  <c r="B261" i="22"/>
  <c r="F261" i="22"/>
  <c r="T261" i="22"/>
  <c r="M258" i="22"/>
  <c r="B258" i="22"/>
  <c r="B256" i="22"/>
  <c r="S256" i="22"/>
  <c r="B252" i="22"/>
  <c r="S252" i="22"/>
  <c r="R251" i="22"/>
  <c r="S251" i="22"/>
  <c r="R242" i="22"/>
  <c r="B242" i="22"/>
  <c r="F242" i="22"/>
  <c r="U242" i="22"/>
  <c r="S241" i="22"/>
  <c r="B241" i="22"/>
  <c r="F238" i="22"/>
  <c r="U238" i="22"/>
  <c r="M238" i="22"/>
  <c r="S237" i="22"/>
  <c r="M237" i="22"/>
  <c r="B234" i="22"/>
  <c r="M234" i="22"/>
  <c r="R231" i="22"/>
  <c r="F231" i="22"/>
  <c r="V231" i="22"/>
  <c r="M230" i="22"/>
  <c r="R230" i="22"/>
  <c r="S228" i="22"/>
  <c r="B228" i="22"/>
  <c r="B226" i="22"/>
  <c r="F226" i="22"/>
  <c r="T226" i="22"/>
  <c r="Q344" i="22"/>
  <c r="Q321" i="22"/>
  <c r="N270" i="22"/>
  <c r="N269" i="22"/>
  <c r="N268" i="22"/>
  <c r="N267" i="22"/>
  <c r="N265" i="22"/>
  <c r="N259" i="22"/>
  <c r="N257" i="22"/>
  <c r="N256" i="22"/>
  <c r="N253" i="22"/>
  <c r="N251" i="22"/>
  <c r="N250" i="22"/>
  <c r="N248" i="22"/>
  <c r="N247" i="22"/>
  <c r="N240" i="22"/>
  <c r="N238" i="22"/>
  <c r="N231" i="22"/>
  <c r="N224" i="22"/>
  <c r="N221" i="22"/>
  <c r="N220" i="22"/>
  <c r="N218" i="22"/>
  <c r="N213" i="22"/>
  <c r="N212" i="22"/>
  <c r="N211" i="22"/>
  <c r="N210" i="22"/>
  <c r="N208" i="22"/>
  <c r="N207" i="22"/>
  <c r="N205" i="22"/>
  <c r="N202" i="22"/>
  <c r="N197" i="22"/>
  <c r="N196" i="22"/>
  <c r="N194" i="22"/>
  <c r="N193" i="22"/>
  <c r="N192" i="22"/>
  <c r="N190" i="22"/>
  <c r="N189" i="22"/>
  <c r="N186" i="22"/>
  <c r="N173" i="22"/>
  <c r="N171" i="22"/>
  <c r="N170" i="22"/>
  <c r="N169" i="22"/>
  <c r="N167" i="22"/>
  <c r="N164" i="22"/>
  <c r="N161" i="22"/>
  <c r="N159" i="22"/>
  <c r="N156" i="22"/>
  <c r="N155" i="22"/>
  <c r="N154" i="22"/>
  <c r="N151" i="22"/>
  <c r="N150" i="22"/>
  <c r="N149" i="22"/>
  <c r="N145" i="22"/>
  <c r="N144" i="22"/>
  <c r="N143" i="22"/>
  <c r="N142" i="22"/>
  <c r="N136" i="22"/>
  <c r="N134" i="22"/>
  <c r="N133" i="22"/>
  <c r="N130" i="22"/>
  <c r="N129" i="22"/>
  <c r="N126" i="22"/>
  <c r="N125" i="22"/>
  <c r="N124" i="22"/>
  <c r="N112" i="22"/>
  <c r="N109" i="22"/>
  <c r="N108" i="22"/>
  <c r="N104" i="22"/>
  <c r="N100" i="22"/>
  <c r="N99" i="22"/>
  <c r="N96" i="22"/>
  <c r="N95" i="22"/>
  <c r="N92" i="22"/>
  <c r="N90" i="22"/>
  <c r="N88" i="22"/>
  <c r="N87" i="22"/>
  <c r="N83" i="22"/>
  <c r="S223" i="22"/>
  <c r="R222" i="22"/>
  <c r="Q312" i="22"/>
  <c r="M423" i="22"/>
  <c r="S431" i="22"/>
  <c r="B408" i="22"/>
  <c r="F412" i="22"/>
  <c r="V412" i="22"/>
  <c r="F407" i="22"/>
  <c r="T407" i="22"/>
  <c r="S419" i="22"/>
  <c r="B451" i="22"/>
  <c r="F411" i="22"/>
  <c r="T411" i="22"/>
  <c r="S158" i="22"/>
  <c r="S206" i="22"/>
  <c r="M164" i="22"/>
  <c r="S217" i="22"/>
  <c r="F146" i="22"/>
  <c r="V146" i="22"/>
  <c r="F172" i="22"/>
  <c r="Q172" i="22"/>
  <c r="M221" i="22"/>
  <c r="M172" i="22"/>
  <c r="R144" i="22"/>
  <c r="B177" i="22"/>
  <c r="F163" i="22"/>
  <c r="V163" i="22"/>
  <c r="R203" i="22"/>
  <c r="S224" i="22"/>
  <c r="N395" i="22"/>
  <c r="N342" i="22"/>
  <c r="N310" i="22"/>
  <c r="N289" i="22"/>
  <c r="Q122" i="22"/>
  <c r="Q111" i="22"/>
  <c r="N380" i="22"/>
  <c r="N362" i="22"/>
  <c r="N346" i="22"/>
  <c r="N333" i="22"/>
  <c r="N321" i="22"/>
  <c r="N312" i="22"/>
  <c r="N308" i="22"/>
  <c r="N299" i="22"/>
  <c r="N297" i="22"/>
  <c r="N296" i="22"/>
  <c r="N282" i="22"/>
  <c r="N281" i="22"/>
  <c r="N273" i="22"/>
  <c r="M15" i="22"/>
  <c r="M33" i="22"/>
  <c r="B44" i="22"/>
  <c r="B59" i="22"/>
  <c r="P45" i="22"/>
  <c r="L39" i="22"/>
  <c r="B282" i="22"/>
  <c r="B283" i="22"/>
  <c r="F367" i="22"/>
  <c r="T367" i="22"/>
  <c r="F395" i="22"/>
  <c r="T395" i="22"/>
  <c r="S423" i="22"/>
  <c r="F456" i="22"/>
  <c r="U456" i="22"/>
  <c r="M427" i="22"/>
  <c r="M431" i="22"/>
  <c r="S391" i="22"/>
  <c r="B475" i="22"/>
  <c r="R440" i="22"/>
  <c r="R451" i="22"/>
  <c r="R499" i="22"/>
  <c r="R436" i="22"/>
  <c r="R489" i="22"/>
  <c r="M475" i="22"/>
  <c r="S321" i="22"/>
  <c r="S393" i="22"/>
  <c r="M473" i="22"/>
  <c r="F394" i="22"/>
  <c r="U394" i="22"/>
  <c r="F350" i="22"/>
  <c r="U350" i="22"/>
  <c r="F290" i="22"/>
  <c r="U290" i="22"/>
  <c r="B16" i="22"/>
  <c r="S51" i="22"/>
  <c r="F44" i="22"/>
  <c r="V44" i="22"/>
  <c r="M59" i="22"/>
  <c r="S80" i="22"/>
  <c r="Q145" i="22"/>
  <c r="Q141" i="22"/>
  <c r="F399" i="22"/>
  <c r="T399" i="22"/>
  <c r="Q93" i="22"/>
  <c r="Q134" i="22"/>
  <c r="Q165" i="22"/>
  <c r="S382" i="22"/>
  <c r="B399" i="22"/>
  <c r="M390" i="22"/>
  <c r="F390" i="22"/>
  <c r="U390" i="22"/>
  <c r="S390" i="22"/>
  <c r="B390" i="22"/>
  <c r="B389" i="22"/>
  <c r="R389" i="22"/>
  <c r="F389" i="22"/>
  <c r="U389" i="22"/>
  <c r="M388" i="22"/>
  <c r="B388" i="22"/>
  <c r="S388" i="22"/>
  <c r="R388" i="22"/>
  <c r="R386" i="22"/>
  <c r="F386" i="22"/>
  <c r="T386" i="22"/>
  <c r="F385" i="22"/>
  <c r="V385" i="22"/>
  <c r="B385" i="22"/>
  <c r="S384" i="22"/>
  <c r="B384" i="22"/>
  <c r="M384" i="22"/>
  <c r="R384" i="22"/>
  <c r="S381" i="22"/>
  <c r="F381" i="22"/>
  <c r="V381" i="22"/>
  <c r="S380" i="22"/>
  <c r="M380" i="22"/>
  <c r="F380" i="22"/>
  <c r="T380" i="22"/>
  <c r="F379" i="22"/>
  <c r="V379" i="22"/>
  <c r="B379" i="22"/>
  <c r="F376" i="22"/>
  <c r="T376" i="22"/>
  <c r="B376" i="22"/>
  <c r="M372" i="22"/>
  <c r="F372" i="22"/>
  <c r="Q372" i="22"/>
  <c r="R371" i="22"/>
  <c r="F371" i="22"/>
  <c r="Q371" i="22"/>
  <c r="R369" i="22"/>
  <c r="B369" i="22"/>
  <c r="S369" i="22"/>
  <c r="M369" i="22"/>
  <c r="F368" i="22"/>
  <c r="U368" i="22"/>
  <c r="B368" i="22"/>
  <c r="S364" i="22"/>
  <c r="B364" i="22"/>
  <c r="R364" i="22"/>
  <c r="S363" i="22"/>
  <c r="F363" i="22"/>
  <c r="V363" i="22"/>
  <c r="B360" i="22"/>
  <c r="M360" i="22"/>
  <c r="F360" i="22"/>
  <c r="Q360" i="22"/>
  <c r="R359" i="22"/>
  <c r="S359" i="22"/>
  <c r="M359" i="22"/>
  <c r="M358" i="22"/>
  <c r="R358" i="22"/>
  <c r="B358" i="22"/>
  <c r="S358" i="22"/>
  <c r="R357" i="22"/>
  <c r="M357" i="22"/>
  <c r="S357" i="22"/>
  <c r="F356" i="22"/>
  <c r="T356" i="22"/>
  <c r="S356" i="22"/>
  <c r="B356" i="22"/>
  <c r="R356" i="22"/>
  <c r="B355" i="22"/>
  <c r="M355" i="22"/>
  <c r="F355" i="22"/>
  <c r="T355" i="22"/>
  <c r="B354" i="22"/>
  <c r="R354" i="22"/>
  <c r="M354" i="22"/>
  <c r="F354" i="22"/>
  <c r="T354" i="22"/>
  <c r="R352" i="22"/>
  <c r="F352" i="22"/>
  <c r="V352" i="22"/>
  <c r="M352" i="22"/>
  <c r="S351" i="22"/>
  <c r="M351" i="22"/>
  <c r="S349" i="22"/>
  <c r="F349" i="22"/>
  <c r="Q349" i="22"/>
  <c r="B349" i="22"/>
  <c r="R348" i="22"/>
  <c r="M348" i="22"/>
  <c r="F348" i="22"/>
  <c r="V348" i="22"/>
  <c r="F347" i="22"/>
  <c r="T347" i="22"/>
  <c r="B347" i="22"/>
  <c r="R347" i="22"/>
  <c r="S344" i="22"/>
  <c r="B344" i="22"/>
  <c r="R344" i="22"/>
  <c r="M343" i="22"/>
  <c r="B343" i="22"/>
  <c r="F343" i="22"/>
  <c r="U343" i="22"/>
  <c r="S341" i="22"/>
  <c r="B341" i="22"/>
  <c r="R341" i="22"/>
  <c r="S340" i="22"/>
  <c r="B340" i="22"/>
  <c r="R340" i="22"/>
  <c r="B338" i="22"/>
  <c r="F338" i="22"/>
  <c r="V338" i="22"/>
  <c r="M338" i="22"/>
  <c r="B337" i="22"/>
  <c r="R337" i="22"/>
  <c r="F336" i="22"/>
  <c r="Q336" i="22"/>
  <c r="R336" i="22"/>
  <c r="B335" i="22"/>
  <c r="M335" i="22"/>
  <c r="R335" i="22"/>
  <c r="F335" i="22"/>
  <c r="V335" i="22"/>
  <c r="B333" i="22"/>
  <c r="S333" i="22"/>
  <c r="M333" i="22"/>
  <c r="B332" i="22"/>
  <c r="F332" i="22"/>
  <c r="V332" i="22"/>
  <c r="R332" i="22"/>
  <c r="M330" i="22"/>
  <c r="R330" i="22"/>
  <c r="S330" i="22"/>
  <c r="F329" i="22"/>
  <c r="V329" i="22"/>
  <c r="M329" i="22"/>
  <c r="R329" i="22"/>
  <c r="S328" i="22"/>
  <c r="M328" i="22"/>
  <c r="M327" i="22"/>
  <c r="S327" i="22"/>
  <c r="R327" i="22"/>
  <c r="M325" i="22"/>
  <c r="F325" i="22"/>
  <c r="Q325" i="22"/>
  <c r="B325" i="22"/>
  <c r="F324" i="22"/>
  <c r="U324" i="22"/>
  <c r="S324" i="22"/>
  <c r="M324" i="22"/>
  <c r="R323" i="22"/>
  <c r="M323" i="22"/>
  <c r="M319" i="22"/>
  <c r="F319" i="22"/>
  <c r="V319" i="22"/>
  <c r="S319" i="22"/>
  <c r="M317" i="22"/>
  <c r="B317" i="22"/>
  <c r="F316" i="22"/>
  <c r="Q316" i="22"/>
  <c r="M316" i="22"/>
  <c r="M315" i="22"/>
  <c r="F315" i="22"/>
  <c r="T315" i="22"/>
  <c r="B315" i="22"/>
  <c r="F314" i="22"/>
  <c r="Q314" i="22"/>
  <c r="B314" i="22"/>
  <c r="S314" i="22"/>
  <c r="B313" i="22"/>
  <c r="M313" i="22"/>
  <c r="S313" i="22"/>
  <c r="R312" i="22"/>
  <c r="M312" i="22"/>
  <c r="M311" i="22"/>
  <c r="S311" i="22"/>
  <c r="F311" i="22"/>
  <c r="V311" i="22"/>
  <c r="M310" i="22"/>
  <c r="B310" i="22"/>
  <c r="M309" i="22"/>
  <c r="R309" i="22"/>
  <c r="S309" i="22"/>
  <c r="M308" i="22"/>
  <c r="S308" i="22"/>
  <c r="S305" i="22"/>
  <c r="R305" i="22"/>
  <c r="M303" i="22"/>
  <c r="R303" i="22"/>
  <c r="M302" i="22"/>
  <c r="R302" i="22"/>
  <c r="R301" i="22"/>
  <c r="F301" i="22"/>
  <c r="Q301" i="22"/>
  <c r="B301" i="22"/>
  <c r="R300" i="22"/>
  <c r="B300" i="22"/>
  <c r="S299" i="22"/>
  <c r="M299" i="22"/>
  <c r="F298" i="22"/>
  <c r="U298" i="22"/>
  <c r="B298" i="22"/>
  <c r="B297" i="22"/>
  <c r="R297" i="22"/>
  <c r="S297" i="22"/>
  <c r="M297" i="22"/>
  <c r="B296" i="22"/>
  <c r="R296" i="22"/>
  <c r="M295" i="22"/>
  <c r="F295" i="22"/>
  <c r="U295" i="22"/>
  <c r="F294" i="22"/>
  <c r="V294" i="22"/>
  <c r="B294" i="22"/>
  <c r="M294" i="22"/>
  <c r="R294" i="22"/>
  <c r="S293" i="22"/>
  <c r="M293" i="22"/>
  <c r="F293" i="22"/>
  <c r="T293" i="22"/>
  <c r="B293" i="22"/>
  <c r="R293" i="22"/>
  <c r="M292" i="22"/>
  <c r="B292" i="22"/>
  <c r="F289" i="22"/>
  <c r="Q289" i="22"/>
  <c r="R289" i="22"/>
  <c r="B288" i="22"/>
  <c r="M288" i="22"/>
  <c r="M287" i="22"/>
  <c r="R287" i="22"/>
  <c r="S287" i="22"/>
  <c r="S277" i="22"/>
  <c r="R277" i="22"/>
  <c r="B277" i="22"/>
  <c r="S276" i="22"/>
  <c r="M276" i="22"/>
  <c r="B276" i="22"/>
  <c r="M3" i="22"/>
  <c r="S11" i="22"/>
  <c r="R311" i="22"/>
  <c r="M281" i="22"/>
  <c r="S300" i="22"/>
  <c r="R299" i="22"/>
  <c r="F305" i="22"/>
  <c r="U305" i="22"/>
  <c r="B336" i="22"/>
  <c r="R290" i="22"/>
  <c r="M277" i="22"/>
  <c r="R314" i="22"/>
  <c r="S325" i="22"/>
  <c r="S329" i="22"/>
  <c r="F351" i="22"/>
  <c r="T351" i="22"/>
  <c r="F288" i="22"/>
  <c r="V288" i="22"/>
  <c r="R315" i="22"/>
  <c r="S296" i="22"/>
  <c r="R368" i="22"/>
  <c r="S310" i="22"/>
  <c r="R325" i="22"/>
  <c r="R310" i="22"/>
  <c r="S352" i="22"/>
  <c r="S295" i="22"/>
  <c r="F309" i="22"/>
  <c r="T309" i="22"/>
  <c r="B319" i="22"/>
  <c r="M378" i="22"/>
  <c r="R349" i="22"/>
  <c r="R360" i="22"/>
  <c r="R376" i="22"/>
  <c r="F341" i="22"/>
  <c r="V341" i="22"/>
  <c r="F302" i="22"/>
  <c r="U302" i="22"/>
  <c r="B378" i="22"/>
  <c r="M332" i="22"/>
  <c r="M344" i="22"/>
  <c r="R317" i="22"/>
  <c r="S383" i="22"/>
  <c r="S343" i="22"/>
  <c r="F358" i="22"/>
  <c r="Q358" i="22"/>
  <c r="R355" i="22"/>
  <c r="M285" i="22"/>
  <c r="F353" i="22"/>
  <c r="Q353" i="22"/>
  <c r="B5" i="22"/>
  <c r="F18" i="22"/>
  <c r="Q18" i="22"/>
  <c r="B311" i="22"/>
  <c r="R292" i="22"/>
  <c r="M282" i="22"/>
  <c r="R308" i="22"/>
  <c r="B299" i="22"/>
  <c r="R324" i="22"/>
  <c r="F277" i="22"/>
  <c r="V277" i="22"/>
  <c r="S315" i="22"/>
  <c r="F328" i="22"/>
  <c r="V328" i="22"/>
  <c r="B329" i="22"/>
  <c r="M356" i="22"/>
  <c r="F276" i="22"/>
  <c r="T276" i="22"/>
  <c r="R313" i="22"/>
  <c r="M318" i="22"/>
  <c r="B372" i="22"/>
  <c r="S316" i="22"/>
  <c r="M331" i="22"/>
  <c r="F297" i="22"/>
  <c r="U297" i="22"/>
  <c r="F296" i="22"/>
  <c r="V296" i="22"/>
  <c r="S335" i="22"/>
  <c r="B352" i="22"/>
  <c r="R295" i="22"/>
  <c r="F318" i="22"/>
  <c r="V318" i="22"/>
  <c r="R361" i="22"/>
  <c r="R385" i="22"/>
  <c r="M349" i="22"/>
  <c r="M379" i="22"/>
  <c r="R298" i="22"/>
  <c r="R333" i="22"/>
  <c r="F388" i="22"/>
  <c r="Q388" i="22"/>
  <c r="M341" i="22"/>
  <c r="F357" i="22"/>
  <c r="V357" i="22"/>
  <c r="F378" i="22"/>
  <c r="Q378" i="22"/>
  <c r="F340" i="22"/>
  <c r="U340" i="22"/>
  <c r="S379" i="22"/>
  <c r="B359" i="22"/>
  <c r="S354" i="22"/>
  <c r="B370" i="22"/>
  <c r="B363" i="22"/>
  <c r="B327" i="22"/>
  <c r="S355" i="22"/>
  <c r="S342" i="22"/>
  <c r="F359" i="22"/>
  <c r="T359" i="22"/>
  <c r="R375" i="22"/>
  <c r="S385" i="22"/>
  <c r="M375" i="22"/>
  <c r="F384" i="22"/>
  <c r="T384" i="22"/>
  <c r="M353" i="22"/>
  <c r="N382" i="22"/>
  <c r="N376" i="22"/>
  <c r="N347" i="22"/>
  <c r="N326" i="22"/>
  <c r="N323" i="22"/>
  <c r="N309" i="22"/>
  <c r="N307" i="22"/>
  <c r="N305" i="22"/>
  <c r="N295" i="22"/>
  <c r="N276" i="22"/>
  <c r="R275" i="22"/>
  <c r="B308" i="22"/>
  <c r="F300" i="22"/>
  <c r="T300" i="22"/>
  <c r="B324" i="22"/>
  <c r="M283" i="22"/>
  <c r="S288" i="22"/>
  <c r="B318" i="22"/>
  <c r="R328" i="22"/>
  <c r="F331" i="22"/>
  <c r="V331" i="22"/>
  <c r="S372" i="22"/>
  <c r="R276" i="22"/>
  <c r="F313" i="22"/>
  <c r="U313" i="22"/>
  <c r="F287" i="22"/>
  <c r="V287" i="22"/>
  <c r="F323" i="22"/>
  <c r="V323" i="22"/>
  <c r="M296" i="22"/>
  <c r="S294" i="22"/>
  <c r="S348" i="22"/>
  <c r="B295" i="22"/>
  <c r="S318" i="22"/>
  <c r="B361" i="22"/>
  <c r="M347" i="22"/>
  <c r="R380" i="22"/>
  <c r="M298" i="22"/>
  <c r="F333" i="22"/>
  <c r="U333" i="22"/>
  <c r="S378" i="22"/>
  <c r="B302" i="22"/>
  <c r="B357" i="22"/>
  <c r="M340" i="22"/>
  <c r="R379" i="22"/>
  <c r="S286" i="22"/>
  <c r="F308" i="22"/>
  <c r="Q308" i="22"/>
  <c r="S389" i="22"/>
  <c r="F370" i="22"/>
  <c r="U370" i="22"/>
  <c r="M389" i="22"/>
  <c r="F327" i="22"/>
  <c r="U327" i="22"/>
  <c r="F337" i="22"/>
  <c r="T337" i="22"/>
  <c r="M305" i="22"/>
  <c r="R382" i="22"/>
  <c r="R350" i="22"/>
  <c r="M383" i="22"/>
  <c r="N487" i="22"/>
  <c r="N462" i="22"/>
  <c r="N461" i="22"/>
  <c r="S268" i="22"/>
  <c r="F268" i="22"/>
  <c r="Q268" i="22"/>
  <c r="M266" i="22"/>
  <c r="S266" i="22"/>
  <c r="S249" i="22"/>
  <c r="R249" i="22"/>
  <c r="S248" i="22"/>
  <c r="B248" i="22"/>
  <c r="R232" i="22"/>
  <c r="B232" i="22"/>
  <c r="B199" i="22"/>
  <c r="S199" i="22"/>
  <c r="B198" i="22"/>
  <c r="R198" i="22"/>
  <c r="S185" i="22"/>
  <c r="M185" i="22"/>
  <c r="R182" i="22"/>
  <c r="F182" i="22"/>
  <c r="T182" i="22"/>
  <c r="M151" i="22"/>
  <c r="S151" i="22"/>
  <c r="M143" i="22"/>
  <c r="F143" i="22"/>
  <c r="V143" i="22"/>
  <c r="M141" i="22"/>
  <c r="B141" i="22"/>
  <c r="M128" i="22"/>
  <c r="S128" i="22"/>
  <c r="M126" i="22"/>
  <c r="S126" i="22"/>
  <c r="N363" i="22"/>
  <c r="N311" i="22"/>
  <c r="N303" i="22"/>
  <c r="N302" i="22"/>
  <c r="N301" i="22"/>
  <c r="N293" i="22"/>
  <c r="N291" i="22"/>
  <c r="N288" i="22"/>
  <c r="N287" i="22"/>
  <c r="N274" i="22"/>
  <c r="B490" i="22"/>
  <c r="S490" i="22"/>
  <c r="B449" i="22"/>
  <c r="M449" i="22"/>
  <c r="N447" i="22"/>
  <c r="S436" i="22"/>
  <c r="B436" i="22"/>
  <c r="N432" i="22"/>
  <c r="M429" i="22"/>
  <c r="R429" i="22"/>
  <c r="N398" i="22"/>
  <c r="N394" i="22"/>
  <c r="N364" i="22"/>
  <c r="N349" i="22"/>
  <c r="N327" i="22"/>
  <c r="N316" i="22"/>
  <c r="N313" i="22"/>
  <c r="N261" i="22"/>
  <c r="N260" i="22"/>
  <c r="N246" i="22"/>
  <c r="N239" i="22"/>
  <c r="N237" i="22"/>
  <c r="N232" i="22"/>
  <c r="N225" i="22"/>
  <c r="N200" i="22"/>
  <c r="N187" i="22"/>
  <c r="N179" i="22"/>
  <c r="N152" i="22"/>
  <c r="N121" i="22"/>
  <c r="N117" i="22"/>
  <c r="N114" i="22"/>
  <c r="N102" i="22"/>
  <c r="U209" i="22"/>
  <c r="V209" i="22"/>
  <c r="R3" i="22"/>
  <c r="S31" i="22"/>
  <c r="R55" i="22"/>
  <c r="B452" i="22"/>
  <c r="S452" i="22"/>
  <c r="F451" i="22"/>
  <c r="U451" i="22"/>
  <c r="S451" i="22"/>
  <c r="M450" i="22"/>
  <c r="S450" i="22"/>
  <c r="M448" i="22"/>
  <c r="B448" i="22"/>
  <c r="B447" i="22"/>
  <c r="M447" i="22"/>
  <c r="R447" i="22"/>
  <c r="B444" i="22"/>
  <c r="S444" i="22"/>
  <c r="B443" i="22"/>
  <c r="F443" i="22"/>
  <c r="V443" i="22"/>
  <c r="F440" i="22"/>
  <c r="U440" i="22"/>
  <c r="S440" i="22"/>
  <c r="B439" i="22"/>
  <c r="R439" i="22"/>
  <c r="F438" i="22"/>
  <c r="T438" i="22"/>
  <c r="B438" i="22"/>
  <c r="B435" i="22"/>
  <c r="M435" i="22"/>
  <c r="F435" i="22"/>
  <c r="U435" i="22"/>
  <c r="B433" i="22"/>
  <c r="M433" i="22"/>
  <c r="F433" i="22"/>
  <c r="U433" i="22"/>
  <c r="R432" i="22"/>
  <c r="F432" i="22"/>
  <c r="T432" i="22"/>
  <c r="R428" i="22"/>
  <c r="M428" i="22"/>
  <c r="B425" i="22"/>
  <c r="R425" i="22"/>
  <c r="M420" i="22"/>
  <c r="F420" i="22"/>
  <c r="U420" i="22"/>
  <c r="B418" i="22"/>
  <c r="R418" i="22"/>
  <c r="M413" i="22"/>
  <c r="S413" i="22"/>
  <c r="R413" i="22"/>
  <c r="B411" i="22"/>
  <c r="S411" i="22"/>
  <c r="R407" i="22"/>
  <c r="B407" i="22"/>
  <c r="R405" i="22"/>
  <c r="B405" i="22"/>
  <c r="F405" i="22"/>
  <c r="Q405" i="22"/>
  <c r="B404" i="22"/>
  <c r="M404" i="22"/>
  <c r="B400" i="22"/>
  <c r="M400" i="22"/>
  <c r="S400" i="22"/>
  <c r="F400" i="22"/>
  <c r="T400" i="22"/>
  <c r="F4" i="22"/>
  <c r="V4" i="22"/>
  <c r="J30" i="22"/>
  <c r="J13" i="22"/>
  <c r="Q13" i="22"/>
  <c r="L57" i="22"/>
  <c r="N45" i="22"/>
  <c r="B434" i="22"/>
  <c r="S433" i="22"/>
  <c r="S398" i="22"/>
  <c r="R398" i="22"/>
  <c r="S397" i="22"/>
  <c r="F397" i="22"/>
  <c r="Q397" i="22"/>
  <c r="B397" i="22"/>
  <c r="F393" i="22"/>
  <c r="Q393" i="22"/>
  <c r="M393" i="22"/>
  <c r="N387" i="22"/>
  <c r="N378" i="22"/>
  <c r="N361" i="22"/>
  <c r="N357" i="22"/>
  <c r="N354" i="22"/>
  <c r="N353" i="22"/>
  <c r="N352" i="22"/>
  <c r="N351" i="22"/>
  <c r="N350" i="22"/>
  <c r="N345" i="22"/>
  <c r="N330" i="22"/>
  <c r="R410" i="22"/>
  <c r="F413" i="22"/>
  <c r="T413" i="22"/>
  <c r="R433" i="22"/>
  <c r="S428" i="22"/>
  <c r="B423" i="22"/>
  <c r="R431" i="22"/>
  <c r="R448" i="22"/>
  <c r="B430" i="22"/>
  <c r="R450" i="22"/>
  <c r="P71" i="22"/>
  <c r="J65" i="22"/>
  <c r="Q65" i="22"/>
  <c r="F447" i="22"/>
  <c r="U447" i="22"/>
  <c r="R452" i="22"/>
  <c r="M430" i="22"/>
  <c r="S425" i="22"/>
  <c r="R449" i="22"/>
  <c r="R442" i="22"/>
  <c r="R434" i="22"/>
  <c r="B431" i="22"/>
  <c r="B500" i="22"/>
  <c r="M500" i="22"/>
  <c r="R496" i="22"/>
  <c r="F496" i="22"/>
  <c r="U496" i="22"/>
  <c r="F494" i="22"/>
  <c r="Q494" i="22"/>
  <c r="B494" i="22"/>
  <c r="S493" i="22"/>
  <c r="B493" i="22"/>
  <c r="F491" i="22"/>
  <c r="V491" i="22"/>
  <c r="M491" i="22"/>
  <c r="F484" i="22"/>
  <c r="V484" i="22"/>
  <c r="S484" i="22"/>
  <c r="F481" i="22"/>
  <c r="T481" i="22"/>
  <c r="R481" i="22"/>
  <c r="S480" i="22"/>
  <c r="F480" i="22"/>
  <c r="V480" i="22"/>
  <c r="B479" i="22"/>
  <c r="F479" i="22"/>
  <c r="V479" i="22"/>
  <c r="R468" i="22"/>
  <c r="F468" i="22"/>
  <c r="T468" i="22"/>
  <c r="B459" i="22"/>
  <c r="S459" i="22"/>
  <c r="M452" i="22"/>
  <c r="N436" i="22"/>
  <c r="N434" i="22"/>
  <c r="N430" i="22"/>
  <c r="N417" i="22"/>
  <c r="N408" i="22"/>
  <c r="N403" i="22"/>
  <c r="F248" i="22"/>
  <c r="T248" i="22"/>
  <c r="F243" i="22"/>
  <c r="V243" i="22"/>
  <c r="M261" i="22"/>
  <c r="S312" i="22"/>
  <c r="B312" i="22"/>
  <c r="S306" i="22"/>
  <c r="M306" i="22"/>
  <c r="F292" i="22"/>
  <c r="S292" i="22"/>
  <c r="B284" i="22"/>
  <c r="R284" i="22"/>
  <c r="S283" i="22"/>
  <c r="F283" i="22"/>
  <c r="Q283" i="22"/>
  <c r="F282" i="22"/>
  <c r="T282" i="22"/>
  <c r="S282" i="22"/>
  <c r="B280" i="22"/>
  <c r="M280" i="22"/>
  <c r="B254" i="22"/>
  <c r="F254" i="22"/>
  <c r="V254" i="22"/>
  <c r="R254" i="22"/>
  <c r="M251" i="22"/>
  <c r="B251" i="22"/>
  <c r="F241" i="22"/>
  <c r="V241" i="22"/>
  <c r="M241" i="22"/>
  <c r="M233" i="22"/>
  <c r="B233" i="22"/>
  <c r="R233" i="22"/>
  <c r="B214" i="22"/>
  <c r="F214" i="22"/>
  <c r="Q214" i="22"/>
  <c r="M183" i="22"/>
  <c r="F183" i="22"/>
  <c r="Q183" i="22"/>
  <c r="B175" i="22"/>
  <c r="R175" i="22"/>
  <c r="S174" i="22"/>
  <c r="R174" i="22"/>
  <c r="B170" i="22"/>
  <c r="M170" i="22"/>
  <c r="R166" i="22"/>
  <c r="B166" i="22"/>
  <c r="R153" i="22"/>
  <c r="B153" i="22"/>
  <c r="N147" i="22"/>
  <c r="N146" i="22"/>
  <c r="M144" i="22"/>
  <c r="S144" i="22"/>
  <c r="S142" i="22"/>
  <c r="R142" i="22"/>
  <c r="N140" i="22"/>
  <c r="N139" i="22"/>
  <c r="M136" i="22"/>
  <c r="R136" i="22"/>
  <c r="F131" i="22"/>
  <c r="S131" i="22"/>
  <c r="R121" i="22"/>
  <c r="N294" i="22"/>
  <c r="P169" i="14"/>
  <c r="G72" i="22"/>
  <c r="S476" i="22"/>
  <c r="F476" i="22"/>
  <c r="U476" i="22"/>
  <c r="R472" i="22"/>
  <c r="F472" i="22"/>
  <c r="V472" i="22"/>
  <c r="F461" i="22"/>
  <c r="Q461" i="22"/>
  <c r="B461" i="22"/>
  <c r="S454" i="22"/>
  <c r="M454" i="22"/>
  <c r="M290" i="22"/>
  <c r="S290" i="22"/>
  <c r="R285" i="22"/>
  <c r="F285" i="22"/>
  <c r="U285" i="22"/>
  <c r="R274" i="22"/>
  <c r="M274" i="22"/>
  <c r="N272" i="22"/>
  <c r="F26" i="22"/>
  <c r="V26" i="22"/>
  <c r="M18" i="22"/>
  <c r="S449" i="22"/>
  <c r="F449" i="22"/>
  <c r="U449" i="22"/>
  <c r="F445" i="22"/>
  <c r="Q445" i="22"/>
  <c r="R445" i="22"/>
  <c r="B442" i="22"/>
  <c r="M442" i="22"/>
  <c r="S438" i="22"/>
  <c r="R438" i="22"/>
  <c r="M437" i="22"/>
  <c r="B437" i="22"/>
  <c r="S437" i="22"/>
  <c r="F437" i="22"/>
  <c r="Q437" i="22"/>
  <c r="S430" i="22"/>
  <c r="R430" i="22"/>
  <c r="B422" i="22"/>
  <c r="M422" i="22"/>
  <c r="S422" i="22"/>
  <c r="N419" i="22"/>
  <c r="N418" i="22"/>
  <c r="M416" i="22"/>
  <c r="F416" i="22"/>
  <c r="Q416" i="22"/>
  <c r="R416" i="22"/>
  <c r="R414" i="22"/>
  <c r="F414" i="22"/>
  <c r="T414" i="22"/>
  <c r="N412" i="22"/>
  <c r="M410" i="22"/>
  <c r="B410" i="22"/>
  <c r="N409" i="22"/>
  <c r="F409" i="22"/>
  <c r="T409" i="22"/>
  <c r="B409" i="22"/>
  <c r="N407" i="22"/>
  <c r="N406" i="22"/>
  <c r="N404" i="22"/>
  <c r="N400" i="22"/>
  <c r="N397" i="22"/>
  <c r="N393" i="22"/>
  <c r="N391" i="22"/>
  <c r="N381" i="22"/>
  <c r="N379" i="22"/>
  <c r="N377" i="22"/>
  <c r="N348" i="22"/>
  <c r="N322" i="22"/>
  <c r="N249" i="22"/>
  <c r="N228" i="22"/>
  <c r="N206" i="22"/>
  <c r="M14" i="22"/>
  <c r="B18" i="22"/>
  <c r="M194" i="22"/>
  <c r="B194" i="22"/>
  <c r="R194" i="22"/>
  <c r="S177" i="22"/>
  <c r="N165" i="22"/>
  <c r="Q165" i="14"/>
  <c r="R165" i="14"/>
  <c r="S3" i="22"/>
  <c r="R57" i="22"/>
  <c r="F19" i="22"/>
  <c r="V19" i="22"/>
  <c r="R51" i="22"/>
  <c r="S53" i="22"/>
  <c r="N21" i="22"/>
  <c r="R491" i="22"/>
  <c r="M483" i="22"/>
  <c r="R484" i="22"/>
  <c r="B331" i="22"/>
  <c r="R331" i="22"/>
  <c r="B326" i="22"/>
  <c r="F326" i="22"/>
  <c r="U326" i="22"/>
  <c r="B320" i="22"/>
  <c r="R320" i="22"/>
  <c r="B169" i="22"/>
  <c r="R169" i="22"/>
  <c r="B165" i="22"/>
  <c r="M165" i="22"/>
  <c r="M158" i="22"/>
  <c r="R158" i="22"/>
  <c r="M154" i="22"/>
  <c r="B154" i="22"/>
  <c r="N496" i="22"/>
  <c r="N484" i="22"/>
  <c r="N468" i="22"/>
  <c r="N466" i="22"/>
  <c r="N442" i="22"/>
  <c r="N428" i="22"/>
  <c r="N427" i="22"/>
  <c r="N426" i="22"/>
  <c r="N424" i="22"/>
  <c r="Q342" i="22"/>
  <c r="N340" i="22"/>
  <c r="N339" i="22"/>
  <c r="N332" i="22"/>
  <c r="N331" i="22"/>
  <c r="N209" i="22"/>
  <c r="N204" i="22"/>
  <c r="N198" i="22"/>
  <c r="N168" i="22"/>
  <c r="N160" i="22"/>
  <c r="N94" i="22"/>
  <c r="R151" i="14"/>
  <c r="V263" i="22"/>
  <c r="Q262" i="22"/>
  <c r="U263" i="22"/>
  <c r="Q263" i="22"/>
  <c r="T262" i="22"/>
  <c r="U262" i="22"/>
  <c r="F8" i="22"/>
  <c r="U8" i="22"/>
  <c r="M51" i="22"/>
  <c r="S18" i="22"/>
  <c r="M47" i="22"/>
  <c r="M16" i="22"/>
  <c r="R75" i="22"/>
  <c r="B421" i="22"/>
  <c r="R421" i="22"/>
  <c r="F421" i="22"/>
  <c r="U421" i="22"/>
  <c r="S421" i="22"/>
  <c r="S420" i="22"/>
  <c r="B420" i="22"/>
  <c r="B415" i="22"/>
  <c r="R415" i="22"/>
  <c r="B414" i="22"/>
  <c r="S414" i="22"/>
  <c r="B412" i="22"/>
  <c r="S412" i="22"/>
  <c r="S281" i="22"/>
  <c r="R281" i="22"/>
  <c r="B281" i="22"/>
  <c r="F275" i="22"/>
  <c r="M275" i="22"/>
  <c r="R152" i="22"/>
  <c r="B152" i="22"/>
  <c r="S152" i="22"/>
  <c r="F150" i="22"/>
  <c r="V150" i="22"/>
  <c r="S150" i="22"/>
  <c r="F140" i="22"/>
  <c r="V140" i="22"/>
  <c r="M140" i="22"/>
  <c r="R2" i="22"/>
  <c r="M2" i="22"/>
  <c r="M8" i="22"/>
  <c r="R26" i="22"/>
  <c r="F51" i="22"/>
  <c r="V51" i="22"/>
  <c r="S47" i="22"/>
  <c r="B9" i="22"/>
  <c r="B6" i="22"/>
  <c r="N14" i="22"/>
  <c r="M406" i="22"/>
  <c r="S410" i="22"/>
  <c r="F406" i="22"/>
  <c r="U406" i="22"/>
  <c r="R412" i="22"/>
  <c r="R420" i="22"/>
  <c r="M421" i="22"/>
  <c r="F398" i="22"/>
  <c r="T398" i="22"/>
  <c r="B398" i="22"/>
  <c r="S396" i="22"/>
  <c r="B396" i="22"/>
  <c r="F396" i="22"/>
  <c r="T396" i="22"/>
  <c r="M396" i="22"/>
  <c r="R396" i="22"/>
  <c r="R395" i="22"/>
  <c r="B395" i="22"/>
  <c r="N375" i="22"/>
  <c r="F272" i="22"/>
  <c r="S272" i="22"/>
  <c r="M269" i="22"/>
  <c r="R269" i="22"/>
  <c r="R268" i="22"/>
  <c r="B268" i="22"/>
  <c r="N252" i="22"/>
  <c r="N245" i="22"/>
  <c r="N132" i="22"/>
  <c r="R498" i="22"/>
  <c r="F498" i="22"/>
  <c r="V498" i="22"/>
  <c r="M342" i="22"/>
  <c r="R342" i="22"/>
  <c r="B342" i="22"/>
  <c r="S338" i="22"/>
  <c r="R338" i="22"/>
  <c r="S337" i="22"/>
  <c r="M337" i="22"/>
  <c r="B227" i="22"/>
  <c r="F227" i="22"/>
  <c r="U227" i="22"/>
  <c r="R227" i="22"/>
  <c r="S227" i="22"/>
  <c r="S221" i="22"/>
  <c r="R221" i="22"/>
  <c r="B217" i="22"/>
  <c r="R217" i="22"/>
  <c r="M216" i="22"/>
  <c r="B216" i="22"/>
  <c r="R216" i="22"/>
  <c r="M202" i="22"/>
  <c r="S202" i="22"/>
  <c r="F195" i="22"/>
  <c r="V195" i="22"/>
  <c r="R195" i="22"/>
  <c r="M99" i="22"/>
  <c r="B99" i="22"/>
  <c r="B98" i="22"/>
  <c r="F98" i="22"/>
  <c r="Q98" i="22"/>
  <c r="M93" i="22"/>
  <c r="S93" i="22"/>
  <c r="R93" i="22"/>
  <c r="B93" i="22"/>
  <c r="B90" i="22"/>
  <c r="F90" i="22"/>
  <c r="U90" i="22"/>
  <c r="R87" i="22"/>
  <c r="F87" i="22"/>
  <c r="V87" i="22"/>
  <c r="B86" i="22"/>
  <c r="F86" i="22"/>
  <c r="T86" i="22"/>
  <c r="R16" i="22"/>
  <c r="N52" i="22"/>
  <c r="N59" i="22"/>
  <c r="R171" i="14"/>
  <c r="D71" i="22"/>
  <c r="B491" i="22"/>
  <c r="S491" i="22"/>
  <c r="M486" i="22"/>
  <c r="B486" i="22"/>
  <c r="S485" i="22"/>
  <c r="R485" i="22"/>
  <c r="S483" i="22"/>
  <c r="B483" i="22"/>
  <c r="M480" i="22"/>
  <c r="B480" i="22"/>
  <c r="R480" i="22"/>
  <c r="R474" i="22"/>
  <c r="S474" i="22"/>
  <c r="F474" i="22"/>
  <c r="V474" i="22"/>
  <c r="S473" i="22"/>
  <c r="F473" i="22"/>
  <c r="V473" i="22"/>
  <c r="R473" i="22"/>
  <c r="B470" i="22"/>
  <c r="F470" i="22"/>
  <c r="U470" i="22"/>
  <c r="M470" i="22"/>
  <c r="S470" i="22"/>
  <c r="S469" i="22"/>
  <c r="R469" i="22"/>
  <c r="N467" i="22"/>
  <c r="B464" i="22"/>
  <c r="R464" i="22"/>
  <c r="N460" i="22"/>
  <c r="R457" i="22"/>
  <c r="B457" i="22"/>
  <c r="M457" i="22"/>
  <c r="N455" i="22"/>
  <c r="N454" i="22"/>
  <c r="N453" i="22"/>
  <c r="N452" i="22"/>
  <c r="N450" i="22"/>
  <c r="N448" i="22"/>
  <c r="F330" i="22"/>
  <c r="U330" i="22"/>
  <c r="B330" i="22"/>
  <c r="S322" i="22"/>
  <c r="R322" i="22"/>
  <c r="N300" i="22"/>
  <c r="F190" i="22"/>
  <c r="S190" i="22"/>
  <c r="M190" i="22"/>
  <c r="S187" i="22"/>
  <c r="B187" i="22"/>
  <c r="F187" i="22"/>
  <c r="U187" i="22"/>
  <c r="N178" i="22"/>
  <c r="S178" i="22"/>
  <c r="M178" i="22"/>
  <c r="N176" i="22"/>
  <c r="Q284" i="22"/>
  <c r="N437" i="22"/>
  <c r="N435" i="22"/>
  <c r="N431" i="22"/>
  <c r="N429" i="22"/>
  <c r="N374" i="22"/>
  <c r="N367" i="22"/>
  <c r="N359" i="22"/>
  <c r="N358" i="22"/>
  <c r="N356" i="22"/>
  <c r="N355" i="22"/>
  <c r="N292" i="22"/>
  <c r="R241" i="22"/>
  <c r="N222" i="22"/>
  <c r="N214" i="22"/>
  <c r="S169" i="22"/>
  <c r="R163" i="14"/>
  <c r="Q159" i="14"/>
  <c r="Q430" i="22"/>
  <c r="Q156" i="22"/>
  <c r="N483" i="22"/>
  <c r="N420" i="22"/>
  <c r="N416" i="22"/>
  <c r="N338" i="22"/>
  <c r="N324" i="22"/>
  <c r="N320" i="22"/>
  <c r="N315" i="22"/>
  <c r="N314" i="22"/>
  <c r="N280" i="22"/>
  <c r="N279" i="22"/>
  <c r="N278" i="22"/>
  <c r="N98" i="22"/>
  <c r="F458" i="22"/>
  <c r="T458" i="22"/>
  <c r="S370" i="22"/>
  <c r="R343" i="22"/>
  <c r="B105" i="22"/>
  <c r="R137" i="22"/>
  <c r="S143" i="22"/>
  <c r="B243" i="22"/>
  <c r="R149" i="22"/>
  <c r="B377" i="22"/>
  <c r="B468" i="22"/>
  <c r="M409" i="22"/>
  <c r="R409" i="22"/>
  <c r="S409" i="22"/>
  <c r="F408" i="22"/>
  <c r="U408" i="22"/>
  <c r="R408" i="22"/>
  <c r="B406" i="22"/>
  <c r="S406" i="22"/>
  <c r="F404" i="22"/>
  <c r="T404" i="22"/>
  <c r="N396" i="22"/>
  <c r="S375" i="22"/>
  <c r="N368" i="22"/>
  <c r="F320" i="22"/>
  <c r="T320" i="22"/>
  <c r="S320" i="22"/>
  <c r="M320" i="22"/>
  <c r="F317" i="22"/>
  <c r="Q317" i="22"/>
  <c r="S317" i="22"/>
  <c r="B316" i="22"/>
  <c r="R316" i="22"/>
  <c r="M213" i="22"/>
  <c r="R213" i="22"/>
  <c r="R210" i="22"/>
  <c r="S210" i="22"/>
  <c r="F210" i="22"/>
  <c r="Q210" i="22"/>
  <c r="Q209" i="22"/>
  <c r="S208" i="22"/>
  <c r="B208" i="22"/>
  <c r="R206" i="22"/>
  <c r="M206" i="22"/>
  <c r="N203" i="22"/>
  <c r="N201" i="22"/>
  <c r="N199" i="22"/>
  <c r="N195" i="22"/>
  <c r="N177" i="22"/>
  <c r="M109" i="22"/>
  <c r="R109" i="22"/>
  <c r="F109" i="22"/>
  <c r="V109" i="22"/>
  <c r="B108" i="22"/>
  <c r="N107" i="22"/>
  <c r="N101" i="22"/>
  <c r="N97" i="22"/>
  <c r="N93" i="22"/>
  <c r="S19" i="22"/>
  <c r="R20" i="22"/>
  <c r="R14" i="22"/>
  <c r="R5" i="22"/>
  <c r="S55" i="22"/>
  <c r="S43" i="22"/>
  <c r="N67" i="22"/>
  <c r="N51" i="22"/>
  <c r="N18" i="22"/>
  <c r="N41" i="22"/>
  <c r="N9" i="22"/>
  <c r="N20" i="22"/>
  <c r="N10" i="22"/>
  <c r="B58" i="22"/>
  <c r="M465" i="22"/>
  <c r="R465" i="22"/>
  <c r="F465" i="22"/>
  <c r="V465" i="22"/>
  <c r="B465" i="22"/>
  <c r="B463" i="22"/>
  <c r="R463" i="22"/>
  <c r="F463" i="22"/>
  <c r="U463" i="22"/>
  <c r="B462" i="22"/>
  <c r="S462" i="22"/>
  <c r="M458" i="22"/>
  <c r="R458" i="22"/>
  <c r="S458" i="22"/>
  <c r="M453" i="22"/>
  <c r="B453" i="22"/>
  <c r="B401" i="22"/>
  <c r="S401" i="22"/>
  <c r="B371" i="22"/>
  <c r="M371" i="22"/>
  <c r="S368" i="22"/>
  <c r="M368" i="22"/>
  <c r="R365" i="22"/>
  <c r="S365" i="22"/>
  <c r="F304" i="22"/>
  <c r="S304" i="22"/>
  <c r="M304" i="22"/>
  <c r="F259" i="22"/>
  <c r="M259" i="22"/>
  <c r="R253" i="22"/>
  <c r="B253" i="22"/>
  <c r="M253" i="22"/>
  <c r="R250" i="22"/>
  <c r="M250" i="22"/>
  <c r="N235" i="22"/>
  <c r="S203" i="22"/>
  <c r="F203" i="22"/>
  <c r="U203" i="22"/>
  <c r="R148" i="22"/>
  <c r="S148" i="22"/>
  <c r="B148" i="22"/>
  <c r="M145" i="22"/>
  <c r="B145" i="22"/>
  <c r="R145" i="22"/>
  <c r="M101" i="22"/>
  <c r="R101" i="22"/>
  <c r="F101" i="22"/>
  <c r="Q101" i="22"/>
  <c r="R35" i="22"/>
  <c r="B19" i="22"/>
  <c r="S26" i="22"/>
  <c r="M20" i="22"/>
  <c r="F14" i="22"/>
  <c r="V14" i="22"/>
  <c r="S5" i="22"/>
  <c r="F32" i="22"/>
  <c r="V32" i="22"/>
  <c r="M50" i="22"/>
  <c r="F43" i="22"/>
  <c r="U43" i="22"/>
  <c r="R13" i="22"/>
  <c r="N4" i="22"/>
  <c r="B4" i="22"/>
  <c r="R39" i="22"/>
  <c r="R80" i="22"/>
  <c r="F364" i="22"/>
  <c r="V364" i="22"/>
  <c r="R372" i="22"/>
  <c r="M364" i="22"/>
  <c r="M361" i="22"/>
  <c r="S371" i="22"/>
  <c r="R403" i="22"/>
  <c r="F467" i="22"/>
  <c r="U467" i="22"/>
  <c r="S360" i="22"/>
  <c r="F403" i="22"/>
  <c r="V403" i="22"/>
  <c r="S467" i="22"/>
  <c r="S468" i="22"/>
  <c r="F464" i="22"/>
  <c r="U464" i="22"/>
  <c r="B366" i="22"/>
  <c r="S404" i="22"/>
  <c r="R362" i="22"/>
  <c r="R366" i="22"/>
  <c r="R466" i="22"/>
  <c r="F462" i="22"/>
  <c r="V462" i="22"/>
  <c r="R404" i="22"/>
  <c r="R402" i="22"/>
  <c r="M445" i="22"/>
  <c r="S445" i="22"/>
  <c r="M444" i="22"/>
  <c r="R444" i="22"/>
  <c r="F444" i="22"/>
  <c r="T444" i="22"/>
  <c r="F346" i="22"/>
  <c r="V346" i="22"/>
  <c r="M346" i="22"/>
  <c r="S346" i="22"/>
  <c r="M289" i="22"/>
  <c r="S289" i="22"/>
  <c r="B289" i="22"/>
  <c r="R188" i="22"/>
  <c r="F188" i="22"/>
  <c r="V188" i="22"/>
  <c r="B186" i="22"/>
  <c r="M186" i="22"/>
  <c r="S186" i="22"/>
  <c r="B182" i="22"/>
  <c r="M182" i="22"/>
  <c r="F181" i="22"/>
  <c r="M181" i="22"/>
  <c r="M180" i="22"/>
  <c r="S180" i="22"/>
  <c r="M179" i="22"/>
  <c r="F179" i="22"/>
  <c r="Q179" i="22"/>
  <c r="S2" i="22"/>
  <c r="B40" i="22"/>
  <c r="M19" i="22"/>
  <c r="B14" i="22"/>
  <c r="F5" i="22"/>
  <c r="U5" i="22"/>
  <c r="R43" i="22"/>
  <c r="B2" i="22"/>
  <c r="N24" i="22"/>
  <c r="F64" i="22"/>
  <c r="T64" i="22"/>
  <c r="N17" i="22"/>
  <c r="M284" i="22"/>
  <c r="F362" i="22"/>
  <c r="V362" i="22"/>
  <c r="F366" i="22"/>
  <c r="U366" i="22"/>
  <c r="F401" i="22"/>
  <c r="T401" i="22"/>
  <c r="R454" i="22"/>
  <c r="R462" i="22"/>
  <c r="F457" i="22"/>
  <c r="V457" i="22"/>
  <c r="M461" i="22"/>
  <c r="F180" i="22"/>
  <c r="U180" i="22"/>
  <c r="R180" i="22"/>
  <c r="F361" i="22"/>
  <c r="V361" i="22"/>
  <c r="F455" i="22"/>
  <c r="V455" i="22"/>
  <c r="S402" i="22"/>
  <c r="S456" i="22"/>
  <c r="R370" i="22"/>
  <c r="R187" i="22"/>
  <c r="R346" i="22"/>
  <c r="B180" i="22"/>
  <c r="R401" i="22"/>
  <c r="B467" i="22"/>
  <c r="F306" i="22"/>
  <c r="Q306" i="22"/>
  <c r="N495" i="22"/>
  <c r="N494" i="22"/>
  <c r="N493" i="22"/>
  <c r="F429" i="22"/>
  <c r="T429" i="22"/>
  <c r="B429" i="22"/>
  <c r="B427" i="22"/>
  <c r="F427" i="22"/>
  <c r="T427" i="22"/>
  <c r="B424" i="22"/>
  <c r="S424" i="22"/>
  <c r="F383" i="22"/>
  <c r="U383" i="22"/>
  <c r="B383" i="22"/>
  <c r="M382" i="22"/>
  <c r="F382" i="22"/>
  <c r="T382" i="22"/>
  <c r="R381" i="22"/>
  <c r="B381" i="22"/>
  <c r="M381" i="22"/>
  <c r="B375" i="22"/>
  <c r="B334" i="22"/>
  <c r="F334" i="22"/>
  <c r="U334" i="22"/>
  <c r="N329" i="22"/>
  <c r="N328" i="22"/>
  <c r="N325" i="22"/>
  <c r="N304" i="22"/>
  <c r="N298" i="22"/>
  <c r="S280" i="22"/>
  <c r="F280" i="22"/>
  <c r="U280" i="22"/>
  <c r="F274" i="22"/>
  <c r="Q274" i="22"/>
  <c r="B274" i="22"/>
  <c r="N271" i="22"/>
  <c r="N254" i="22"/>
  <c r="M240" i="22"/>
  <c r="R240" i="22"/>
  <c r="S240" i="22"/>
  <c r="S235" i="22"/>
  <c r="B235" i="22"/>
  <c r="M232" i="22"/>
  <c r="S232" i="22"/>
  <c r="F232" i="22"/>
  <c r="Q232" i="22"/>
  <c r="N229" i="22"/>
  <c r="F486" i="22"/>
  <c r="Q486" i="22"/>
  <c r="R486" i="22"/>
  <c r="F485" i="22"/>
  <c r="T485" i="22"/>
  <c r="M485" i="22"/>
  <c r="B485" i="22"/>
  <c r="N478" i="22"/>
  <c r="N477" i="22"/>
  <c r="M476" i="22"/>
  <c r="B476" i="22"/>
  <c r="N475" i="22"/>
  <c r="N472" i="22"/>
  <c r="N471" i="22"/>
  <c r="N463" i="22"/>
  <c r="N410" i="22"/>
  <c r="M397" i="22"/>
  <c r="R397" i="22"/>
  <c r="R394" i="22"/>
  <c r="S394" i="22"/>
  <c r="N392" i="22"/>
  <c r="N388" i="22"/>
  <c r="R353" i="22"/>
  <c r="B353" i="22"/>
  <c r="M350" i="22"/>
  <c r="S350" i="22"/>
  <c r="N341" i="22"/>
  <c r="M270" i="22"/>
  <c r="B270" i="22"/>
  <c r="N266" i="22"/>
  <c r="N262" i="22"/>
  <c r="M224" i="22"/>
  <c r="F224" i="22"/>
  <c r="T224" i="22"/>
  <c r="N162" i="22"/>
  <c r="N86" i="22"/>
  <c r="B164" i="22"/>
  <c r="F169" i="22"/>
  <c r="F168" i="22"/>
  <c r="Q168" i="22"/>
  <c r="R165" i="22"/>
  <c r="Q477" i="22"/>
  <c r="S496" i="22"/>
  <c r="B362" i="22"/>
  <c r="B393" i="22"/>
  <c r="S366" i="22"/>
  <c r="F423" i="22"/>
  <c r="T423" i="22"/>
  <c r="F454" i="22"/>
  <c r="Q454" i="22"/>
  <c r="R479" i="22"/>
  <c r="M425" i="22"/>
  <c r="S442" i="22"/>
  <c r="M498" i="22"/>
  <c r="F422" i="22"/>
  <c r="Q422" i="22"/>
  <c r="M424" i="22"/>
  <c r="M300" i="22"/>
  <c r="S301" i="22"/>
  <c r="S334" i="22"/>
  <c r="B474" i="22"/>
  <c r="M474" i="22"/>
  <c r="F469" i="22"/>
  <c r="U469" i="22"/>
  <c r="M469" i="22"/>
  <c r="B469" i="22"/>
  <c r="Q169" i="14"/>
  <c r="E18" i="15"/>
  <c r="S20" i="22"/>
  <c r="R30" i="22"/>
  <c r="B53" i="22"/>
  <c r="S7" i="22"/>
  <c r="S41" i="22"/>
  <c r="R11" i="22"/>
  <c r="M63" i="22"/>
  <c r="S23" i="22"/>
  <c r="B33" i="22"/>
  <c r="N26" i="22"/>
  <c r="N64" i="22"/>
  <c r="N58" i="22"/>
  <c r="B456" i="22"/>
  <c r="R456" i="22"/>
  <c r="F453" i="22"/>
  <c r="T453" i="22"/>
  <c r="S453" i="22"/>
  <c r="B391" i="22"/>
  <c r="R391" i="22"/>
  <c r="B365" i="22"/>
  <c r="M365" i="22"/>
  <c r="M363" i="22"/>
  <c r="R363" i="22"/>
  <c r="M229" i="22"/>
  <c r="S229" i="22"/>
  <c r="S195" i="22"/>
  <c r="B195" i="22"/>
  <c r="F160" i="22"/>
  <c r="B160" i="22"/>
  <c r="R156" i="22"/>
  <c r="B156" i="22"/>
  <c r="S156" i="22"/>
  <c r="M127" i="22"/>
  <c r="S127" i="22"/>
  <c r="M87" i="22"/>
  <c r="B87" i="22"/>
  <c r="B57" i="22"/>
  <c r="S15" i="22"/>
  <c r="F30" i="22"/>
  <c r="U30" i="22"/>
  <c r="B7" i="22"/>
  <c r="B61" i="22"/>
  <c r="R24" i="22"/>
  <c r="M11" i="22"/>
  <c r="F63" i="22"/>
  <c r="T63" i="22"/>
  <c r="R23" i="22"/>
  <c r="N2" i="22"/>
  <c r="N63" i="22"/>
  <c r="N66" i="22"/>
  <c r="B454" i="22"/>
  <c r="S498" i="22"/>
  <c r="F425" i="22"/>
  <c r="Q425" i="22"/>
  <c r="R424" i="22"/>
  <c r="R443" i="22"/>
  <c r="F365" i="22"/>
  <c r="Q365" i="22"/>
  <c r="S362" i="22"/>
  <c r="B455" i="22"/>
  <c r="F493" i="22"/>
  <c r="U493" i="22"/>
  <c r="M493" i="22"/>
  <c r="M488" i="22"/>
  <c r="B488" i="22"/>
  <c r="N485" i="22"/>
  <c r="M57" i="22"/>
  <c r="M26" i="22"/>
  <c r="F20" i="22"/>
  <c r="T20" i="22"/>
  <c r="B15" i="22"/>
  <c r="R53" i="22"/>
  <c r="S61" i="22"/>
  <c r="F11" i="22"/>
  <c r="Q11" i="22"/>
  <c r="S49" i="22"/>
  <c r="B17" i="22"/>
  <c r="F33" i="22"/>
  <c r="Q33" i="22"/>
  <c r="N33" i="22"/>
  <c r="N73" i="22"/>
  <c r="S478" i="22"/>
  <c r="F478" i="22"/>
  <c r="U478" i="22"/>
  <c r="R377" i="22"/>
  <c r="F377" i="22"/>
  <c r="U377" i="22"/>
  <c r="B351" i="22"/>
  <c r="R351" i="22"/>
  <c r="M249" i="22"/>
  <c r="B249" i="22"/>
  <c r="F249" i="22"/>
  <c r="Q249" i="22"/>
  <c r="F216" i="22"/>
  <c r="S216" i="22"/>
  <c r="B178" i="22"/>
  <c r="R178" i="22"/>
  <c r="B140" i="22"/>
  <c r="R140" i="22"/>
  <c r="F448" i="22"/>
  <c r="U448" i="22"/>
  <c r="R435" i="22"/>
  <c r="B450" i="22"/>
  <c r="F450" i="22"/>
  <c r="T450" i="22"/>
  <c r="Q339" i="22"/>
  <c r="R400" i="22"/>
  <c r="N481" i="22"/>
  <c r="N480" i="22"/>
  <c r="N423" i="22"/>
  <c r="N497" i="22"/>
  <c r="N492" i="22"/>
  <c r="N491" i="22"/>
  <c r="N490" i="22"/>
  <c r="N489" i="22"/>
  <c r="N488" i="22"/>
  <c r="N425" i="22"/>
  <c r="N286" i="22"/>
  <c r="N219" i="22"/>
  <c r="N217" i="22"/>
  <c r="R161" i="14"/>
  <c r="N401" i="22"/>
  <c r="N306" i="22"/>
  <c r="N290" i="22"/>
  <c r="N223" i="22"/>
  <c r="R47" i="22"/>
  <c r="B50" i="22"/>
  <c r="R50" i="22"/>
  <c r="B52" i="22"/>
  <c r="S52" i="22"/>
  <c r="F37" i="22"/>
  <c r="U37" i="22"/>
  <c r="S37" i="22"/>
  <c r="F75" i="22"/>
  <c r="V75" i="22"/>
  <c r="B75" i="22"/>
  <c r="F39" i="22"/>
  <c r="U39" i="22"/>
  <c r="F3" i="22"/>
  <c r="U3" i="22"/>
  <c r="F15" i="22"/>
  <c r="T15" i="22"/>
  <c r="S30" i="22"/>
  <c r="M30" i="22"/>
  <c r="F47" i="22"/>
  <c r="Q47" i="22"/>
  <c r="R7" i="22"/>
  <c r="S16" i="22"/>
  <c r="F9" i="22"/>
  <c r="V9" i="22"/>
  <c r="M41" i="22"/>
  <c r="M24" i="22"/>
  <c r="F50" i="22"/>
  <c r="T50" i="22"/>
  <c r="R63" i="22"/>
  <c r="B37" i="22"/>
  <c r="M43" i="22"/>
  <c r="R33" i="22"/>
  <c r="N3" i="22"/>
  <c r="M64" i="22"/>
  <c r="N50" i="22"/>
  <c r="N30" i="22"/>
  <c r="N15" i="22"/>
  <c r="N61" i="22"/>
  <c r="N53" i="22"/>
  <c r="B23" i="22"/>
  <c r="F23" i="22"/>
  <c r="V23" i="22"/>
  <c r="N11" i="22"/>
  <c r="N75" i="22"/>
  <c r="Q173" i="14"/>
  <c r="S39" i="22"/>
  <c r="L38" i="22"/>
  <c r="S38" i="22"/>
  <c r="F38" i="22"/>
  <c r="T38" i="22"/>
  <c r="B65" i="22"/>
  <c r="R65" i="22"/>
  <c r="S65" i="22"/>
  <c r="M65" i="22"/>
  <c r="F17" i="22"/>
  <c r="U17" i="22"/>
  <c r="M17" i="22"/>
  <c r="F46" i="22"/>
  <c r="V46" i="22"/>
  <c r="R46" i="22"/>
  <c r="N69" i="22"/>
  <c r="B25" i="22"/>
  <c r="F25" i="22"/>
  <c r="Q25" i="22"/>
  <c r="Q66" i="14"/>
  <c r="E12" i="15"/>
  <c r="R66" i="22"/>
  <c r="F66" i="22"/>
  <c r="U66" i="22"/>
  <c r="J44" i="22"/>
  <c r="L44" i="22"/>
  <c r="Q78" i="14"/>
  <c r="E14" i="15"/>
  <c r="S35" i="22"/>
  <c r="F7" i="22"/>
  <c r="U7" i="22"/>
  <c r="R9" i="22"/>
  <c r="B41" i="22"/>
  <c r="S63" i="22"/>
  <c r="S6" i="22"/>
  <c r="M46" i="22"/>
  <c r="S25" i="22"/>
  <c r="R54" i="22"/>
  <c r="S75" i="22"/>
  <c r="S64" i="22"/>
  <c r="J53" i="22"/>
  <c r="Q53" i="22"/>
  <c r="S13" i="22"/>
  <c r="M13" i="22"/>
  <c r="M39" i="22"/>
  <c r="B74" i="22"/>
  <c r="S74" i="22"/>
  <c r="F74" i="22"/>
  <c r="V74" i="22"/>
  <c r="M74" i="22"/>
  <c r="S9" i="22"/>
  <c r="R41" i="22"/>
  <c r="B46" i="22"/>
  <c r="R25" i="22"/>
  <c r="R17" i="22"/>
  <c r="M54" i="22"/>
  <c r="N31" i="22"/>
  <c r="R64" i="22"/>
  <c r="J63" i="22"/>
  <c r="R10" i="22"/>
  <c r="F10" i="22"/>
  <c r="T10" i="22"/>
  <c r="R497" i="22"/>
  <c r="F497" i="22"/>
  <c r="V497" i="22"/>
  <c r="S497" i="22"/>
  <c r="B496" i="22"/>
  <c r="N443" i="22"/>
  <c r="N422" i="22"/>
  <c r="N421" i="22"/>
  <c r="R326" i="22"/>
  <c r="M326" i="22"/>
  <c r="N19" i="22"/>
  <c r="N16" i="22"/>
  <c r="N7" i="22"/>
  <c r="N8" i="22"/>
  <c r="N57" i="22"/>
  <c r="N47" i="22"/>
  <c r="N40" i="22"/>
  <c r="N6" i="22"/>
  <c r="N35" i="22"/>
  <c r="N23" i="22"/>
  <c r="N37" i="22"/>
  <c r="N5" i="22"/>
  <c r="A71" i="22"/>
  <c r="M71" i="22"/>
  <c r="V344" i="22"/>
  <c r="M497" i="22"/>
  <c r="N476" i="22"/>
  <c r="N474" i="22"/>
  <c r="N473" i="22"/>
  <c r="N465" i="22"/>
  <c r="N464" i="22"/>
  <c r="N445" i="22"/>
  <c r="N444" i="22"/>
  <c r="N390" i="22"/>
  <c r="N389" i="22"/>
  <c r="N337" i="22"/>
  <c r="N336" i="22"/>
  <c r="N335" i="22"/>
  <c r="N334" i="22"/>
  <c r="N65" i="22"/>
  <c r="N74" i="22"/>
  <c r="N479" i="22"/>
  <c r="S303" i="22"/>
  <c r="F303" i="22"/>
  <c r="U303" i="22"/>
  <c r="M286" i="22"/>
  <c r="R286" i="22"/>
  <c r="N500" i="22"/>
  <c r="R500" i="22"/>
  <c r="N499" i="22"/>
  <c r="N498" i="22"/>
  <c r="N470" i="22"/>
  <c r="N469" i="22"/>
  <c r="N446" i="22"/>
  <c r="N439" i="22"/>
  <c r="N438" i="22"/>
  <c r="N402" i="22"/>
  <c r="N386" i="22"/>
  <c r="N385" i="22"/>
  <c r="N384" i="22"/>
  <c r="N366" i="22"/>
  <c r="N365" i="22"/>
  <c r="N344" i="22"/>
  <c r="N343" i="22"/>
  <c r="N459" i="22"/>
  <c r="N458" i="22"/>
  <c r="N457" i="22"/>
  <c r="N456" i="22"/>
  <c r="N433" i="22"/>
  <c r="N415" i="22"/>
  <c r="N414" i="22"/>
  <c r="N413" i="22"/>
  <c r="N373" i="22"/>
  <c r="N372" i="22"/>
  <c r="N371" i="22"/>
  <c r="N370" i="22"/>
  <c r="N369" i="22"/>
  <c r="N277" i="22"/>
  <c r="N275" i="22"/>
  <c r="N244" i="22"/>
  <c r="N243" i="22"/>
  <c r="N241" i="22"/>
  <c r="N191" i="22"/>
  <c r="B190" i="22"/>
  <c r="N188" i="22"/>
  <c r="N183" i="22"/>
  <c r="N182" i="22"/>
  <c r="N175" i="22"/>
  <c r="N174" i="22"/>
  <c r="R168" i="22"/>
  <c r="N166" i="22"/>
  <c r="N163" i="22"/>
  <c r="N158" i="22"/>
  <c r="N157" i="22"/>
  <c r="N153" i="22"/>
  <c r="N148" i="22"/>
  <c r="N131" i="22"/>
  <c r="N127" i="22"/>
  <c r="N123" i="22"/>
  <c r="N122" i="22"/>
  <c r="N115" i="22"/>
  <c r="N113" i="22"/>
  <c r="N106" i="22"/>
  <c r="N105" i="22"/>
  <c r="N103" i="22"/>
  <c r="N91" i="22"/>
  <c r="N285" i="22"/>
  <c r="N284" i="22"/>
  <c r="N283" i="22"/>
  <c r="N258" i="22"/>
  <c r="N216" i="22"/>
  <c r="N215" i="22"/>
  <c r="N180" i="22"/>
  <c r="R160" i="14"/>
  <c r="N319" i="22"/>
  <c r="N318" i="22"/>
  <c r="N317" i="22"/>
  <c r="N264" i="22"/>
  <c r="N263" i="22"/>
  <c r="N236" i="22"/>
  <c r="N234" i="22"/>
  <c r="N233" i="22"/>
  <c r="N89" i="22"/>
  <c r="M53" i="22"/>
  <c r="T291" i="22"/>
  <c r="V299" i="22"/>
  <c r="T310" i="22"/>
  <c r="Q489" i="22"/>
  <c r="T339" i="22"/>
  <c r="V430" i="22"/>
  <c r="N49" i="22"/>
  <c r="R49" i="22"/>
  <c r="T281" i="22"/>
  <c r="U164" i="22"/>
  <c r="Q178" i="22"/>
  <c r="Q100" i="22"/>
  <c r="T134" i="22"/>
  <c r="U284" i="22"/>
  <c r="Q164" i="22"/>
  <c r="Q424" i="22"/>
  <c r="Q199" i="22"/>
  <c r="V164" i="22"/>
  <c r="U165" i="22"/>
  <c r="T344" i="22"/>
  <c r="Q475" i="22"/>
  <c r="U310" i="22"/>
  <c r="U291" i="22"/>
  <c r="V471" i="22"/>
  <c r="U489" i="22"/>
  <c r="T392" i="22"/>
  <c r="Q162" i="22"/>
  <c r="V165" i="22"/>
  <c r="R17" i="14"/>
  <c r="I45" i="12"/>
  <c r="U344" i="22"/>
  <c r="Q310" i="22"/>
  <c r="U200" i="22"/>
  <c r="V166" i="22"/>
  <c r="Q291" i="22"/>
  <c r="T100" i="22"/>
  <c r="U299" i="22"/>
  <c r="U475" i="22"/>
  <c r="U312" i="22"/>
  <c r="T442" i="22"/>
  <c r="V199" i="22"/>
  <c r="T93" i="22"/>
  <c r="S32" i="22"/>
  <c r="M32" i="22"/>
  <c r="V312" i="22"/>
  <c r="Q213" i="22"/>
  <c r="R32" i="22"/>
  <c r="V100" i="22"/>
  <c r="V489" i="22"/>
  <c r="T299" i="22"/>
  <c r="T312" i="22"/>
  <c r="V213" i="22"/>
  <c r="U199" i="22"/>
  <c r="V93" i="22"/>
  <c r="U93" i="22"/>
  <c r="F31" i="22"/>
  <c r="T31" i="22"/>
  <c r="M31" i="22"/>
  <c r="Q442" i="22"/>
  <c r="T185" i="22"/>
  <c r="T165" i="22"/>
  <c r="V342" i="22"/>
  <c r="R31" i="22"/>
  <c r="Q471" i="22"/>
  <c r="U321" i="22"/>
  <c r="U424" i="22"/>
  <c r="Q392" i="22"/>
  <c r="V442" i="22"/>
  <c r="T229" i="22"/>
  <c r="V321" i="22"/>
  <c r="V185" i="22"/>
  <c r="T156" i="22"/>
  <c r="Q185" i="22"/>
  <c r="V156" i="22"/>
  <c r="Q252" i="22"/>
  <c r="V369" i="22"/>
  <c r="V256" i="22"/>
  <c r="T95" i="22"/>
  <c r="T158" i="22"/>
  <c r="U158" i="22"/>
  <c r="Q369" i="22"/>
  <c r="Q487" i="22"/>
  <c r="Q483" i="22"/>
  <c r="U483" i="22"/>
  <c r="T487" i="22"/>
  <c r="Q137" i="22"/>
  <c r="V95" i="22"/>
  <c r="U134" i="22"/>
  <c r="V134" i="22"/>
  <c r="U235" i="22"/>
  <c r="Q235" i="22"/>
  <c r="T452" i="22"/>
  <c r="U452" i="22"/>
  <c r="T70" i="22"/>
  <c r="T16" i="22"/>
  <c r="V281" i="22"/>
  <c r="Q256" i="22"/>
  <c r="V251" i="22"/>
  <c r="T251" i="22"/>
  <c r="Q251" i="22"/>
  <c r="U375" i="22"/>
  <c r="V375" i="22"/>
  <c r="V158" i="22"/>
  <c r="V373" i="22"/>
  <c r="Q373" i="22"/>
  <c r="U373" i="22"/>
  <c r="T430" i="22"/>
  <c r="U430" i="22"/>
  <c r="U53" i="22"/>
  <c r="V53" i="22"/>
  <c r="Q70" i="22"/>
  <c r="V65" i="22"/>
  <c r="V487" i="22"/>
  <c r="Q281" i="22"/>
  <c r="T145" i="22"/>
  <c r="U256" i="22"/>
  <c r="V475" i="22"/>
  <c r="U392" i="22"/>
  <c r="U194" i="22"/>
  <c r="U251" i="22"/>
  <c r="Q452" i="22"/>
  <c r="T375" i="22"/>
  <c r="T213" i="22"/>
  <c r="V252" i="22"/>
  <c r="T252" i="22"/>
  <c r="V145" i="22"/>
  <c r="V424" i="22"/>
  <c r="V235" i="22"/>
  <c r="V452" i="22"/>
  <c r="Q375" i="22"/>
  <c r="V229" i="22"/>
  <c r="Q229" i="22"/>
  <c r="Q158" i="22"/>
  <c r="T431" i="22"/>
  <c r="T284" i="22"/>
  <c r="V284" i="22"/>
  <c r="T477" i="22"/>
  <c r="U477" i="22"/>
  <c r="T45" i="22"/>
  <c r="Q45" i="22"/>
  <c r="T65" i="22"/>
  <c r="U221" i="22"/>
  <c r="V221" i="22"/>
  <c r="V410" i="22"/>
  <c r="T410" i="22"/>
  <c r="Q258" i="22"/>
  <c r="U258" i="22"/>
  <c r="U162" i="22"/>
  <c r="T162" i="22"/>
  <c r="V16" i="22"/>
  <c r="U59" i="22"/>
  <c r="U369" i="22"/>
  <c r="U471" i="22"/>
  <c r="Q410" i="22"/>
  <c r="U410" i="22"/>
  <c r="Q266" i="22"/>
  <c r="V266" i="22"/>
  <c r="T266" i="22"/>
  <c r="V141" i="22"/>
  <c r="U145" i="22"/>
  <c r="T500" i="22"/>
  <c r="Q221" i="22"/>
  <c r="T194" i="22"/>
  <c r="Q194" i="22"/>
  <c r="U177" i="22"/>
  <c r="T177" i="22"/>
  <c r="V177" i="22"/>
  <c r="Q177" i="22"/>
  <c r="T127" i="22"/>
  <c r="V127" i="22"/>
  <c r="Q127" i="22"/>
  <c r="Q147" i="22"/>
  <c r="F67" i="22"/>
  <c r="S67" i="22"/>
  <c r="M67" i="22"/>
  <c r="B67" i="22"/>
  <c r="B21" i="22"/>
  <c r="F21" i="22"/>
  <c r="R21" i="22"/>
  <c r="M21" i="22"/>
  <c r="M29" i="22"/>
  <c r="F29" i="22"/>
  <c r="T29" i="22"/>
  <c r="R29" i="22"/>
  <c r="S29" i="22"/>
  <c r="B22" i="22"/>
  <c r="S22" i="22"/>
  <c r="F22" i="22"/>
  <c r="Q22" i="22"/>
  <c r="M22" i="22"/>
  <c r="B29" i="22"/>
  <c r="N13" i="22"/>
  <c r="N22" i="22"/>
  <c r="S21" i="22"/>
  <c r="Q73" i="22"/>
  <c r="T73" i="22"/>
  <c r="U73" i="22"/>
  <c r="V73" i="22"/>
  <c r="Q2" i="22"/>
  <c r="U2" i="22"/>
  <c r="B73" i="22"/>
  <c r="S73" i="22"/>
  <c r="M73" i="22"/>
  <c r="R73" i="22"/>
  <c r="R8" i="14"/>
  <c r="Q47" i="14"/>
  <c r="R48" i="14"/>
  <c r="Q55" i="14"/>
  <c r="R71" i="14"/>
  <c r="Q72" i="14"/>
  <c r="Q141" i="14"/>
  <c r="R141" i="14"/>
  <c r="R140" i="14"/>
  <c r="V13" i="22"/>
  <c r="S70" i="22"/>
  <c r="R70" i="22"/>
  <c r="N43" i="22"/>
  <c r="N25" i="22"/>
  <c r="M40" i="22"/>
  <c r="F40" i="22"/>
  <c r="T40" i="22"/>
  <c r="Q35" i="22"/>
  <c r="T35" i="22"/>
  <c r="Q59" i="22"/>
  <c r="V59" i="22"/>
  <c r="V70" i="22"/>
  <c r="U13" i="22"/>
  <c r="U35" i="22"/>
  <c r="R4" i="22"/>
  <c r="B35" i="22"/>
  <c r="S40" i="22"/>
  <c r="R8" i="22"/>
  <c r="F61" i="22"/>
  <c r="T61" i="22"/>
  <c r="F24" i="22"/>
  <c r="R37" i="22"/>
  <c r="F6" i="22"/>
  <c r="Q6" i="22"/>
  <c r="F52" i="22"/>
  <c r="Q52" i="22"/>
  <c r="B69" i="22"/>
  <c r="F69" i="22"/>
  <c r="S10" i="22"/>
  <c r="M70" i="22"/>
  <c r="V45" i="22"/>
  <c r="N32" i="22"/>
  <c r="F54" i="22"/>
  <c r="S54" i="22"/>
  <c r="Q41" i="22"/>
  <c r="T41" i="22"/>
  <c r="M49" i="22"/>
  <c r="F49" i="22"/>
  <c r="Q49" i="22"/>
  <c r="N46" i="22"/>
  <c r="N29" i="22"/>
  <c r="S4" i="22"/>
  <c r="M35" i="22"/>
  <c r="F57" i="22"/>
  <c r="B8" i="22"/>
  <c r="R61" i="22"/>
  <c r="B24" i="22"/>
  <c r="M37" i="22"/>
  <c r="M6" i="22"/>
  <c r="R52" i="22"/>
  <c r="M69" i="22"/>
  <c r="B10" i="22"/>
  <c r="B70" i="22"/>
  <c r="R57" i="14"/>
  <c r="N70" i="22"/>
  <c r="B495" i="22"/>
  <c r="R495" i="22"/>
  <c r="M495" i="22"/>
  <c r="F495" i="22"/>
  <c r="F482" i="22"/>
  <c r="S482" i="22"/>
  <c r="M441" i="22"/>
  <c r="S441" i="22"/>
  <c r="R441" i="22"/>
  <c r="S392" i="22"/>
  <c r="M392" i="22"/>
  <c r="B392" i="22"/>
  <c r="M345" i="22"/>
  <c r="B345" i="22"/>
  <c r="F345" i="22"/>
  <c r="S307" i="22"/>
  <c r="F307" i="22"/>
  <c r="B307" i="22"/>
  <c r="S291" i="22"/>
  <c r="B291" i="22"/>
  <c r="M291" i="22"/>
  <c r="R291" i="22"/>
  <c r="B245" i="22"/>
  <c r="R245" i="22"/>
  <c r="F245" i="22"/>
  <c r="S245" i="22"/>
  <c r="M245" i="22"/>
  <c r="F244" i="22"/>
  <c r="M244" i="22"/>
  <c r="S244" i="22"/>
  <c r="S192" i="22"/>
  <c r="M192" i="22"/>
  <c r="F192" i="22"/>
  <c r="R192" i="22"/>
  <c r="S191" i="22"/>
  <c r="R191" i="22"/>
  <c r="B191" i="22"/>
  <c r="F191" i="22"/>
  <c r="B184" i="22"/>
  <c r="R184" i="22"/>
  <c r="M184" i="22"/>
  <c r="S184" i="22"/>
  <c r="F184" i="22"/>
  <c r="R176" i="22"/>
  <c r="S176" i="22"/>
  <c r="B176" i="22"/>
  <c r="M176" i="22"/>
  <c r="F176" i="22"/>
  <c r="B159" i="22"/>
  <c r="S159" i="22"/>
  <c r="M159" i="22"/>
  <c r="M150" i="22"/>
  <c r="B150" i="22"/>
  <c r="R150" i="22"/>
  <c r="M138" i="22"/>
  <c r="R138" i="22"/>
  <c r="F138" i="22"/>
  <c r="B132" i="22"/>
  <c r="R132" i="22"/>
  <c r="F132" i="22"/>
  <c r="M132" i="22"/>
  <c r="B124" i="22"/>
  <c r="M124" i="22"/>
  <c r="S124" i="22"/>
  <c r="F124" i="22"/>
  <c r="F116" i="22"/>
  <c r="S116" i="22"/>
  <c r="R116" i="22"/>
  <c r="M116" i="22"/>
  <c r="M107" i="22"/>
  <c r="R107" i="22"/>
  <c r="B107" i="22"/>
  <c r="S107" i="22"/>
  <c r="F107" i="22"/>
  <c r="M97" i="22"/>
  <c r="R97" i="22"/>
  <c r="F97" i="22"/>
  <c r="S97" i="22"/>
  <c r="B97" i="22"/>
  <c r="P78" i="14"/>
  <c r="M66" i="22"/>
  <c r="O71" i="22"/>
  <c r="C71" i="22"/>
  <c r="J71" i="22"/>
  <c r="U141" i="22"/>
  <c r="T321" i="22"/>
  <c r="V129" i="22"/>
  <c r="R482" i="22"/>
  <c r="M482" i="22"/>
  <c r="U339" i="22"/>
  <c r="V339" i="22"/>
  <c r="B482" i="22"/>
  <c r="B471" i="22"/>
  <c r="S471" i="22"/>
  <c r="R471" i="22"/>
  <c r="M471" i="22"/>
  <c r="B446" i="22"/>
  <c r="S446" i="22"/>
  <c r="F446" i="22"/>
  <c r="R446" i="22"/>
  <c r="R367" i="22"/>
  <c r="B367" i="22"/>
  <c r="M367" i="22"/>
  <c r="R321" i="22"/>
  <c r="M321" i="22"/>
  <c r="B321" i="22"/>
  <c r="S260" i="22"/>
  <c r="B260" i="22"/>
  <c r="R260" i="22"/>
  <c r="S220" i="22"/>
  <c r="M220" i="22"/>
  <c r="B220" i="22"/>
  <c r="F220" i="22"/>
  <c r="M219" i="22"/>
  <c r="S219" i="22"/>
  <c r="B219" i="22"/>
  <c r="R219" i="22"/>
  <c r="F219" i="22"/>
  <c r="B218" i="22"/>
  <c r="M218" i="22"/>
  <c r="B66" i="22"/>
  <c r="I71" i="22"/>
  <c r="L71" i="22"/>
  <c r="G71" i="22"/>
  <c r="T141" i="22"/>
  <c r="V207" i="22"/>
  <c r="U156" i="22"/>
  <c r="T483" i="22"/>
  <c r="U342" i="22"/>
  <c r="F441" i="22"/>
  <c r="B441" i="22"/>
  <c r="S345" i="22"/>
  <c r="B487" i="22"/>
  <c r="R487" i="22"/>
  <c r="S487" i="22"/>
  <c r="M487" i="22"/>
  <c r="R460" i="22"/>
  <c r="S460" i="22"/>
  <c r="B460" i="22"/>
  <c r="M460" i="22"/>
  <c r="F460" i="22"/>
  <c r="F459" i="22"/>
  <c r="M459" i="22"/>
  <c r="R459" i="22"/>
  <c r="M417" i="22"/>
  <c r="F417" i="22"/>
  <c r="R417" i="22"/>
  <c r="B417" i="22"/>
  <c r="S417" i="22"/>
  <c r="R374" i="22"/>
  <c r="S374" i="22"/>
  <c r="B374" i="22"/>
  <c r="F374" i="22"/>
  <c r="M373" i="22"/>
  <c r="B373" i="22"/>
  <c r="R373" i="22"/>
  <c r="S373" i="22"/>
  <c r="S265" i="22"/>
  <c r="B265" i="22"/>
  <c r="F265" i="22"/>
  <c r="B225" i="22"/>
  <c r="R225" i="22"/>
  <c r="S66" i="22"/>
  <c r="R168" i="14"/>
  <c r="E71" i="22"/>
  <c r="K71" i="22"/>
  <c r="S495" i="22"/>
  <c r="R392" i="22"/>
  <c r="S477" i="22"/>
  <c r="R477" i="22"/>
  <c r="B477" i="22"/>
  <c r="M477" i="22"/>
  <c r="F466" i="22"/>
  <c r="S466" i="22"/>
  <c r="B466" i="22"/>
  <c r="S426" i="22"/>
  <c r="B426" i="22"/>
  <c r="R426" i="22"/>
  <c r="F426" i="22"/>
  <c r="M426" i="22"/>
  <c r="R387" i="22"/>
  <c r="S387" i="22"/>
  <c r="B387" i="22"/>
  <c r="M387" i="22"/>
  <c r="F387" i="22"/>
  <c r="U387" i="22"/>
  <c r="B386" i="22"/>
  <c r="S386" i="22"/>
  <c r="M386" i="22"/>
  <c r="S339" i="22"/>
  <c r="R339" i="22"/>
  <c r="M339" i="22"/>
  <c r="B339" i="22"/>
  <c r="F279" i="22"/>
  <c r="M279" i="22"/>
  <c r="S279" i="22"/>
  <c r="R278" i="22"/>
  <c r="M278" i="22"/>
  <c r="F278" i="22"/>
  <c r="B237" i="22"/>
  <c r="R237" i="22"/>
  <c r="F237" i="22"/>
  <c r="M236" i="22"/>
  <c r="S236" i="22"/>
  <c r="B236" i="22"/>
  <c r="R252" i="22"/>
  <c r="M252" i="22"/>
  <c r="B229" i="22"/>
  <c r="R229" i="22"/>
  <c r="L180" i="14"/>
  <c r="P55" i="14"/>
  <c r="F490" i="22"/>
  <c r="V490" i="22"/>
  <c r="M490" i="22"/>
  <c r="R490" i="22"/>
  <c r="F402" i="22"/>
  <c r="B402" i="22"/>
  <c r="M334" i="22"/>
  <c r="R334" i="22"/>
  <c r="F233" i="22"/>
  <c r="S233" i="22"/>
  <c r="N486" i="22"/>
  <c r="R478" i="22"/>
  <c r="M478" i="22"/>
  <c r="F418" i="22"/>
  <c r="S418" i="22"/>
  <c r="F322" i="22"/>
  <c r="B322" i="22"/>
  <c r="B89" i="22"/>
  <c r="F89" i="22"/>
  <c r="R89" i="22"/>
  <c r="M89" i="22"/>
  <c r="M134" i="22"/>
  <c r="R134" i="22"/>
  <c r="V2" i="22"/>
  <c r="V41" i="22"/>
  <c r="T2" i="22"/>
  <c r="U41" i="22"/>
  <c r="V35" i="22"/>
  <c r="Q16" i="22"/>
  <c r="U166" i="22"/>
  <c r="U147" i="22"/>
  <c r="T258" i="22"/>
  <c r="T207" i="22"/>
  <c r="V137" i="22"/>
  <c r="U500" i="22"/>
  <c r="T342" i="22"/>
  <c r="T83" i="22"/>
  <c r="Q166" i="22"/>
  <c r="T147" i="22"/>
  <c r="V258" i="22"/>
  <c r="Q207" i="22"/>
  <c r="U137" i="22"/>
  <c r="Q500" i="22"/>
  <c r="Q431" i="22"/>
  <c r="U431" i="22"/>
  <c r="T178" i="22"/>
  <c r="U178" i="22"/>
  <c r="U129" i="22"/>
  <c r="U96" i="22"/>
  <c r="T128" i="22"/>
  <c r="U171" i="22"/>
  <c r="N54" i="22"/>
  <c r="N60" i="22"/>
  <c r="F60" i="22"/>
  <c r="U60" i="22"/>
  <c r="R60" i="22"/>
  <c r="B60" i="22"/>
  <c r="L175" i="14"/>
  <c r="P175" i="14"/>
  <c r="Q149" i="22"/>
  <c r="P174" i="14"/>
  <c r="L177" i="14"/>
  <c r="N38" i="22"/>
  <c r="F55" i="22"/>
  <c r="V55" i="22"/>
  <c r="M55" i="22"/>
  <c r="V110" i="22"/>
  <c r="T110" i="22"/>
  <c r="Q99" i="22"/>
  <c r="F80" i="22"/>
  <c r="T80" i="22"/>
  <c r="E16" i="15"/>
  <c r="R159" i="14"/>
  <c r="M80" i="22"/>
  <c r="U104" i="22"/>
  <c r="V212" i="22"/>
  <c r="V161" i="22"/>
  <c r="Q153" i="22"/>
  <c r="U103" i="22"/>
  <c r="U193" i="22"/>
  <c r="P28" i="22"/>
  <c r="K28" i="22"/>
  <c r="C28" i="22"/>
  <c r="J28" i="22"/>
  <c r="R56" i="14"/>
  <c r="H28" i="22"/>
  <c r="L28" i="22"/>
  <c r="O28" i="22"/>
  <c r="A28" i="22"/>
  <c r="D28" i="22"/>
  <c r="I28" i="22"/>
  <c r="E28" i="22"/>
  <c r="I495" i="12"/>
  <c r="K34" i="22"/>
  <c r="O34" i="22"/>
  <c r="G34" i="22"/>
  <c r="R62" i="14"/>
  <c r="L34" i="22"/>
  <c r="P34" i="22"/>
  <c r="J34" i="22"/>
  <c r="D34" i="22"/>
  <c r="H34" i="22"/>
  <c r="I34" i="22"/>
  <c r="A34" i="22"/>
  <c r="I566" i="12"/>
  <c r="C34" i="22"/>
  <c r="E34" i="22"/>
  <c r="M38" i="22"/>
  <c r="R38" i="22"/>
  <c r="T149" i="22"/>
  <c r="Q128" i="22"/>
  <c r="U112" i="22"/>
  <c r="U128" i="22"/>
  <c r="T94" i="22"/>
  <c r="M175" i="14"/>
  <c r="Q175" i="14"/>
  <c r="U83" i="22"/>
  <c r="T173" i="22"/>
  <c r="Q126" i="22"/>
  <c r="U212" i="22"/>
  <c r="Q161" i="22"/>
  <c r="U208" i="22"/>
  <c r="Q208" i="22"/>
  <c r="Q173" i="22"/>
  <c r="U130" i="22"/>
  <c r="V204" i="22"/>
  <c r="T99" i="22"/>
  <c r="T103" i="22"/>
  <c r="Q197" i="22"/>
  <c r="Q204" i="22"/>
  <c r="V83" i="22"/>
  <c r="U204" i="22"/>
  <c r="V155" i="22"/>
  <c r="U108" i="22"/>
  <c r="V197" i="22"/>
  <c r="T212" i="22"/>
  <c r="U197" i="22"/>
  <c r="T161" i="22"/>
  <c r="T115" i="22"/>
  <c r="U175" i="22"/>
  <c r="V175" i="22"/>
  <c r="T142" i="22"/>
  <c r="V142" i="22"/>
  <c r="T170" i="22"/>
  <c r="Q110" i="22"/>
  <c r="U206" i="22"/>
  <c r="Q170" i="22"/>
  <c r="E17" i="15"/>
  <c r="T118" i="22"/>
  <c r="U198" i="22"/>
  <c r="T198" i="22"/>
  <c r="V118" i="22"/>
  <c r="Q129" i="22"/>
  <c r="T225" i="22"/>
  <c r="U170" i="22"/>
  <c r="V225" i="22"/>
  <c r="V171" i="22"/>
  <c r="V136" i="22"/>
  <c r="U225" i="22"/>
  <c r="V96" i="22"/>
  <c r="T171" i="22"/>
  <c r="T96" i="22"/>
  <c r="Q103" i="22"/>
  <c r="V99" i="22"/>
  <c r="V125" i="22"/>
  <c r="Q115" i="22"/>
  <c r="Q175" i="22"/>
  <c r="N80" i="22"/>
  <c r="N44" i="22"/>
  <c r="T153" i="22"/>
  <c r="U126" i="22"/>
  <c r="V126" i="22"/>
  <c r="V208" i="22"/>
  <c r="U153" i="22"/>
  <c r="V253" i="22"/>
  <c r="V173" i="22"/>
  <c r="Q260" i="22"/>
  <c r="U142" i="22"/>
  <c r="V94" i="22"/>
  <c r="U125" i="22"/>
  <c r="Q139" i="22"/>
  <c r="U139" i="22"/>
  <c r="Q135" i="22"/>
  <c r="T135" i="22"/>
  <c r="V135" i="22"/>
  <c r="V123" i="22"/>
  <c r="V149" i="22"/>
  <c r="T206" i="22"/>
  <c r="U94" i="22"/>
  <c r="T123" i="22"/>
  <c r="V206" i="22"/>
  <c r="U123" i="22"/>
  <c r="T125" i="22"/>
  <c r="T112" i="22"/>
  <c r="V260" i="22"/>
  <c r="V139" i="22"/>
  <c r="T88" i="22"/>
  <c r="Q136" i="22"/>
  <c r="Q189" i="22"/>
  <c r="T136" i="22"/>
  <c r="U118" i="22"/>
  <c r="Q108" i="22"/>
  <c r="Q104" i="22"/>
  <c r="T260" i="22"/>
  <c r="Q112" i="22"/>
  <c r="U167" i="22"/>
  <c r="T130" i="22"/>
  <c r="U189" i="22"/>
  <c r="Q198" i="22"/>
  <c r="V104" i="22"/>
  <c r="U155" i="22"/>
  <c r="V200" i="22"/>
  <c r="U253" i="22"/>
  <c r="Q200" i="22"/>
  <c r="Q167" i="22"/>
  <c r="Q253" i="22"/>
  <c r="T167" i="22"/>
  <c r="Q130" i="22"/>
  <c r="V189" i="22"/>
  <c r="T108" i="22"/>
  <c r="U95" i="22"/>
  <c r="Q155" i="22"/>
  <c r="U115" i="22"/>
  <c r="Q88" i="22"/>
  <c r="Q407" i="22"/>
  <c r="V151" i="22"/>
  <c r="Q151" i="22"/>
  <c r="U88" i="22"/>
  <c r="T151" i="22"/>
  <c r="T428" i="22"/>
  <c r="Q428" i="22"/>
  <c r="U211" i="22"/>
  <c r="Q211" i="22"/>
  <c r="V211" i="22"/>
  <c r="V159" i="22"/>
  <c r="U159" i="22"/>
  <c r="V106" i="22"/>
  <c r="T183" i="22"/>
  <c r="V119" i="22"/>
  <c r="T152" i="22"/>
  <c r="U315" i="22"/>
  <c r="T349" i="22"/>
  <c r="Q159" i="22"/>
  <c r="T157" i="22"/>
  <c r="V157" i="22"/>
  <c r="V246" i="22"/>
  <c r="V148" i="22"/>
  <c r="Q148" i="22"/>
  <c r="V367" i="22"/>
  <c r="U174" i="22"/>
  <c r="U378" i="22"/>
  <c r="Q264" i="22"/>
  <c r="V250" i="22"/>
  <c r="U267" i="22"/>
  <c r="U405" i="22"/>
  <c r="V217" i="22"/>
  <c r="Q223" i="22"/>
  <c r="T350" i="22"/>
  <c r="U250" i="22"/>
  <c r="Q261" i="22"/>
  <c r="V105" i="22"/>
  <c r="Q152" i="22"/>
  <c r="V261" i="22"/>
  <c r="Q146" i="22"/>
  <c r="U92" i="22"/>
  <c r="T415" i="22"/>
  <c r="T205" i="22"/>
  <c r="U4" i="22"/>
  <c r="T148" i="22"/>
  <c r="U152" i="22"/>
  <c r="V434" i="22"/>
  <c r="U261" i="22"/>
  <c r="U157" i="22"/>
  <c r="U117" i="22"/>
  <c r="Q415" i="22"/>
  <c r="U217" i="22"/>
  <c r="V407" i="22"/>
  <c r="T250" i="22"/>
  <c r="Q267" i="22"/>
  <c r="U205" i="22"/>
  <c r="Q436" i="22"/>
  <c r="U407" i="22"/>
  <c r="V428" i="22"/>
  <c r="V315" i="22"/>
  <c r="Q315" i="22"/>
  <c r="V395" i="22"/>
  <c r="U385" i="22"/>
  <c r="V349" i="22"/>
  <c r="U120" i="22"/>
  <c r="V399" i="22"/>
  <c r="V257" i="22"/>
  <c r="T333" i="22"/>
  <c r="T4" i="22"/>
  <c r="U341" i="22"/>
  <c r="V390" i="22"/>
  <c r="Q4" i="22"/>
  <c r="V234" i="22"/>
  <c r="U276" i="22"/>
  <c r="U241" i="22"/>
  <c r="Q234" i="22"/>
  <c r="U337" i="22"/>
  <c r="Q215" i="22"/>
  <c r="U395" i="22"/>
  <c r="T241" i="22"/>
  <c r="T348" i="22"/>
  <c r="U358" i="22"/>
  <c r="T289" i="22"/>
  <c r="V351" i="22"/>
  <c r="T360" i="22"/>
  <c r="Q351" i="22"/>
  <c r="U399" i="22"/>
  <c r="U351" i="22"/>
  <c r="Q241" i="22"/>
  <c r="Q451" i="22"/>
  <c r="U144" i="22"/>
  <c r="Q327" i="22"/>
  <c r="U247" i="22"/>
  <c r="T242" i="22"/>
  <c r="V186" i="22"/>
  <c r="T102" i="22"/>
  <c r="Q102" i="22"/>
  <c r="V196" i="22"/>
  <c r="U196" i="22"/>
  <c r="Q91" i="22"/>
  <c r="T327" i="22"/>
  <c r="V386" i="22"/>
  <c r="Q269" i="22"/>
  <c r="Q300" i="22"/>
  <c r="Q352" i="22"/>
  <c r="V91" i="22"/>
  <c r="U308" i="22"/>
  <c r="T90" i="22"/>
  <c r="U480" i="22"/>
  <c r="T330" i="22"/>
  <c r="T476" i="22"/>
  <c r="V416" i="22"/>
  <c r="Q114" i="22"/>
  <c r="U268" i="22"/>
  <c r="T416" i="22"/>
  <c r="U409" i="22"/>
  <c r="Q421" i="22"/>
  <c r="V218" i="22"/>
  <c r="V496" i="22"/>
  <c r="T420" i="22"/>
  <c r="T91" i="22"/>
  <c r="Q144" i="22"/>
  <c r="T290" i="22"/>
  <c r="T215" i="22"/>
  <c r="Q247" i="22"/>
  <c r="V102" i="22"/>
  <c r="V391" i="22"/>
  <c r="Q434" i="22"/>
  <c r="T496" i="22"/>
  <c r="T434" i="22"/>
  <c r="V451" i="22"/>
  <c r="Q186" i="22"/>
  <c r="T405" i="22"/>
  <c r="T144" i="22"/>
  <c r="T247" i="22"/>
  <c r="T269" i="22"/>
  <c r="U269" i="22"/>
  <c r="Q196" i="22"/>
  <c r="V120" i="22"/>
  <c r="V420" i="22"/>
  <c r="U86" i="22"/>
  <c r="T186" i="22"/>
  <c r="V405" i="22"/>
  <c r="Q433" i="22"/>
  <c r="T120" i="22"/>
  <c r="U393" i="22"/>
  <c r="U215" i="22"/>
  <c r="Q239" i="22"/>
  <c r="Q246" i="22"/>
  <c r="T385" i="22"/>
  <c r="V415" i="22"/>
  <c r="V368" i="22"/>
  <c r="Q396" i="22"/>
  <c r="U106" i="22"/>
  <c r="T146" i="22"/>
  <c r="T329" i="22"/>
  <c r="Q329" i="22"/>
  <c r="Q311" i="22"/>
  <c r="U246" i="22"/>
  <c r="V113" i="22"/>
  <c r="V436" i="22"/>
  <c r="U398" i="22"/>
  <c r="Q390" i="22"/>
  <c r="V327" i="22"/>
  <c r="V223" i="22"/>
  <c r="U349" i="22"/>
  <c r="U121" i="22"/>
  <c r="Q290" i="22"/>
  <c r="U372" i="22"/>
  <c r="T311" i="22"/>
  <c r="Q328" i="22"/>
  <c r="V308" i="22"/>
  <c r="U236" i="22"/>
  <c r="V300" i="22"/>
  <c r="T308" i="22"/>
  <c r="Q236" i="22"/>
  <c r="U436" i="22"/>
  <c r="T267" i="22"/>
  <c r="U201" i="22"/>
  <c r="Q385" i="22"/>
  <c r="Q113" i="22"/>
  <c r="Q341" i="22"/>
  <c r="U311" i="22"/>
  <c r="T113" i="22"/>
  <c r="Q395" i="22"/>
  <c r="U348" i="22"/>
  <c r="Q348" i="22"/>
  <c r="V358" i="22"/>
  <c r="T341" i="22"/>
  <c r="V121" i="22"/>
  <c r="T172" i="22"/>
  <c r="U360" i="22"/>
  <c r="Q340" i="22"/>
  <c r="V114" i="22"/>
  <c r="T358" i="22"/>
  <c r="T378" i="22"/>
  <c r="U146" i="22"/>
  <c r="Q106" i="22"/>
  <c r="U329" i="22"/>
  <c r="T217" i="22"/>
  <c r="T324" i="22"/>
  <c r="T390" i="22"/>
  <c r="U223" i="22"/>
  <c r="V378" i="22"/>
  <c r="U114" i="22"/>
  <c r="T121" i="22"/>
  <c r="T372" i="22"/>
  <c r="T328" i="22"/>
  <c r="V236" i="22"/>
  <c r="V372" i="22"/>
  <c r="U300" i="22"/>
  <c r="U328" i="22"/>
  <c r="V360" i="22"/>
  <c r="Q381" i="22"/>
  <c r="Q231" i="22"/>
  <c r="V389" i="22"/>
  <c r="U354" i="22"/>
  <c r="V226" i="22"/>
  <c r="T174" i="22"/>
  <c r="V202" i="22"/>
  <c r="V413" i="22"/>
  <c r="Q432" i="22"/>
  <c r="V411" i="22"/>
  <c r="Q411" i="22"/>
  <c r="V255" i="22"/>
  <c r="Q347" i="22"/>
  <c r="U270" i="22"/>
  <c r="T412" i="22"/>
  <c r="U499" i="22"/>
  <c r="T283" i="22"/>
  <c r="V214" i="22"/>
  <c r="T287" i="22"/>
  <c r="T234" i="22"/>
  <c r="Q133" i="22"/>
  <c r="V133" i="22"/>
  <c r="T133" i="22"/>
  <c r="Q201" i="22"/>
  <c r="T319" i="22"/>
  <c r="V432" i="22"/>
  <c r="Q174" i="22"/>
  <c r="T201" i="22"/>
  <c r="Q318" i="22"/>
  <c r="Q309" i="22"/>
  <c r="T92" i="22"/>
  <c r="V350" i="22"/>
  <c r="T439" i="22"/>
  <c r="U44" i="22"/>
  <c r="U414" i="22"/>
  <c r="Q154" i="22"/>
  <c r="T370" i="22"/>
  <c r="U371" i="22"/>
  <c r="V370" i="22"/>
  <c r="V355" i="22"/>
  <c r="U51" i="22"/>
  <c r="T119" i="22"/>
  <c r="Q295" i="22"/>
  <c r="T154" i="22"/>
  <c r="U119" i="22"/>
  <c r="U277" i="22"/>
  <c r="U287" i="22"/>
  <c r="Q117" i="22"/>
  <c r="Q205" i="22"/>
  <c r="T440" i="22"/>
  <c r="T51" i="22"/>
  <c r="T318" i="22"/>
  <c r="Q470" i="22"/>
  <c r="U154" i="22"/>
  <c r="Q92" i="22"/>
  <c r="U319" i="22"/>
  <c r="Q456" i="22"/>
  <c r="U228" i="22"/>
  <c r="Q355" i="22"/>
  <c r="U240" i="22"/>
  <c r="T117" i="22"/>
  <c r="T331" i="22"/>
  <c r="T363" i="22"/>
  <c r="Q476" i="22"/>
  <c r="T193" i="22"/>
  <c r="V193" i="22"/>
  <c r="T105" i="22"/>
  <c r="U105" i="22"/>
  <c r="U384" i="22"/>
  <c r="V264" i="22"/>
  <c r="Q335" i="22"/>
  <c r="U380" i="22"/>
  <c r="Q287" i="22"/>
  <c r="T44" i="22"/>
  <c r="V283" i="22"/>
  <c r="V371" i="22"/>
  <c r="U163" i="22"/>
  <c r="T371" i="22"/>
  <c r="U479" i="22"/>
  <c r="V437" i="22"/>
  <c r="U437" i="22"/>
  <c r="Q90" i="22"/>
  <c r="T264" i="22"/>
  <c r="T494" i="22"/>
  <c r="Q51" i="22"/>
  <c r="T150" i="22"/>
  <c r="Q257" i="22"/>
  <c r="T435" i="22"/>
  <c r="V285" i="22"/>
  <c r="Q389" i="22"/>
  <c r="Q380" i="22"/>
  <c r="U347" i="22"/>
  <c r="Q331" i="22"/>
  <c r="Q273" i="22"/>
  <c r="V238" i="22"/>
  <c r="T163" i="22"/>
  <c r="U309" i="22"/>
  <c r="T238" i="22"/>
  <c r="U273" i="22"/>
  <c r="T456" i="22"/>
  <c r="Q359" i="22"/>
  <c r="U283" i="22"/>
  <c r="T394" i="22"/>
  <c r="U400" i="22"/>
  <c r="V18" i="22"/>
  <c r="V302" i="22"/>
  <c r="Q163" i="22"/>
  <c r="T326" i="22"/>
  <c r="U359" i="22"/>
  <c r="V397" i="22"/>
  <c r="U289" i="22"/>
  <c r="Q413" i="22"/>
  <c r="Q384" i="22"/>
  <c r="Q399" i="22"/>
  <c r="T268" i="22"/>
  <c r="U439" i="22"/>
  <c r="T18" i="22"/>
  <c r="U331" i="22"/>
  <c r="U18" i="22"/>
  <c r="V295" i="22"/>
  <c r="U432" i="22"/>
  <c r="T277" i="22"/>
  <c r="V239" i="22"/>
  <c r="Q439" i="22"/>
  <c r="Q150" i="22"/>
  <c r="U413" i="22"/>
  <c r="V380" i="22"/>
  <c r="Q277" i="22"/>
  <c r="V456" i="22"/>
  <c r="U335" i="22"/>
  <c r="U318" i="22"/>
  <c r="Q86" i="22"/>
  <c r="Q44" i="22"/>
  <c r="V359" i="22"/>
  <c r="Q228" i="22"/>
  <c r="Q350" i="22"/>
  <c r="Q370" i="22"/>
  <c r="Q271" i="22"/>
  <c r="Q398" i="22"/>
  <c r="V273" i="22"/>
  <c r="Q238" i="22"/>
  <c r="V400" i="22"/>
  <c r="Q218" i="22"/>
  <c r="V298" i="22"/>
  <c r="U388" i="22"/>
  <c r="V228" i="22"/>
  <c r="T297" i="22"/>
  <c r="U214" i="22"/>
  <c r="V419" i="22"/>
  <c r="T406" i="22"/>
  <c r="V268" i="22"/>
  <c r="T335" i="22"/>
  <c r="U397" i="22"/>
  <c r="T295" i="22"/>
  <c r="U296" i="22"/>
  <c r="V289" i="22"/>
  <c r="T218" i="22"/>
  <c r="T296" i="22"/>
  <c r="T187" i="22"/>
  <c r="T388" i="22"/>
  <c r="V309" i="22"/>
  <c r="Q296" i="22"/>
  <c r="V336" i="22"/>
  <c r="Q440" i="22"/>
  <c r="V440" i="22"/>
  <c r="V481" i="22"/>
  <c r="Q26" i="22"/>
  <c r="V396" i="22"/>
  <c r="U150" i="22"/>
  <c r="T445" i="22"/>
  <c r="V86" i="22"/>
  <c r="Q406" i="22"/>
  <c r="V297" i="22"/>
  <c r="T419" i="22"/>
  <c r="T286" i="22"/>
  <c r="V398" i="22"/>
  <c r="U355" i="22"/>
  <c r="V325" i="22"/>
  <c r="Q240" i="22"/>
  <c r="V187" i="22"/>
  <c r="Q343" i="22"/>
  <c r="T288" i="22"/>
  <c r="Q305" i="22"/>
  <c r="V172" i="22"/>
  <c r="V305" i="22"/>
  <c r="V384" i="22"/>
  <c r="V230" i="22"/>
  <c r="U239" i="22"/>
  <c r="U396" i="22"/>
  <c r="T470" i="22"/>
  <c r="V406" i="22"/>
  <c r="T271" i="22"/>
  <c r="V90" i="22"/>
  <c r="U325" i="22"/>
  <c r="U419" i="22"/>
  <c r="U271" i="22"/>
  <c r="U363" i="22"/>
  <c r="T316" i="22"/>
  <c r="Q394" i="22"/>
  <c r="V394" i="22"/>
  <c r="V337" i="22"/>
  <c r="Q313" i="22"/>
  <c r="T231" i="22"/>
  <c r="V492" i="22"/>
  <c r="T343" i="22"/>
  <c r="Q293" i="22"/>
  <c r="U32" i="22"/>
  <c r="T479" i="22"/>
  <c r="Q400" i="22"/>
  <c r="T397" i="22"/>
  <c r="T214" i="22"/>
  <c r="Q479" i="22"/>
  <c r="M178" i="14"/>
  <c r="Q178" i="14"/>
  <c r="R58" i="22"/>
  <c r="S58" i="22"/>
  <c r="F58" i="22"/>
  <c r="U257" i="22"/>
  <c r="Q333" i="22"/>
  <c r="Q230" i="22"/>
  <c r="T313" i="22"/>
  <c r="T26" i="22"/>
  <c r="U445" i="22"/>
  <c r="V248" i="22"/>
  <c r="U472" i="22"/>
  <c r="Q363" i="22"/>
  <c r="U316" i="22"/>
  <c r="V347" i="22"/>
  <c r="V286" i="22"/>
  <c r="Q297" i="22"/>
  <c r="T325" i="22"/>
  <c r="V293" i="22"/>
  <c r="V240" i="22"/>
  <c r="V388" i="22"/>
  <c r="T305" i="22"/>
  <c r="V376" i="22"/>
  <c r="Q286" i="22"/>
  <c r="U230" i="22"/>
  <c r="U288" i="22"/>
  <c r="V354" i="22"/>
  <c r="Q288" i="22"/>
  <c r="T302" i="22"/>
  <c r="T340" i="22"/>
  <c r="Q376" i="22"/>
  <c r="U172" i="22"/>
  <c r="U492" i="22"/>
  <c r="Q354" i="22"/>
  <c r="U231" i="22"/>
  <c r="V340" i="22"/>
  <c r="T336" i="22"/>
  <c r="U336" i="22"/>
  <c r="U26" i="22"/>
  <c r="V445" i="22"/>
  <c r="Q285" i="22"/>
  <c r="V333" i="22"/>
  <c r="T472" i="22"/>
  <c r="U293" i="22"/>
  <c r="Q298" i="22"/>
  <c r="V316" i="22"/>
  <c r="Q337" i="22"/>
  <c r="U376" i="22"/>
  <c r="V343" i="22"/>
  <c r="Q492" i="22"/>
  <c r="Q338" i="22"/>
  <c r="Q319" i="22"/>
  <c r="U338" i="22"/>
  <c r="T298" i="22"/>
  <c r="T389" i="22"/>
  <c r="T285" i="22"/>
  <c r="Q472" i="22"/>
  <c r="Q302" i="22"/>
  <c r="V313" i="22"/>
  <c r="T338" i="22"/>
  <c r="T332" i="22"/>
  <c r="U484" i="22"/>
  <c r="Q243" i="22"/>
  <c r="U357" i="22"/>
  <c r="U332" i="22"/>
  <c r="T227" i="22"/>
  <c r="V324" i="22"/>
  <c r="V353" i="22"/>
  <c r="U412" i="22"/>
  <c r="Q143" i="22"/>
  <c r="Q195" i="22"/>
  <c r="V222" i="22"/>
  <c r="Q255" i="22"/>
  <c r="Q473" i="22"/>
  <c r="Q412" i="22"/>
  <c r="Q367" i="22"/>
  <c r="U411" i="22"/>
  <c r="U386" i="22"/>
  <c r="Q323" i="22"/>
  <c r="Q386" i="22"/>
  <c r="Q226" i="22"/>
  <c r="V488" i="22"/>
  <c r="T437" i="22"/>
  <c r="Q202" i="22"/>
  <c r="V301" i="22"/>
  <c r="Q242" i="22"/>
  <c r="U182" i="22"/>
  <c r="U356" i="22"/>
  <c r="T8" i="22"/>
  <c r="V282" i="22"/>
  <c r="Q8" i="22"/>
  <c r="T368" i="22"/>
  <c r="U352" i="22"/>
  <c r="U381" i="22"/>
  <c r="V270" i="22"/>
  <c r="Q368" i="22"/>
  <c r="Q356" i="22"/>
  <c r="T379" i="22"/>
  <c r="T484" i="22"/>
  <c r="Q484" i="22"/>
  <c r="V8" i="22"/>
  <c r="T243" i="22"/>
  <c r="Q391" i="22"/>
  <c r="T461" i="22"/>
  <c r="U222" i="22"/>
  <c r="V499" i="22"/>
  <c r="T143" i="22"/>
  <c r="T195" i="22"/>
  <c r="V276" i="22"/>
  <c r="U473" i="22"/>
  <c r="U367" i="22"/>
  <c r="V290" i="22"/>
  <c r="T353" i="22"/>
  <c r="T323" i="22"/>
  <c r="U461" i="22"/>
  <c r="U488" i="22"/>
  <c r="Q182" i="22"/>
  <c r="U202" i="22"/>
  <c r="T301" i="22"/>
  <c r="V182" i="22"/>
  <c r="Q294" i="22"/>
  <c r="Q332" i="22"/>
  <c r="U379" i="22"/>
  <c r="U243" i="22"/>
  <c r="T357" i="22"/>
  <c r="Q324" i="22"/>
  <c r="Q414" i="22"/>
  <c r="V414" i="22"/>
  <c r="U195" i="22"/>
  <c r="V461" i="22"/>
  <c r="U143" i="22"/>
  <c r="Q276" i="22"/>
  <c r="Q379" i="22"/>
  <c r="Q357" i="22"/>
  <c r="Q270" i="22"/>
  <c r="Q222" i="22"/>
  <c r="Q499" i="22"/>
  <c r="U353" i="22"/>
  <c r="U323" i="22"/>
  <c r="T488" i="22"/>
  <c r="Q187" i="22"/>
  <c r="V242" i="22"/>
  <c r="U391" i="22"/>
  <c r="U226" i="22"/>
  <c r="Q326" i="22"/>
  <c r="T294" i="22"/>
  <c r="T352" i="22"/>
  <c r="U294" i="22"/>
  <c r="U255" i="22"/>
  <c r="T381" i="22"/>
  <c r="U301" i="22"/>
  <c r="V356" i="22"/>
  <c r="J68" i="22"/>
  <c r="T314" i="22"/>
  <c r="U314" i="22"/>
  <c r="V314" i="22"/>
  <c r="T473" i="22"/>
  <c r="Q227" i="22"/>
  <c r="Q464" i="22"/>
  <c r="V326" i="22"/>
  <c r="V449" i="22"/>
  <c r="Q481" i="22"/>
  <c r="U494" i="22"/>
  <c r="U481" i="22"/>
  <c r="T447" i="22"/>
  <c r="V494" i="22"/>
  <c r="U274" i="22"/>
  <c r="V476" i="22"/>
  <c r="U401" i="22"/>
  <c r="U416" i="22"/>
  <c r="T433" i="22"/>
  <c r="Q409" i="22"/>
  <c r="T87" i="22"/>
  <c r="Q140" i="22"/>
  <c r="Q420" i="22"/>
  <c r="Q496" i="22"/>
  <c r="V421" i="22"/>
  <c r="T203" i="22"/>
  <c r="V98" i="22"/>
  <c r="Q443" i="22"/>
  <c r="V433" i="22"/>
  <c r="T455" i="22"/>
  <c r="V463" i="22"/>
  <c r="T393" i="22"/>
  <c r="V393" i="22"/>
  <c r="Q427" i="22"/>
  <c r="V183" i="22"/>
  <c r="U98" i="22"/>
  <c r="Q254" i="22"/>
  <c r="V409" i="22"/>
  <c r="Q480" i="22"/>
  <c r="T140" i="22"/>
  <c r="T421" i="22"/>
  <c r="T480" i="22"/>
  <c r="U140" i="22"/>
  <c r="V468" i="22"/>
  <c r="Q468" i="22"/>
  <c r="U443" i="22"/>
  <c r="T451" i="22"/>
  <c r="T98" i="22"/>
  <c r="T254" i="22"/>
  <c r="U468" i="22"/>
  <c r="U87" i="22"/>
  <c r="U455" i="22"/>
  <c r="Q87" i="22"/>
  <c r="Q334" i="22"/>
  <c r="U183" i="22"/>
  <c r="U254" i="22"/>
  <c r="V232" i="22"/>
  <c r="Q203" i="22"/>
  <c r="T443" i="22"/>
  <c r="Q447" i="22"/>
  <c r="V435" i="22"/>
  <c r="T491" i="22"/>
  <c r="Q435" i="22"/>
  <c r="Q248" i="22"/>
  <c r="U438" i="22"/>
  <c r="U248" i="22"/>
  <c r="Q449" i="22"/>
  <c r="V438" i="22"/>
  <c r="U491" i="22"/>
  <c r="Q491" i="22"/>
  <c r="T449" i="22"/>
  <c r="Q19" i="22"/>
  <c r="Q438" i="22"/>
  <c r="U19" i="22"/>
  <c r="V447" i="22"/>
  <c r="T19" i="22"/>
  <c r="Q282" i="22"/>
  <c r="U282" i="22"/>
  <c r="E19" i="15"/>
  <c r="C72" i="22"/>
  <c r="E72" i="22"/>
  <c r="J72" i="22"/>
  <c r="L72" i="22"/>
  <c r="P72" i="22"/>
  <c r="C18" i="15"/>
  <c r="G18" i="15"/>
  <c r="A72" i="22"/>
  <c r="D72" i="22"/>
  <c r="H72" i="22"/>
  <c r="K72" i="22"/>
  <c r="O72" i="22"/>
  <c r="I72" i="22"/>
  <c r="Q131" i="22"/>
  <c r="T131" i="22"/>
  <c r="U131" i="22"/>
  <c r="V131" i="22"/>
  <c r="T292" i="22"/>
  <c r="U292" i="22"/>
  <c r="V292" i="22"/>
  <c r="Q292" i="22"/>
  <c r="R71" i="22"/>
  <c r="R169" i="14"/>
  <c r="V227" i="22"/>
  <c r="U458" i="22"/>
  <c r="V422" i="22"/>
  <c r="V470" i="22"/>
  <c r="Q498" i="22"/>
  <c r="U498" i="22"/>
  <c r="T498" i="22"/>
  <c r="U485" i="22"/>
  <c r="U474" i="22"/>
  <c r="U188" i="22"/>
  <c r="T188" i="22"/>
  <c r="V485" i="22"/>
  <c r="V180" i="22"/>
  <c r="Q474" i="22"/>
  <c r="V458" i="22"/>
  <c r="T474" i="22"/>
  <c r="V190" i="22"/>
  <c r="U190" i="22"/>
  <c r="Q190" i="22"/>
  <c r="T190" i="22"/>
  <c r="V275" i="22"/>
  <c r="U275" i="22"/>
  <c r="T275" i="22"/>
  <c r="Q275" i="22"/>
  <c r="V330" i="22"/>
  <c r="Q330" i="22"/>
  <c r="V272" i="22"/>
  <c r="T272" i="22"/>
  <c r="U272" i="22"/>
  <c r="Q272" i="22"/>
  <c r="N71" i="22"/>
  <c r="V464" i="22"/>
  <c r="T280" i="22"/>
  <c r="Q31" i="22"/>
  <c r="V317" i="22"/>
  <c r="Q458" i="22"/>
  <c r="Q429" i="22"/>
  <c r="V444" i="22"/>
  <c r="T101" i="22"/>
  <c r="U210" i="22"/>
  <c r="V224" i="22"/>
  <c r="T33" i="22"/>
  <c r="T5" i="22"/>
  <c r="T47" i="22"/>
  <c r="V404" i="22"/>
  <c r="Q382" i="22"/>
  <c r="U64" i="22"/>
  <c r="U11" i="22"/>
  <c r="Q467" i="22"/>
  <c r="U362" i="22"/>
  <c r="T274" i="22"/>
  <c r="T334" i="22"/>
  <c r="T497" i="22"/>
  <c r="V427" i="22"/>
  <c r="V334" i="22"/>
  <c r="Q401" i="22"/>
  <c r="Q497" i="22"/>
  <c r="V203" i="22"/>
  <c r="V179" i="22"/>
  <c r="U179" i="22"/>
  <c r="T232" i="22"/>
  <c r="Q364" i="22"/>
  <c r="U465" i="22"/>
  <c r="Q403" i="22"/>
  <c r="T403" i="22"/>
  <c r="T364" i="22"/>
  <c r="U232" i="22"/>
  <c r="U427" i="22"/>
  <c r="U364" i="22"/>
  <c r="T179" i="22"/>
  <c r="T465" i="22"/>
  <c r="Q463" i="22"/>
  <c r="Q465" i="22"/>
  <c r="T463" i="22"/>
  <c r="T32" i="22"/>
  <c r="V274" i="22"/>
  <c r="Q32" i="22"/>
  <c r="Q455" i="22"/>
  <c r="U403" i="22"/>
  <c r="V401" i="22"/>
  <c r="T493" i="22"/>
  <c r="Q404" i="22"/>
  <c r="V168" i="22"/>
  <c r="Q462" i="22"/>
  <c r="V43" i="22"/>
  <c r="T43" i="22"/>
  <c r="Q320" i="22"/>
  <c r="U404" i="22"/>
  <c r="V64" i="22"/>
  <c r="T462" i="22"/>
  <c r="Q362" i="22"/>
  <c r="Q64" i="22"/>
  <c r="T109" i="22"/>
  <c r="U462" i="22"/>
  <c r="Q43" i="22"/>
  <c r="Q14" i="22"/>
  <c r="Q346" i="22"/>
  <c r="V320" i="22"/>
  <c r="T14" i="22"/>
  <c r="Q469" i="22"/>
  <c r="Q109" i="22"/>
  <c r="V382" i="22"/>
  <c r="V408" i="22"/>
  <c r="T467" i="22"/>
  <c r="Q408" i="22"/>
  <c r="U14" i="22"/>
  <c r="U320" i="22"/>
  <c r="U382" i="22"/>
  <c r="U109" i="22"/>
  <c r="T408" i="22"/>
  <c r="T362" i="22"/>
  <c r="V467" i="22"/>
  <c r="U486" i="22"/>
  <c r="V486" i="22"/>
  <c r="Q361" i="22"/>
  <c r="V249" i="22"/>
  <c r="T454" i="22"/>
  <c r="T75" i="22"/>
  <c r="U75" i="22"/>
  <c r="U361" i="22"/>
  <c r="Q457" i="22"/>
  <c r="T383" i="22"/>
  <c r="T317" i="22"/>
  <c r="V181" i="22"/>
  <c r="T181" i="22"/>
  <c r="U181" i="22"/>
  <c r="Q181" i="22"/>
  <c r="T259" i="22"/>
  <c r="V259" i="22"/>
  <c r="Q259" i="22"/>
  <c r="U259" i="22"/>
  <c r="T486" i="22"/>
  <c r="Q5" i="22"/>
  <c r="V280" i="22"/>
  <c r="V306" i="22"/>
  <c r="T361" i="22"/>
  <c r="Q485" i="22"/>
  <c r="V210" i="22"/>
  <c r="T210" i="22"/>
  <c r="T366" i="22"/>
  <c r="U429" i="22"/>
  <c r="U306" i="22"/>
  <c r="U444" i="22"/>
  <c r="T457" i="22"/>
  <c r="U101" i="22"/>
  <c r="Q224" i="22"/>
  <c r="T306" i="22"/>
  <c r="Q180" i="22"/>
  <c r="T464" i="22"/>
  <c r="Q188" i="22"/>
  <c r="V366" i="22"/>
  <c r="V383" i="22"/>
  <c r="Q383" i="22"/>
  <c r="U168" i="22"/>
  <c r="T168" i="22"/>
  <c r="T346" i="22"/>
  <c r="U346" i="22"/>
  <c r="U169" i="22"/>
  <c r="V169" i="22"/>
  <c r="Q169" i="22"/>
  <c r="T169" i="22"/>
  <c r="U317" i="22"/>
  <c r="V5" i="22"/>
  <c r="V429" i="22"/>
  <c r="T180" i="22"/>
  <c r="V101" i="22"/>
  <c r="U457" i="22"/>
  <c r="Q280" i="22"/>
  <c r="U224" i="22"/>
  <c r="Q444" i="22"/>
  <c r="Q366" i="22"/>
  <c r="V304" i="22"/>
  <c r="U304" i="22"/>
  <c r="Q304" i="22"/>
  <c r="T304" i="22"/>
  <c r="T6" i="22"/>
  <c r="V453" i="22"/>
  <c r="T303" i="22"/>
  <c r="Q478" i="22"/>
  <c r="V17" i="22"/>
  <c r="Q74" i="22"/>
  <c r="Q10" i="22"/>
  <c r="V365" i="22"/>
  <c r="U450" i="22"/>
  <c r="T17" i="22"/>
  <c r="Q66" i="22"/>
  <c r="T448" i="22"/>
  <c r="Q423" i="22"/>
  <c r="U15" i="22"/>
  <c r="V478" i="22"/>
  <c r="U422" i="22"/>
  <c r="V50" i="22"/>
  <c r="U453" i="22"/>
  <c r="V33" i="22"/>
  <c r="T9" i="22"/>
  <c r="U38" i="22"/>
  <c r="V38" i="22"/>
  <c r="U9" i="22"/>
  <c r="U63" i="22"/>
  <c r="T422" i="22"/>
  <c r="T25" i="22"/>
  <c r="U25" i="22"/>
  <c r="Q453" i="22"/>
  <c r="Q63" i="22"/>
  <c r="U33" i="22"/>
  <c r="Q38" i="22"/>
  <c r="T478" i="22"/>
  <c r="T46" i="22"/>
  <c r="U50" i="22"/>
  <c r="Q9" i="22"/>
  <c r="V25" i="22"/>
  <c r="Q50" i="22"/>
  <c r="Q3" i="22"/>
  <c r="T30" i="22"/>
  <c r="V469" i="22"/>
  <c r="U454" i="22"/>
  <c r="Q30" i="22"/>
  <c r="Q75" i="22"/>
  <c r="U10" i="22"/>
  <c r="U249" i="22"/>
  <c r="V30" i="22"/>
  <c r="U425" i="22"/>
  <c r="V10" i="22"/>
  <c r="V3" i="22"/>
  <c r="V7" i="22"/>
  <c r="Q37" i="22"/>
  <c r="Q23" i="22"/>
  <c r="T37" i="22"/>
  <c r="V39" i="22"/>
  <c r="U20" i="22"/>
  <c r="Q39" i="22"/>
  <c r="T7" i="22"/>
  <c r="Q46" i="22"/>
  <c r="T74" i="22"/>
  <c r="Q20" i="22"/>
  <c r="T249" i="22"/>
  <c r="V11" i="22"/>
  <c r="T425" i="22"/>
  <c r="U47" i="22"/>
  <c r="T11" i="22"/>
  <c r="V20" i="22"/>
  <c r="Q493" i="22"/>
  <c r="V454" i="22"/>
  <c r="U23" i="22"/>
  <c r="V37" i="22"/>
  <c r="U74" i="22"/>
  <c r="U46" i="22"/>
  <c r="V31" i="22"/>
  <c r="T39" i="22"/>
  <c r="T3" i="22"/>
  <c r="T23" i="22"/>
  <c r="T469" i="22"/>
  <c r="V425" i="22"/>
  <c r="Q17" i="22"/>
  <c r="V47" i="22"/>
  <c r="U497" i="22"/>
  <c r="Q7" i="22"/>
  <c r="T365" i="22"/>
  <c r="V448" i="22"/>
  <c r="V423" i="22"/>
  <c r="U365" i="22"/>
  <c r="Q15" i="22"/>
  <c r="T377" i="22"/>
  <c r="Q448" i="22"/>
  <c r="V450" i="22"/>
  <c r="V15" i="22"/>
  <c r="Q450" i="22"/>
  <c r="U423" i="22"/>
  <c r="V493" i="22"/>
  <c r="V63" i="22"/>
  <c r="E68" i="22"/>
  <c r="O68" i="22"/>
  <c r="C68" i="22"/>
  <c r="P68" i="22"/>
  <c r="D68" i="22"/>
  <c r="C17" i="15"/>
  <c r="G17" i="15"/>
  <c r="A68" i="22"/>
  <c r="I68" i="22"/>
  <c r="K68" i="22"/>
  <c r="H68" i="22"/>
  <c r="G68" i="22"/>
  <c r="Q377" i="22"/>
  <c r="V377" i="22"/>
  <c r="V216" i="22"/>
  <c r="T216" i="22"/>
  <c r="Q216" i="22"/>
  <c r="U216" i="22"/>
  <c r="T160" i="22"/>
  <c r="U160" i="22"/>
  <c r="V160" i="22"/>
  <c r="Q160" i="22"/>
  <c r="L68" i="22"/>
  <c r="T66" i="22"/>
  <c r="V66" i="22"/>
  <c r="Q303" i="22"/>
  <c r="V303" i="22"/>
  <c r="F71" i="22"/>
  <c r="B71" i="22"/>
  <c r="S71" i="22"/>
  <c r="V40" i="22"/>
  <c r="T490" i="22"/>
  <c r="V6" i="22"/>
  <c r="U31" i="22"/>
  <c r="U6" i="22"/>
  <c r="V22" i="22"/>
  <c r="T387" i="22"/>
  <c r="U29" i="22"/>
  <c r="H56" i="22"/>
  <c r="O56" i="22"/>
  <c r="G56" i="22"/>
  <c r="K56" i="22"/>
  <c r="D56" i="22"/>
  <c r="C15" i="15"/>
  <c r="A56" i="22"/>
  <c r="E56" i="22"/>
  <c r="L56" i="22"/>
  <c r="J56" i="22"/>
  <c r="I56" i="22"/>
  <c r="C56" i="22"/>
  <c r="P56" i="22"/>
  <c r="T322" i="22"/>
  <c r="U322" i="22"/>
  <c r="V322" i="22"/>
  <c r="Q322" i="22"/>
  <c r="K76" i="22"/>
  <c r="O76" i="22"/>
  <c r="H76" i="22"/>
  <c r="C76" i="22"/>
  <c r="P76" i="22"/>
  <c r="C19" i="15"/>
  <c r="G19" i="15"/>
  <c r="L76" i="22"/>
  <c r="G76" i="22"/>
  <c r="J76" i="22"/>
  <c r="D76" i="22"/>
  <c r="I76" i="22"/>
  <c r="A76" i="22"/>
  <c r="E76" i="22"/>
  <c r="V387" i="22"/>
  <c r="Q387" i="22"/>
  <c r="V466" i="22"/>
  <c r="U466" i="22"/>
  <c r="T466" i="22"/>
  <c r="Q466" i="22"/>
  <c r="V374" i="22"/>
  <c r="T374" i="22"/>
  <c r="Q374" i="22"/>
  <c r="U374" i="22"/>
  <c r="T460" i="22"/>
  <c r="V460" i="22"/>
  <c r="U460" i="22"/>
  <c r="Q460" i="22"/>
  <c r="T441" i="22"/>
  <c r="U441" i="22"/>
  <c r="Q441" i="22"/>
  <c r="V441" i="22"/>
  <c r="V220" i="22"/>
  <c r="U220" i="22"/>
  <c r="T220" i="22"/>
  <c r="Q220" i="22"/>
  <c r="T446" i="22"/>
  <c r="V446" i="22"/>
  <c r="U446" i="22"/>
  <c r="Q446" i="22"/>
  <c r="Q107" i="22"/>
  <c r="V107" i="22"/>
  <c r="T107" i="22"/>
  <c r="U107" i="22"/>
  <c r="V116" i="22"/>
  <c r="Q116" i="22"/>
  <c r="U116" i="22"/>
  <c r="T116" i="22"/>
  <c r="V191" i="22"/>
  <c r="T191" i="22"/>
  <c r="U191" i="22"/>
  <c r="Q191" i="22"/>
  <c r="V482" i="22"/>
  <c r="T482" i="22"/>
  <c r="U482" i="22"/>
  <c r="Q482" i="22"/>
  <c r="T57" i="22"/>
  <c r="V57" i="22"/>
  <c r="Q57" i="22"/>
  <c r="U57" i="22"/>
  <c r="V69" i="22"/>
  <c r="U69" i="22"/>
  <c r="T69" i="22"/>
  <c r="Q69" i="22"/>
  <c r="R55" i="14"/>
  <c r="E11" i="15"/>
  <c r="T22" i="22"/>
  <c r="U22" i="22"/>
  <c r="H12" i="22"/>
  <c r="J12" i="22"/>
  <c r="K12" i="22"/>
  <c r="G12" i="22"/>
  <c r="I12" i="22"/>
  <c r="E12" i="22"/>
  <c r="O12" i="22"/>
  <c r="D12" i="22"/>
  <c r="C10" i="15"/>
  <c r="P12" i="22"/>
  <c r="L12" i="22"/>
  <c r="A12" i="22"/>
  <c r="C12" i="22"/>
  <c r="K36" i="22"/>
  <c r="G36" i="22"/>
  <c r="A36" i="22"/>
  <c r="L36" i="22"/>
  <c r="P36" i="22"/>
  <c r="C12" i="15"/>
  <c r="D36" i="22"/>
  <c r="I36" i="22"/>
  <c r="E36" i="22"/>
  <c r="J36" i="22"/>
  <c r="R66" i="14"/>
  <c r="H36" i="22"/>
  <c r="O36" i="22"/>
  <c r="C36" i="22"/>
  <c r="V89" i="22"/>
  <c r="U89" i="22"/>
  <c r="Q89" i="22"/>
  <c r="T89" i="22"/>
  <c r="P180" i="14"/>
  <c r="G573" i="12"/>
  <c r="Q278" i="22"/>
  <c r="T278" i="22"/>
  <c r="U278" i="22"/>
  <c r="V278" i="22"/>
  <c r="Q97" i="22"/>
  <c r="V97" i="22"/>
  <c r="U97" i="22"/>
  <c r="T97" i="22"/>
  <c r="T124" i="22"/>
  <c r="Q124" i="22"/>
  <c r="V124" i="22"/>
  <c r="U124" i="22"/>
  <c r="Q138" i="22"/>
  <c r="U138" i="22"/>
  <c r="T138" i="22"/>
  <c r="V138" i="22"/>
  <c r="U192" i="22"/>
  <c r="Q192" i="22"/>
  <c r="V192" i="22"/>
  <c r="T192" i="22"/>
  <c r="T245" i="22"/>
  <c r="Q245" i="22"/>
  <c r="V245" i="22"/>
  <c r="U245" i="22"/>
  <c r="T307" i="22"/>
  <c r="U307" i="22"/>
  <c r="Q307" i="22"/>
  <c r="V307" i="22"/>
  <c r="V54" i="22"/>
  <c r="T54" i="22"/>
  <c r="Q54" i="22"/>
  <c r="U54" i="22"/>
  <c r="Q61" i="22"/>
  <c r="U61" i="22"/>
  <c r="V61" i="22"/>
  <c r="M176" i="14"/>
  <c r="Q176" i="14"/>
  <c r="E15" i="15"/>
  <c r="Q29" i="22"/>
  <c r="V29" i="22"/>
  <c r="Q21" i="22"/>
  <c r="V21" i="22"/>
  <c r="U21" i="22"/>
  <c r="T21" i="22"/>
  <c r="J42" i="22"/>
  <c r="G42" i="22"/>
  <c r="E42" i="22"/>
  <c r="K42" i="22"/>
  <c r="O42" i="22"/>
  <c r="H42" i="22"/>
  <c r="C42" i="22"/>
  <c r="D42" i="22"/>
  <c r="C13" i="15"/>
  <c r="I42" i="22"/>
  <c r="P42" i="22"/>
  <c r="A42" i="22"/>
  <c r="L42" i="22"/>
  <c r="V418" i="22"/>
  <c r="U418" i="22"/>
  <c r="T418" i="22"/>
  <c r="Q418" i="22"/>
  <c r="Q490" i="22"/>
  <c r="U490" i="22"/>
  <c r="E62" i="22"/>
  <c r="A62" i="22"/>
  <c r="L62" i="22"/>
  <c r="C62" i="22"/>
  <c r="O62" i="22"/>
  <c r="D62" i="22"/>
  <c r="C16" i="15"/>
  <c r="K62" i="22"/>
  <c r="P62" i="22"/>
  <c r="H62" i="22"/>
  <c r="G62" i="22"/>
  <c r="I62" i="22"/>
  <c r="J62" i="22"/>
  <c r="T237" i="22"/>
  <c r="Q237" i="22"/>
  <c r="U237" i="22"/>
  <c r="V237" i="22"/>
  <c r="T279" i="22"/>
  <c r="Q279" i="22"/>
  <c r="U279" i="22"/>
  <c r="V279" i="22"/>
  <c r="U426" i="22"/>
  <c r="Q426" i="22"/>
  <c r="T426" i="22"/>
  <c r="V426" i="22"/>
  <c r="O48" i="22"/>
  <c r="G48" i="22"/>
  <c r="I48" i="22"/>
  <c r="C14" i="15"/>
  <c r="C48" i="22"/>
  <c r="P48" i="22"/>
  <c r="J48" i="22"/>
  <c r="A48" i="22"/>
  <c r="L48" i="22"/>
  <c r="K48" i="22"/>
  <c r="H48" i="22"/>
  <c r="E48" i="22"/>
  <c r="R78" i="14"/>
  <c r="D48" i="22"/>
  <c r="U132" i="22"/>
  <c r="Q132" i="22"/>
  <c r="T132" i="22"/>
  <c r="V132" i="22"/>
  <c r="V176" i="22"/>
  <c r="Q176" i="22"/>
  <c r="U176" i="22"/>
  <c r="T176" i="22"/>
  <c r="V244" i="22"/>
  <c r="U244" i="22"/>
  <c r="T244" i="22"/>
  <c r="Q244" i="22"/>
  <c r="U495" i="22"/>
  <c r="V495" i="22"/>
  <c r="Q495" i="22"/>
  <c r="T495" i="22"/>
  <c r="U52" i="22"/>
  <c r="V52" i="22"/>
  <c r="T52" i="22"/>
  <c r="V24" i="22"/>
  <c r="T24" i="22"/>
  <c r="Q24" i="22"/>
  <c r="U24" i="22"/>
  <c r="Q40" i="22"/>
  <c r="U40" i="22"/>
  <c r="M179" i="14"/>
  <c r="Q179" i="14"/>
  <c r="R72" i="14"/>
  <c r="E13" i="15"/>
  <c r="Q174" i="14"/>
  <c r="R47" i="14"/>
  <c r="E10" i="15"/>
  <c r="M177" i="14"/>
  <c r="Q177" i="14"/>
  <c r="Q67" i="22"/>
  <c r="V67" i="22"/>
  <c r="T67" i="22"/>
  <c r="U67" i="22"/>
  <c r="U233" i="22"/>
  <c r="V233" i="22"/>
  <c r="Q233" i="22"/>
  <c r="T233" i="22"/>
  <c r="V402" i="22"/>
  <c r="Q402" i="22"/>
  <c r="T402" i="22"/>
  <c r="U402" i="22"/>
  <c r="H27" i="22"/>
  <c r="A27" i="22"/>
  <c r="J27" i="22"/>
  <c r="E27" i="22"/>
  <c r="L27" i="22"/>
  <c r="K27" i="22"/>
  <c r="C11" i="15"/>
  <c r="O27" i="22"/>
  <c r="D27" i="22"/>
  <c r="P27" i="22"/>
  <c r="I27" i="22"/>
  <c r="G27" i="22"/>
  <c r="C27" i="22"/>
  <c r="T265" i="22"/>
  <c r="Q265" i="22"/>
  <c r="V265" i="22"/>
  <c r="U265" i="22"/>
  <c r="Q417" i="22"/>
  <c r="T417" i="22"/>
  <c r="U417" i="22"/>
  <c r="V417" i="22"/>
  <c r="Q459" i="22"/>
  <c r="V459" i="22"/>
  <c r="T459" i="22"/>
  <c r="U459" i="22"/>
  <c r="U219" i="22"/>
  <c r="Q219" i="22"/>
  <c r="V219" i="22"/>
  <c r="T219" i="22"/>
  <c r="T184" i="22"/>
  <c r="Q184" i="22"/>
  <c r="U184" i="22"/>
  <c r="V184" i="22"/>
  <c r="T345" i="22"/>
  <c r="V345" i="22"/>
  <c r="Q345" i="22"/>
  <c r="U345" i="22"/>
  <c r="V49" i="22"/>
  <c r="U49" i="22"/>
  <c r="T49" i="22"/>
  <c r="R173" i="14"/>
  <c r="V80" i="22"/>
  <c r="V60" i="22"/>
  <c r="Q60" i="22"/>
  <c r="T60" i="22"/>
  <c r="U55" i="22"/>
  <c r="T55" i="22"/>
  <c r="Q55" i="22"/>
  <c r="U80" i="22"/>
  <c r="Q80" i="22"/>
  <c r="N34" i="22"/>
  <c r="N28" i="22"/>
  <c r="M28" i="22"/>
  <c r="B28" i="22"/>
  <c r="R28" i="22"/>
  <c r="F28" i="22"/>
  <c r="S28" i="22"/>
  <c r="R34" i="22"/>
  <c r="F34" i="22"/>
  <c r="M34" i="22"/>
  <c r="B34" i="22"/>
  <c r="S34" i="22"/>
  <c r="Q58" i="22"/>
  <c r="T58" i="22"/>
  <c r="V58" i="22"/>
  <c r="U58" i="22"/>
  <c r="N72" i="22"/>
  <c r="B72" i="22"/>
  <c r="M72" i="22"/>
  <c r="R72" i="22"/>
  <c r="S72" i="22"/>
  <c r="F72" i="22"/>
  <c r="N68" i="22"/>
  <c r="S68" i="22"/>
  <c r="R68" i="22"/>
  <c r="F68" i="22"/>
  <c r="B68" i="22"/>
  <c r="M68" i="22"/>
  <c r="G574" i="12"/>
  <c r="N62" i="22"/>
  <c r="N42" i="22"/>
  <c r="V71" i="22"/>
  <c r="T71" i="22"/>
  <c r="U71" i="22"/>
  <c r="Q71" i="22"/>
  <c r="N36" i="22"/>
  <c r="N12" i="22"/>
  <c r="S56" i="22"/>
  <c r="B56" i="22"/>
  <c r="R56" i="22"/>
  <c r="F56" i="22"/>
  <c r="M56" i="22"/>
  <c r="G13" i="15"/>
  <c r="B62" i="22"/>
  <c r="R62" i="22"/>
  <c r="S62" i="22"/>
  <c r="M62" i="22"/>
  <c r="F62" i="22"/>
  <c r="G15" i="15"/>
  <c r="H79" i="22"/>
  <c r="K79" i="22"/>
  <c r="I79" i="22"/>
  <c r="L79" i="22"/>
  <c r="G79" i="22"/>
  <c r="A79" i="22"/>
  <c r="O79" i="22"/>
  <c r="D79" i="22"/>
  <c r="C79" i="22"/>
  <c r="E79" i="22"/>
  <c r="P79" i="22"/>
  <c r="J79" i="22"/>
  <c r="I573" i="12"/>
  <c r="R180" i="14"/>
  <c r="B36" i="22"/>
  <c r="R36" i="22"/>
  <c r="S36" i="22"/>
  <c r="M36" i="22"/>
  <c r="F36" i="22"/>
  <c r="M12" i="22"/>
  <c r="R12" i="22"/>
  <c r="F12" i="22"/>
  <c r="B12" i="22"/>
  <c r="S12" i="22"/>
  <c r="P186" i="14"/>
  <c r="G77" i="22"/>
  <c r="A77" i="22"/>
  <c r="K77" i="22"/>
  <c r="P187" i="14"/>
  <c r="D77" i="22"/>
  <c r="O77" i="22"/>
  <c r="I77" i="22"/>
  <c r="L77" i="22"/>
  <c r="H77" i="22"/>
  <c r="C77" i="22"/>
  <c r="P77" i="22"/>
  <c r="E77" i="22"/>
  <c r="J77" i="22"/>
  <c r="G11" i="15"/>
  <c r="R76" i="22"/>
  <c r="S76" i="22"/>
  <c r="M76" i="22"/>
  <c r="F76" i="22"/>
  <c r="B76" i="22"/>
  <c r="N27" i="22"/>
  <c r="R174" i="14"/>
  <c r="R48" i="22"/>
  <c r="S48" i="22"/>
  <c r="M48" i="22"/>
  <c r="F48" i="22"/>
  <c r="B48" i="22"/>
  <c r="G14" i="15"/>
  <c r="G12" i="15"/>
  <c r="P177" i="14"/>
  <c r="G576" i="12"/>
  <c r="N56" i="22"/>
  <c r="M27" i="22"/>
  <c r="R27" i="22"/>
  <c r="S27" i="22"/>
  <c r="B27" i="22"/>
  <c r="F27" i="22"/>
  <c r="G16" i="15"/>
  <c r="G10" i="15"/>
  <c r="Q182" i="14"/>
  <c r="Q187" i="14"/>
  <c r="Q186" i="14"/>
  <c r="Q188" i="14"/>
  <c r="N48" i="22"/>
  <c r="P178" i="14"/>
  <c r="G577" i="12"/>
  <c r="B42" i="22"/>
  <c r="M42" i="22"/>
  <c r="R42" i="22"/>
  <c r="F42" i="22"/>
  <c r="S42" i="22"/>
  <c r="I578" i="12"/>
  <c r="G578" i="12"/>
  <c r="P188" i="14"/>
  <c r="N76" i="22"/>
  <c r="P176" i="14"/>
  <c r="I575" i="12"/>
  <c r="G575" i="12"/>
  <c r="R177" i="14"/>
  <c r="P182" i="14"/>
  <c r="P183" i="14"/>
  <c r="Q28" i="22"/>
  <c r="V28" i="22"/>
  <c r="U28" i="22"/>
  <c r="T28" i="22"/>
  <c r="T34" i="22"/>
  <c r="V34" i="22"/>
  <c r="U34" i="22"/>
  <c r="Q34" i="22"/>
  <c r="T72" i="22"/>
  <c r="V72" i="22"/>
  <c r="U72" i="22"/>
  <c r="Q72" i="22"/>
  <c r="U68" i="22"/>
  <c r="T68" i="22"/>
  <c r="Q68" i="22"/>
  <c r="V68" i="22"/>
  <c r="I574" i="12"/>
  <c r="A78" i="22"/>
  <c r="D78" i="22"/>
  <c r="P78" i="22"/>
  <c r="H78" i="22"/>
  <c r="K78" i="22"/>
  <c r="I78" i="22"/>
  <c r="O78" i="22"/>
  <c r="J78" i="22"/>
  <c r="G78" i="22"/>
  <c r="L78" i="22"/>
  <c r="C78" i="22"/>
  <c r="E78" i="22"/>
  <c r="R175" i="14"/>
  <c r="Q185" i="14"/>
  <c r="N77" i="22"/>
  <c r="Q27" i="22"/>
  <c r="V27" i="22"/>
  <c r="T27" i="22"/>
  <c r="U27" i="22"/>
  <c r="R176" i="14"/>
  <c r="R77" i="22"/>
  <c r="B77" i="22"/>
  <c r="M77" i="22"/>
  <c r="S77" i="22"/>
  <c r="F77" i="22"/>
  <c r="Q36" i="22"/>
  <c r="V36" i="22"/>
  <c r="U36" i="22"/>
  <c r="T36" i="22"/>
  <c r="H85" i="22"/>
  <c r="C85" i="22"/>
  <c r="L85" i="22"/>
  <c r="G85" i="22"/>
  <c r="A85" i="22"/>
  <c r="J85" i="22"/>
  <c r="E85" i="22"/>
  <c r="P85" i="22"/>
  <c r="D85" i="22"/>
  <c r="K85" i="22"/>
  <c r="O85" i="22"/>
  <c r="I85" i="22"/>
  <c r="U42" i="22"/>
  <c r="T42" i="22"/>
  <c r="V42" i="22"/>
  <c r="Q42" i="22"/>
  <c r="E20" i="15"/>
  <c r="Q183" i="14"/>
  <c r="E22" i="15"/>
  <c r="I576" i="12"/>
  <c r="Q48" i="22"/>
  <c r="U48" i="22"/>
  <c r="T48" i="22"/>
  <c r="V48" i="22"/>
  <c r="R179" i="14"/>
  <c r="Q12" i="22"/>
  <c r="V12" i="22"/>
  <c r="U12" i="22"/>
  <c r="T12" i="22"/>
  <c r="F79" i="22"/>
  <c r="M79" i="22"/>
  <c r="R79" i="22"/>
  <c r="S79" i="22"/>
  <c r="B79" i="22"/>
  <c r="Q62" i="22"/>
  <c r="T62" i="22"/>
  <c r="U62" i="22"/>
  <c r="V62" i="22"/>
  <c r="Q56" i="22"/>
  <c r="U56" i="22"/>
  <c r="T56" i="22"/>
  <c r="V56" i="22"/>
  <c r="E84" i="22"/>
  <c r="A84" i="22"/>
  <c r="K84" i="22"/>
  <c r="I84" i="22"/>
  <c r="P84" i="22"/>
  <c r="L84" i="22"/>
  <c r="D84" i="22"/>
  <c r="O84" i="22"/>
  <c r="G84" i="22"/>
  <c r="C84" i="22"/>
  <c r="P185" i="14"/>
  <c r="H84" i="22"/>
  <c r="J84" i="22"/>
  <c r="N79" i="22"/>
  <c r="I577" i="12"/>
  <c r="R178" i="14"/>
  <c r="V76" i="22"/>
  <c r="Q76" i="22"/>
  <c r="T76" i="22"/>
  <c r="U76" i="22"/>
  <c r="R182" i="14"/>
  <c r="R183" i="14"/>
  <c r="N78" i="22"/>
  <c r="S78" i="22"/>
  <c r="R78" i="22"/>
  <c r="B78" i="22"/>
  <c r="F78" i="22"/>
  <c r="M78" i="22"/>
  <c r="F20" i="15"/>
  <c r="F85" i="22"/>
  <c r="M85" i="22"/>
  <c r="B85" i="22"/>
  <c r="R85" i="22"/>
  <c r="S85" i="22"/>
  <c r="N85" i="22"/>
  <c r="S84" i="22"/>
  <c r="B84" i="22"/>
  <c r="M84" i="22"/>
  <c r="R84" i="22"/>
  <c r="F84" i="22"/>
  <c r="C20" i="15"/>
  <c r="E81" i="22"/>
  <c r="P81" i="22"/>
  <c r="J81" i="22"/>
  <c r="D81" i="22"/>
  <c r="O81" i="22"/>
  <c r="I81" i="22"/>
  <c r="G81" i="22"/>
  <c r="A81" i="22"/>
  <c r="K81" i="22"/>
  <c r="C81" i="22"/>
  <c r="L81" i="22"/>
  <c r="H81" i="22"/>
  <c r="Q77" i="22"/>
  <c r="T77" i="22"/>
  <c r="V77" i="22"/>
  <c r="U77" i="22"/>
  <c r="N84" i="22"/>
  <c r="T79" i="22"/>
  <c r="V79" i="22"/>
  <c r="U79" i="22"/>
  <c r="Q79" i="22"/>
  <c r="F22" i="15"/>
  <c r="F14" i="15"/>
  <c r="F16" i="15"/>
  <c r="F12" i="15"/>
  <c r="F17" i="15"/>
  <c r="F19" i="15"/>
  <c r="F18" i="15"/>
  <c r="F13" i="15"/>
  <c r="F10" i="15"/>
  <c r="F15" i="15"/>
  <c r="F11" i="15"/>
  <c r="Q78" i="22"/>
  <c r="T78" i="22"/>
  <c r="V78" i="22"/>
  <c r="U78" i="22"/>
  <c r="N81" i="22"/>
  <c r="T85" i="22"/>
  <c r="Q85" i="22"/>
  <c r="V85" i="22"/>
  <c r="U85" i="22"/>
  <c r="G20" i="15"/>
  <c r="M81" i="22"/>
  <c r="R81" i="22"/>
  <c r="S81" i="22"/>
  <c r="F81" i="22"/>
  <c r="B81" i="22"/>
  <c r="I82" i="22"/>
  <c r="D82" i="22"/>
  <c r="P82" i="22"/>
  <c r="C22" i="15"/>
  <c r="G82" i="22"/>
  <c r="J82" i="22"/>
  <c r="E82" i="22"/>
  <c r="K82" i="22"/>
  <c r="A82" i="22"/>
  <c r="L82" i="22"/>
  <c r="O82" i="22"/>
  <c r="H82" i="22"/>
  <c r="C82" i="22"/>
  <c r="U84" i="22"/>
  <c r="V84" i="22"/>
  <c r="Q84" i="22"/>
  <c r="T84" i="22"/>
  <c r="D18" i="15"/>
  <c r="D22" i="15"/>
  <c r="D17" i="15"/>
  <c r="D10" i="15"/>
  <c r="D14" i="15"/>
  <c r="D12" i="15"/>
  <c r="D19" i="15"/>
  <c r="D15" i="15"/>
  <c r="D13" i="15"/>
  <c r="D16" i="15"/>
  <c r="D11" i="15"/>
  <c r="G22" i="15"/>
  <c r="N82" i="22"/>
  <c r="T81" i="22"/>
  <c r="V81" i="22"/>
  <c r="U81" i="22"/>
  <c r="Q81" i="22"/>
  <c r="D20" i="15"/>
  <c r="F82" i="22"/>
  <c r="B82" i="22"/>
  <c r="S82" i="22"/>
  <c r="R82" i="22"/>
  <c r="M82" i="22"/>
  <c r="V82" i="22"/>
  <c r="U82" i="22"/>
  <c r="Q82" i="22"/>
  <c r="T8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175" authorId="0" shapeId="0" xr:uid="{D16F3B7D-D56F-694A-A5A8-E6A9D23A537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Microsoft YaHei UI"/>
            <family val="2"/>
            <charset val="134"/>
          </rPr>
          <t>汇总场地采买及酒店费用</t>
        </r>
      </text>
    </comment>
    <comment ref="L176" authorId="0" shapeId="0" xr:uid="{0D159E7E-BCBA-5C46-B4B4-7E2D82E1358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汇总机车餐费用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177" authorId="0" shapeId="0" xr:uid="{DA5BBBA8-85CE-D940-93AE-7AEFCA761BA9}">
      <text>
        <r>
          <rPr>
            <sz val="11"/>
            <color rgb="FF000000"/>
            <rFont val="DengXian"/>
            <family val="4"/>
            <charset val="134"/>
          </rPr>
          <t>作者</t>
        </r>
        <r>
          <rPr>
            <sz val="11"/>
            <color rgb="FF000000"/>
            <rFont val="DengXian"/>
            <family val="4"/>
            <charset val="134"/>
          </rPr>
          <t xml:space="preserve">:
</t>
        </r>
        <r>
          <rPr>
            <sz val="11"/>
            <color rgb="FF000000"/>
            <rFont val="DengXian"/>
            <family val="4"/>
            <charset val="134"/>
          </rPr>
          <t>制作搭建、</t>
        </r>
        <r>
          <rPr>
            <sz val="11"/>
            <color rgb="FF000000"/>
            <rFont val="DengXian"/>
            <family val="4"/>
            <charset val="134"/>
          </rPr>
          <t>AVL</t>
        </r>
        <r>
          <rPr>
            <sz val="11"/>
            <color rgb="FF000000"/>
            <rFont val="DengXian"/>
            <family val="4"/>
            <charset val="134"/>
          </rPr>
          <t>、三方人员费用汇总</t>
        </r>
      </text>
    </comment>
    <comment ref="L178" authorId="0" shapeId="0" xr:uid="{FB602CC9-83BD-8A4D-9D42-31C2A57172BB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物资采买、有增票票垫付费用汇总</t>
        </r>
        <r>
          <rPr>
            <b/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179" authorId="0" shapeId="0" xr:uid="{E146BCFF-856F-7348-8303-218DF140EE5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 xml:space="preserve">Onsite </t>
        </r>
        <r>
          <rPr>
            <b/>
            <sz val="10"/>
            <color rgb="FF000000"/>
            <rFont val="DengXian"/>
            <family val="4"/>
            <charset val="134"/>
          </rPr>
          <t>人员费用汇总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180" authorId="0" shapeId="0" xr:uid="{CD5C9996-8991-5347-8A17-A759D8E723B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无票垫付费用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<sst xmlns="http://schemas.openxmlformats.org/spreadsheetml/2006/main" count="3476" uniqueCount="1705">
  <si>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</si>
  <si>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</si>
  <si>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</si>
  <si>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</si>
  <si>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</si>
  <si>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</si>
  <si>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</si>
  <si>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</si>
  <si>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</si>
  <si>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</si>
  <si>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</si>
  <si>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</si>
  <si>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计价单位</t>
  </si>
  <si>
    <t>报价数量</t>
  </si>
  <si>
    <t>结算数量</t>
  </si>
  <si>
    <t>报价天数</t>
  </si>
  <si>
    <t>结算天数</t>
  </si>
  <si>
    <t>结算金额(元）</t>
  </si>
  <si>
    <t>差异金额</t>
  </si>
  <si>
    <t>结案报告第几页</t>
  </si>
  <si>
    <t>是</t>
  </si>
  <si>
    <t>合计</t>
  </si>
  <si>
    <t>最终金额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</si>
  <si>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</si>
  <si>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</si>
  <si>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</si>
  <si>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</si>
  <si>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</si>
  <si>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</si>
  <si>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</si>
  <si>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</si>
  <si>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</si>
  <si>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</si>
  <si>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</si>
  <si>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视频</t>
  </si>
  <si>
    <t>块</t>
  </si>
  <si>
    <t>次</t>
  </si>
  <si>
    <t>通道</t>
  </si>
  <si>
    <t>条</t>
  </si>
  <si>
    <t>音频</t>
  </si>
  <si>
    <t>对</t>
  </si>
  <si>
    <t>灯光</t>
  </si>
  <si>
    <t>片</t>
  </si>
  <si>
    <t>根</t>
  </si>
  <si>
    <t>秒</t>
  </si>
  <si>
    <t>项</t>
  </si>
  <si>
    <t>一级区域</t>
    <phoneticPr fontId="9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</si>
  <si>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</si>
  <si>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</si>
  <si>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</si>
  <si>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</si>
  <si>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</si>
  <si>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</si>
  <si>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</si>
  <si>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</si>
  <si>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</si>
  <si>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</si>
  <si>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</si>
  <si>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</si>
  <si>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</si>
  <si>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</si>
  <si>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</si>
  <si>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</si>
  <si>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</si>
  <si>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</si>
  <si>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</si>
  <si>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</si>
  <si>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</si>
  <si>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</si>
  <si>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</si>
  <si>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</si>
  <si>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</si>
  <si>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</si>
  <si>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</si>
  <si>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</si>
  <si>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</si>
  <si>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</si>
  <si>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</si>
  <si>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</si>
  <si>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</si>
  <si>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</si>
  <si>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</si>
  <si>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</si>
  <si>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</si>
  <si>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</si>
  <si>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</si>
  <si>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</si>
  <si>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</si>
  <si>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</si>
  <si>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</si>
  <si>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</si>
  <si>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</si>
  <si>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</si>
  <si>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</si>
  <si>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</si>
  <si>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</si>
  <si>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</si>
  <si>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</si>
  <si>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</si>
  <si>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</si>
  <si>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</si>
  <si>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</si>
  <si>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</si>
  <si>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</si>
  <si>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</si>
  <si>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</si>
  <si>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</si>
  <si>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</si>
  <si>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</si>
  <si>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</si>
  <si>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</si>
  <si>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</si>
  <si>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</si>
  <si>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</si>
  <si>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</si>
  <si>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</si>
  <si>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</si>
  <si>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</si>
  <si>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</si>
  <si>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</si>
  <si>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</si>
  <si>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</si>
  <si>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</si>
  <si>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</si>
  <si>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</si>
  <si>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</si>
  <si>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</si>
  <si>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</si>
  <si>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</si>
  <si>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</si>
  <si>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</si>
  <si>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</si>
  <si>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</si>
  <si>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</si>
  <si>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</si>
  <si>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</si>
  <si>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</si>
  <si>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</si>
  <si>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</si>
  <si>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</si>
  <si>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</si>
  <si>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</si>
  <si>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</si>
  <si>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</si>
  <si>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</si>
  <si>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</si>
  <si>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</si>
  <si>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</si>
  <si>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</si>
  <si>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</si>
  <si>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</si>
  <si>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</si>
  <si>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</si>
  <si>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</si>
  <si>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</si>
  <si>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</si>
  <si>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</si>
  <si>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</si>
  <si>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</si>
  <si>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</si>
  <si>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</si>
  <si>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</si>
  <si>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</si>
  <si>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</si>
  <si>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</si>
  <si>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</si>
  <si>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</si>
  <si>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</si>
  <si>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</si>
  <si>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</si>
  <si>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</si>
  <si>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</si>
  <si>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</si>
  <si>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</si>
  <si>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</si>
  <si>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</si>
  <si>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</si>
  <si>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</si>
  <si>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</si>
  <si>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</si>
  <si>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</si>
  <si>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</si>
  <si>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</si>
  <si>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</si>
  <si>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</si>
  <si>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</si>
  <si>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</si>
  <si>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</si>
  <si>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</si>
  <si>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</si>
  <si>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</si>
  <si>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</si>
  <si>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</si>
  <si>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</si>
  <si>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</si>
  <si>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</si>
  <si>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</si>
  <si>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</si>
  <si>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</si>
  <si>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</si>
  <si>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</si>
  <si>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</si>
  <si>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</si>
  <si>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</si>
  <si>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</si>
  <si>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</si>
  <si>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</si>
  <si>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</si>
  <si>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</si>
  <si>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</si>
  <si>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</si>
  <si>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</si>
  <si>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</si>
  <si>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</si>
  <si>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</si>
  <si>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</si>
  <si>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</si>
  <si>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</si>
  <si>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</si>
  <si>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</si>
  <si>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</si>
  <si>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</si>
  <si>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</si>
  <si>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</si>
  <si>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</si>
  <si>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</si>
  <si>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</si>
  <si>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</si>
  <si>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</si>
  <si>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</si>
  <si>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</si>
  <si>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</si>
  <si>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</si>
  <si>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</si>
  <si>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</si>
  <si>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</si>
  <si>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</si>
  <si>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</si>
  <si>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</si>
  <si>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</si>
  <si>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</si>
  <si>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</si>
  <si>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</si>
  <si>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</si>
  <si>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</si>
  <si>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</si>
  <si>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</si>
  <si>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</si>
  <si>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</si>
  <si>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</si>
  <si>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</si>
  <si>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</si>
  <si>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</si>
  <si>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</si>
  <si>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</si>
  <si>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</si>
  <si>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</si>
  <si>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</si>
  <si>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</si>
  <si>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</si>
  <si>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</si>
  <si>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</si>
  <si>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</si>
  <si>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</si>
  <si>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</si>
  <si>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</si>
  <si>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</si>
  <si>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</si>
  <si>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</si>
  <si>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</si>
  <si>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</si>
  <si>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</si>
  <si>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</si>
  <si>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</si>
  <si>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</si>
  <si>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</si>
  <si>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</si>
  <si>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</si>
  <si>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</si>
  <si>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</si>
  <si>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</si>
  <si>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</si>
  <si>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</si>
  <si>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</si>
  <si>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</si>
  <si>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</si>
  <si>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</si>
  <si>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</si>
  <si>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</si>
  <si>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</si>
  <si>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</si>
  <si>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</si>
  <si>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</si>
  <si>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</si>
  <si>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</si>
  <si>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</si>
  <si>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</si>
  <si>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</si>
  <si>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</si>
  <si>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</si>
  <si>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</si>
  <si>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</si>
  <si>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</si>
  <si>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</si>
  <si>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</si>
  <si>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</si>
  <si>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</si>
  <si>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</si>
  <si>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</si>
  <si>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</si>
  <si>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</si>
  <si>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</si>
  <si>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</si>
  <si>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</si>
  <si>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</si>
  <si>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</si>
  <si>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</si>
  <si>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</si>
  <si>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</si>
  <si>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</si>
  <si>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</si>
  <si>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</si>
  <si>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</si>
  <si>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</si>
  <si>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</si>
  <si>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</si>
  <si>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</si>
  <si>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</si>
  <si>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</si>
  <si>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</si>
  <si>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</si>
  <si>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</si>
  <si>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</si>
  <si>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</si>
  <si>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</si>
  <si>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</si>
  <si>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</si>
  <si>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</si>
  <si>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</si>
  <si>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</si>
  <si>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</si>
  <si>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</si>
  <si>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</si>
  <si>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</si>
  <si>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</si>
  <si>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</si>
  <si>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</si>
  <si>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</si>
  <si>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</si>
  <si>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</si>
  <si>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</si>
  <si>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</si>
  <si>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</si>
  <si>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</si>
  <si>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</si>
  <si>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</si>
  <si>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</si>
  <si>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</si>
  <si>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</si>
  <si>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</si>
  <si>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</si>
  <si>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</si>
  <si>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</si>
  <si>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</si>
  <si>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</si>
  <si>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</si>
  <si>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</si>
  <si>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</si>
  <si>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</si>
  <si>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</si>
  <si>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</si>
  <si>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</si>
  <si>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</si>
  <si>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</si>
  <si>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</si>
  <si>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</si>
  <si>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</si>
  <si>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</si>
  <si>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</si>
  <si>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</si>
  <si>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</si>
  <si>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</si>
  <si>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</si>
  <si>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</si>
  <si>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</si>
  <si>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</si>
  <si>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</si>
  <si>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</si>
  <si>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</si>
  <si>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</si>
  <si>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</si>
  <si>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</si>
  <si>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</si>
  <si>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</si>
  <si>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</si>
  <si>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</si>
  <si>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</si>
  <si>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</si>
  <si>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</si>
  <si>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</si>
  <si>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</si>
  <si>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</si>
  <si>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</si>
  <si>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</si>
  <si>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</si>
  <si>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</si>
  <si>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</si>
  <si>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</si>
  <si>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</si>
  <si>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</si>
  <si>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</si>
  <si>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</si>
  <si>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</si>
  <si>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</si>
  <si>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</si>
  <si>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</si>
  <si>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</si>
  <si>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</si>
  <si>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</si>
  <si>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</si>
  <si>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</si>
  <si>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</si>
  <si>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</si>
  <si>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</si>
  <si>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</si>
  <si>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</si>
  <si>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</si>
  <si>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</si>
  <si>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</si>
  <si>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</si>
  <si>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</si>
  <si>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</si>
  <si>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</si>
  <si>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</si>
  <si>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</si>
  <si>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</si>
  <si>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</si>
  <si>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</si>
  <si>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</si>
  <si>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</si>
  <si>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</si>
  <si>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</si>
  <si>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</si>
  <si>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</si>
  <si>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</si>
  <si>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</si>
  <si>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</si>
  <si>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</si>
  <si>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</si>
  <si>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</si>
  <si>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</si>
  <si>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</si>
  <si>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</si>
  <si>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</si>
  <si>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</si>
  <si>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</si>
  <si>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</si>
  <si>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</si>
  <si>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</si>
  <si>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</si>
  <si>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</si>
  <si>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</si>
  <si>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</si>
  <si>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</si>
  <si>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</si>
  <si>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</si>
  <si>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</si>
  <si>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</si>
  <si>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</si>
  <si>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</si>
  <si>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</si>
  <si>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</si>
  <si>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</si>
  <si>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</si>
  <si>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</si>
  <si>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</si>
  <si>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</si>
  <si>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</si>
  <si>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</si>
  <si>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</si>
  <si>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9" type="noConversion"/>
  </si>
  <si>
    <t>新增需求项目增加</t>
    <phoneticPr fontId="9" type="noConversion"/>
  </si>
  <si>
    <t>调整需求数量减少</t>
    <phoneticPr fontId="9" type="noConversion"/>
  </si>
  <si>
    <t>调整需求项目减少</t>
    <phoneticPr fontId="9" type="noConversion"/>
  </si>
  <si>
    <t>序号</t>
    <phoneticPr fontId="9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</si>
  <si>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</si>
  <si>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</si>
  <si>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</si>
  <si>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</si>
  <si>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</si>
  <si>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</si>
  <si>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</si>
  <si>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</si>
  <si>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</si>
  <si>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</si>
  <si>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</si>
  <si>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</si>
  <si>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</si>
  <si>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</si>
  <si>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</si>
  <si>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</si>
  <si>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</si>
  <si>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</si>
  <si>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</si>
  <si>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</si>
  <si>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</si>
  <si>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</si>
  <si>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</si>
  <si>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</si>
  <si>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</si>
  <si>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</si>
  <si>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</si>
  <si>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</si>
  <si>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</si>
  <si>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</si>
  <si>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</si>
  <si>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</si>
  <si>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</si>
  <si>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</si>
  <si>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9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</si>
  <si>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</si>
  <si>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</si>
  <si>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</si>
  <si>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</si>
  <si>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</si>
  <si>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</si>
  <si>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</si>
  <si>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</si>
  <si>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</si>
  <si>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</si>
  <si>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</si>
  <si>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9" type="noConversion"/>
  </si>
  <si>
    <t>字节跳动采购接口人</t>
    <phoneticPr fontId="9" type="noConversion"/>
  </si>
  <si>
    <t>原则不超过5%</t>
    <phoneticPr fontId="9" type="noConversion"/>
  </si>
  <si>
    <t>A#001</t>
  </si>
  <si>
    <t>视频</t>
    <phoneticPr fontId="9" type="noConversion"/>
  </si>
  <si>
    <t>音频</t>
    <phoneticPr fontId="9" type="noConversion"/>
  </si>
  <si>
    <t>灯光</t>
    <phoneticPr fontId="9" type="noConversion"/>
  </si>
  <si>
    <t>主会场</t>
    <phoneticPr fontId="9" type="noConversion"/>
  </si>
  <si>
    <t>占比</t>
    <phoneticPr fontId="9" type="noConversion"/>
  </si>
  <si>
    <t>其他代垫付</t>
    <phoneticPr fontId="9" type="noConversion"/>
  </si>
  <si>
    <t>物资采买类</t>
    <phoneticPr fontId="9" type="noConversion"/>
  </si>
  <si>
    <t>报批相关类</t>
    <phoneticPr fontId="9" type="noConversion"/>
  </si>
  <si>
    <t>B#001</t>
  </si>
  <si>
    <t>场</t>
  </si>
  <si>
    <t>计价单位</t>
    <phoneticPr fontId="9" type="noConversion"/>
  </si>
  <si>
    <t>差旅接待类</t>
    <phoneticPr fontId="9" type="noConversion"/>
  </si>
  <si>
    <t>服务费</t>
    <phoneticPr fontId="9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</si>
  <si>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</si>
  <si>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</si>
  <si>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</si>
  <si>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</si>
  <si>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</si>
  <si>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</si>
  <si>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</si>
  <si>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</si>
  <si>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</si>
  <si>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</si>
  <si>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</si>
  <si>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</si>
  <si>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</si>
  <si>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</si>
  <si>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</si>
  <si>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</si>
  <si>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</si>
  <si>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9" type="noConversion"/>
  </si>
  <si>
    <t>G#001</t>
    <phoneticPr fontId="9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</si>
  <si>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</si>
  <si>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</si>
  <si>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</si>
  <si>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</si>
  <si>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</si>
  <si>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</si>
  <si>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</si>
  <si>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</si>
  <si>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</si>
  <si>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</si>
  <si>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</si>
  <si>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</si>
  <si>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</si>
  <si>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</si>
  <si>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</si>
  <si>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H#001</t>
    <phoneticPr fontId="9" type="noConversion"/>
  </si>
  <si>
    <t>H#002</t>
  </si>
  <si>
    <t>H#003</t>
  </si>
  <si>
    <t>搭建制作类</t>
    <phoneticPr fontId="9" type="noConversion"/>
  </si>
  <si>
    <t>AVL设备类</t>
    <phoneticPr fontId="9" type="noConversion"/>
  </si>
  <si>
    <t>J#002</t>
  </si>
  <si>
    <t>J#003</t>
  </si>
  <si>
    <t>J#004</t>
  </si>
  <si>
    <t>J#005</t>
  </si>
  <si>
    <t>J#006</t>
  </si>
  <si>
    <t>J#007</t>
  </si>
  <si>
    <t>J#008</t>
  </si>
  <si>
    <t>J#009</t>
  </si>
  <si>
    <t>J#010</t>
  </si>
  <si>
    <t>J#011</t>
  </si>
  <si>
    <t>J#012</t>
  </si>
  <si>
    <t>J#013</t>
  </si>
  <si>
    <t>J#014</t>
  </si>
  <si>
    <t>J#015</t>
  </si>
  <si>
    <t>J#016</t>
  </si>
  <si>
    <t>J#017</t>
  </si>
  <si>
    <t>K#002</t>
  </si>
  <si>
    <t>K#003</t>
  </si>
  <si>
    <t>结算标色说明</t>
    <phoneticPr fontId="9" type="noConversion"/>
  </si>
  <si>
    <t>各版块费用占比</t>
    <phoneticPr fontId="9" type="noConversion"/>
  </si>
  <si>
    <t>报价金额占比</t>
    <phoneticPr fontId="9" type="noConversion"/>
  </si>
  <si>
    <t>结算金额占比</t>
    <phoneticPr fontId="9" type="noConversion"/>
  </si>
  <si>
    <t>费用变化概述</t>
    <phoneticPr fontId="9" type="noConversion"/>
  </si>
  <si>
    <t>单场最终金额</t>
    <phoneticPr fontId="9" type="noConversion"/>
  </si>
  <si>
    <t>C#001</t>
  </si>
  <si>
    <t>D#001</t>
  </si>
  <si>
    <t>G#001</t>
  </si>
  <si>
    <t>H#001</t>
  </si>
  <si>
    <t>H#004</t>
  </si>
  <si>
    <t>H#005</t>
  </si>
  <si>
    <t>J#001</t>
  </si>
  <si>
    <t>K#001</t>
  </si>
  <si>
    <t>K#004</t>
  </si>
  <si>
    <t>K#005</t>
  </si>
  <si>
    <t>K#006</t>
  </si>
  <si>
    <t>K#007</t>
  </si>
  <si>
    <t>K#008</t>
  </si>
  <si>
    <t>K#009</t>
  </si>
  <si>
    <t>K#010</t>
  </si>
  <si>
    <t>K#011</t>
  </si>
  <si>
    <t>K#012</t>
  </si>
  <si>
    <t>K#013</t>
  </si>
  <si>
    <t>K#014</t>
  </si>
  <si>
    <t>K#015</t>
  </si>
  <si>
    <t>L#001</t>
  </si>
  <si>
    <t>M#003</t>
  </si>
  <si>
    <t>备注（如尺寸、型号）或其他说明</t>
    <phoneticPr fontId="9" type="noConversion"/>
  </si>
  <si>
    <t>搭建制作类单项合计</t>
    <phoneticPr fontId="9" type="noConversion"/>
  </si>
  <si>
    <t>AVL设备类单项合计</t>
    <phoneticPr fontId="9" type="noConversion"/>
  </si>
  <si>
    <t>第三方人员类单项合计</t>
    <phoneticPr fontId="9" type="noConversion"/>
  </si>
  <si>
    <t>创意团队类</t>
    <phoneticPr fontId="9" type="noConversion"/>
  </si>
  <si>
    <t>原则不超过30%</t>
    <phoneticPr fontId="9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</si>
  <si>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</si>
  <si>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</si>
  <si>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</si>
  <si>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</si>
  <si>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</si>
  <si>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</si>
  <si>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</si>
  <si>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</si>
  <si>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</si>
  <si>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</si>
  <si>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9" type="noConversion"/>
  </si>
  <si>
    <t>Onsite 人员类</t>
    <phoneticPr fontId="9" type="noConversion"/>
  </si>
  <si>
    <t>含税报价(元）</t>
    <phoneticPr fontId="9" type="noConversion"/>
  </si>
  <si>
    <t>税率</t>
  </si>
  <si>
    <t>含税单价（元）</t>
    <phoneticPr fontId="9" type="noConversion"/>
  </si>
  <si>
    <t>索引基础价格
「Ratecard序号」</t>
    <phoneticPr fontId="9" type="noConversion"/>
  </si>
  <si>
    <t>Ratecard序号</t>
    <phoneticPr fontId="9" type="noConversion"/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</si>
  <si>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</si>
  <si>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</si>
  <si>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</si>
  <si>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</si>
  <si>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</si>
  <si>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</si>
  <si>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</si>
  <si>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</si>
  <si>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M#004</t>
  </si>
  <si>
    <t>M#005</t>
  </si>
  <si>
    <t>M#006</t>
  </si>
  <si>
    <t>M#007</t>
  </si>
  <si>
    <t>M#008</t>
  </si>
  <si>
    <t>M#009</t>
  </si>
  <si>
    <t>M#010</t>
  </si>
  <si>
    <t>M#011</t>
  </si>
  <si>
    <t>M#012</t>
  </si>
  <si>
    <t>M#013</t>
  </si>
  <si>
    <r>
      <t>结算标色说明</t>
    </r>
    <r>
      <rPr>
        <sz val="11"/>
        <color rgb="FF000000"/>
        <rFont val="微软雅黑"/>
        <family val="2"/>
        <charset val="134"/>
      </rPr>
      <t>（整行底色填充）</t>
    </r>
    <phoneticPr fontId="9" type="noConversion"/>
  </si>
  <si>
    <t>是否开具增值税专用发票</t>
  </si>
  <si>
    <t>票面税率</t>
    <phoneticPr fontId="9" type="noConversion"/>
  </si>
  <si>
    <t>合计（含服务费）</t>
    <phoneticPr fontId="9" type="noConversion"/>
  </si>
  <si>
    <t>含税单价
（元）</t>
    <phoneticPr fontId="9" type="noConversion"/>
  </si>
  <si>
    <t>结算单价
（元）</t>
    <phoneticPr fontId="9" type="noConversion"/>
  </si>
  <si>
    <t>报价金额
（元）</t>
    <phoneticPr fontId="9" type="noConversion"/>
  </si>
  <si>
    <t>结算金额
(元）</t>
    <phoneticPr fontId="9" type="noConversion"/>
  </si>
  <si>
    <t>据实结算</t>
  </si>
  <si>
    <t>框架外物料</t>
    <phoneticPr fontId="9" type="noConversion"/>
  </si>
  <si>
    <t>J#001</t>
    <phoneticPr fontId="9" type="noConversion"/>
  </si>
  <si>
    <t>K#004</t>
    <phoneticPr fontId="9" type="noConversion"/>
  </si>
  <si>
    <t>单位 1
数量汇总</t>
    <phoneticPr fontId="9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</si>
  <si>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</si>
  <si>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</si>
  <si>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</si>
  <si>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</si>
  <si>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</si>
  <si>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</si>
  <si>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</si>
  <si>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</si>
  <si>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</si>
  <si>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</si>
  <si>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</si>
  <si>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</si>
  <si>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</si>
  <si>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
【选项】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</si>
  <si>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</si>
  <si>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</si>
  <si>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</si>
  <si>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</si>
  <si>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</si>
  <si>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</si>
  <si>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</si>
  <si>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</si>
  <si>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</si>
  <si>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</si>
  <si>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</si>
  <si>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#</t>
    <phoneticPr fontId="9" type="noConversion"/>
  </si>
  <si>
    <t>报价模块</t>
    <phoneticPr fontId="9" type="noConversion"/>
  </si>
  <si>
    <t>Onsite 人员类单项合计</t>
    <phoneticPr fontId="9" type="noConversion"/>
  </si>
  <si>
    <t>创意团队类单项合计</t>
    <phoneticPr fontId="9" type="noConversion"/>
  </si>
  <si>
    <t>差旅团队类单项合计</t>
    <phoneticPr fontId="9" type="noConversion"/>
  </si>
  <si>
    <t>物资采买类单项合计</t>
    <phoneticPr fontId="9" type="noConversion"/>
  </si>
  <si>
    <t>场地相关类单项合计</t>
    <phoneticPr fontId="9" type="noConversion"/>
  </si>
  <si>
    <t>报批及安保类类单项合计</t>
    <phoneticPr fontId="9" type="noConversion"/>
  </si>
  <si>
    <r>
      <rPr>
        <b/>
        <sz val="14"/>
        <rFont val="微软雅黑"/>
        <family val="2"/>
        <charset val="134"/>
      </rPr>
      <t>其他代垫付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（乙方拥有自有合适资源，甲方指定第三方供应商）</t>
    </r>
    <phoneticPr fontId="9" type="noConversion"/>
  </si>
  <si>
    <t>条目名称 (请勿修改灰色格内公式)</t>
    <phoneticPr fontId="9" type="noConversion"/>
  </si>
  <si>
    <t>其他代垫付单项合计</t>
    <phoneticPr fontId="9" type="noConversion"/>
  </si>
  <si>
    <t>单位 2
天数汇总</t>
    <phoneticPr fontId="9" type="noConversion"/>
  </si>
  <si>
    <t>单项汇总（元）</t>
    <phoneticPr fontId="9" type="noConversion"/>
  </si>
  <si>
    <t>条目名称</t>
  </si>
  <si>
    <t>条目名称（请勿修改）</t>
    <phoneticPr fontId="9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</si>
  <si>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</si>
  <si>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</si>
  <si>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</si>
  <si>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</si>
  <si>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</si>
  <si>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</si>
  <si>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</si>
  <si>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</si>
  <si>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</si>
  <si>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</si>
  <si>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</si>
  <si>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</si>
  <si>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</si>
  <si>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</si>
  <si>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</si>
  <si>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</si>
  <si>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</si>
  <si>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</si>
  <si>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</si>
  <si>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</si>
  <si>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</si>
  <si>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</si>
  <si>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</si>
  <si>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</si>
  <si>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</si>
  <si>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</si>
  <si>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</si>
  <si>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</si>
  <si>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</si>
  <si>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</si>
  <si>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</si>
  <si>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</si>
  <si>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</si>
  <si>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</si>
  <si>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</si>
  <si>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</si>
  <si>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</si>
  <si>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</si>
  <si>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</si>
  <si>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</si>
  <si>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</si>
  <si>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</si>
  <si>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</si>
  <si>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</si>
  <si>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M926524805110788100</t>
  </si>
  <si>
    <t>6-场地租赁</t>
  </si>
  <si>
    <t>10</t>
  </si>
  <si>
    <t>美元/人/小时</t>
  </si>
  <si>
    <t>CNY</t>
  </si>
  <si>
    <t>A2310000394</t>
  </si>
  <si>
    <t>926524805110788100</t>
  </si>
  <si>
    <t>V200002966</t>
  </si>
  <si>
    <t>2023/11/01 - 2023/11/30</t>
  </si>
  <si>
    <t>市场服务品类-线下活动-场地租赁</t>
  </si>
  <si>
    <t>*条目来源</t>
  </si>
  <si>
    <t/>
  </si>
  <si>
    <t>报价大类</t>
    <phoneticPr fontId="9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</si>
  <si>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</si>
  <si>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</si>
  <si>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</si>
  <si>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</si>
  <si>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</si>
  <si>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</si>
  <si>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</si>
  <si>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</si>
  <si>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</si>
  <si>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</si>
  <si>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</si>
  <si>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</si>
  <si>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</si>
  <si>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</si>
  <si>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</si>
  <si>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</si>
  <si>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</si>
  <si>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</si>
  <si>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</si>
  <si>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</si>
  <si>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</si>
  <si>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</si>
  <si>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</si>
  <si>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</si>
  <si>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</si>
  <si>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</si>
  <si>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</si>
  <si>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</si>
  <si>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</si>
  <si>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</si>
  <si>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</si>
  <si>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</si>
  <si>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</si>
  <si>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</si>
  <si>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</si>
  <si>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</si>
  <si>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</si>
  <si>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</si>
  <si>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</si>
  <si>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</si>
  <si>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</si>
  <si>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</si>
  <si>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</si>
  <si>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</si>
  <si>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</si>
  <si>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</si>
  <si>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</si>
  <si>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</si>
  <si>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</si>
  <si>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</si>
  <si>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</si>
  <si>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</si>
  <si>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</si>
  <si>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</si>
  <si>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</si>
  <si>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</si>
  <si>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</si>
  <si>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</si>
  <si>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</si>
  <si>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</si>
  <si>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</si>
  <si>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</si>
  <si>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</si>
  <si>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</si>
  <si>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</si>
  <si>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</si>
  <si>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</si>
  <si>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</si>
  <si>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</si>
  <si>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</si>
  <si>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</si>
  <si>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</si>
  <si>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</si>
  <si>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</si>
  <si>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</si>
  <si>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</si>
  <si>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</si>
  <si>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</si>
  <si>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</si>
  <si>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</si>
  <si>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</si>
  <si>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</si>
  <si>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</si>
  <si>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</si>
  <si>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</si>
  <si>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</si>
  <si>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</si>
  <si>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</si>
  <si>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</si>
  <si>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</si>
  <si>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</si>
  <si>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</si>
  <si>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</si>
  <si>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</si>
  <si>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</si>
  <si>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</si>
  <si>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</si>
  <si>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</si>
  <si>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</si>
  <si>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</si>
  <si>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</si>
  <si>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</si>
  <si>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</si>
  <si>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</si>
  <si>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</si>
  <si>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</si>
  <si>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</si>
  <si>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</si>
  <si>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</si>
  <si>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</si>
  <si>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</si>
  <si>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</si>
  <si>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</si>
  <si>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</si>
  <si>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</si>
  <si>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</si>
  <si>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</si>
  <si>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</si>
  <si>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</si>
  <si>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</si>
  <si>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</si>
  <si>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</si>
  <si>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</si>
  <si>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</si>
  <si>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</si>
  <si>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</si>
  <si>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</si>
  <si>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</si>
  <si>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</si>
  <si>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</si>
  <si>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</si>
  <si>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</si>
  <si>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</si>
  <si>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</si>
  <si>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</si>
  <si>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</si>
  <si>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</si>
  <si>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</si>
  <si>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</si>
  <si>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</si>
  <si>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</si>
  <si>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</si>
  <si>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</si>
  <si>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</si>
  <si>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</si>
  <si>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</si>
  <si>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</si>
  <si>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</si>
  <si>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</si>
  <si>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</si>
  <si>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</si>
  <si>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</si>
  <si>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</si>
  <si>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</si>
  <si>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</si>
  <si>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</si>
  <si>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</si>
  <si>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</si>
  <si>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</si>
  <si>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</si>
  <si>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</si>
  <si>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</si>
  <si>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</si>
  <si>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</si>
  <si>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</si>
  <si>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</si>
  <si>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</si>
  <si>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</si>
  <si>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</si>
  <si>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</si>
  <si>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</si>
  <si>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</si>
  <si>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</si>
  <si>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</si>
  <si>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</si>
  <si>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</si>
  <si>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</si>
  <si>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</si>
  <si>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</si>
  <si>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</si>
  <si>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</si>
  <si>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</si>
  <si>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</si>
  <si>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</si>
  <si>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</si>
  <si>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</si>
  <si>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</si>
  <si>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</si>
  <si>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</si>
  <si>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</si>
  <si>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</si>
  <si>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</si>
  <si>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</si>
  <si>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</si>
  <si>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</si>
  <si>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</si>
  <si>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</si>
  <si>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</si>
  <si>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</si>
  <si>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</si>
  <si>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</si>
  <si>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</si>
  <si>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</si>
  <si>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</si>
  <si>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</si>
  <si>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</si>
  <si>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</si>
  <si>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</si>
  <si>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</si>
  <si>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</si>
  <si>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</si>
  <si>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</si>
  <si>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</si>
  <si>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</si>
  <si>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</si>
  <si>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</si>
  <si>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</si>
  <si>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</si>
  <si>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</si>
  <si>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</si>
  <si>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</si>
  <si>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</si>
  <si>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</si>
  <si>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</si>
  <si>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</si>
  <si>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</si>
  <si>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</si>
  <si>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</si>
  <si>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</si>
  <si>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</si>
  <si>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</si>
  <si>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</si>
  <si>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</si>
  <si>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</si>
  <si>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</si>
  <si>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</si>
  <si>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</si>
  <si>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</si>
  <si>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</si>
  <si>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</si>
  <si>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</si>
  <si>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</si>
  <si>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</si>
  <si>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</si>
  <si>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</si>
  <si>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</si>
  <si>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</si>
  <si>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</si>
  <si>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</si>
  <si>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</si>
  <si>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</si>
  <si>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</si>
  <si>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</si>
  <si>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</si>
  <si>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</si>
  <si>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</si>
  <si>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</si>
  <si>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</si>
  <si>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</si>
  <si>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</si>
  <si>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</si>
  <si>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</si>
  <si>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</si>
  <si>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</si>
  <si>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</si>
  <si>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</si>
  <si>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</si>
  <si>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</si>
  <si>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</si>
  <si>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</si>
  <si>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</si>
  <si>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</si>
  <si>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</si>
  <si>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</si>
  <si>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</si>
  <si>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</si>
  <si>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</si>
  <si>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</si>
  <si>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</si>
  <si>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</si>
  <si>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</si>
  <si>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</si>
  <si>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</si>
  <si>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</si>
  <si>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</si>
  <si>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</si>
  <si>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</si>
  <si>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</si>
  <si>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</si>
  <si>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</si>
  <si>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</si>
  <si>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</si>
  <si>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</si>
  <si>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</si>
  <si>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</si>
  <si>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</si>
  <si>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</si>
  <si>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</si>
  <si>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</si>
  <si>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</si>
  <si>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</si>
  <si>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</si>
  <si>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</si>
  <si>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</si>
  <si>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</si>
  <si>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</si>
  <si>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</si>
  <si>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</si>
  <si>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</si>
  <si>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</si>
  <si>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</si>
  <si>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</si>
  <si>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</si>
  <si>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</si>
  <si>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</si>
  <si>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</si>
  <si>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</si>
  <si>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</si>
  <si>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</si>
  <si>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</si>
  <si>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</si>
  <si>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</si>
  <si>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</si>
  <si>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</si>
  <si>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</si>
  <si>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</si>
  <si>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</si>
  <si>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</si>
  <si>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</si>
  <si>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</si>
  <si>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</si>
  <si>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</si>
  <si>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</si>
  <si>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</si>
  <si>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</si>
  <si>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</si>
  <si>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</si>
  <si>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</si>
  <si>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</si>
  <si>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</si>
  <si>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</si>
  <si>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</si>
  <si>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</si>
  <si>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</si>
  <si>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</si>
  <si>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</si>
  <si>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</si>
  <si>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</si>
  <si>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</si>
  <si>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</si>
  <si>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</si>
  <si>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</si>
  <si>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</si>
  <si>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</si>
  <si>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</si>
  <si>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</si>
  <si>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Onsite 人员-服务人员-项目总监-人员劳务费。不含住宿、交通、补贴等费用，每天不超过8小时</t>
  </si>
  <si>
    <t>Onsite 人员-服务人员-项目经理-人员劳务费。不含住宿、交通、补贴等费用，每天不超过8小时</t>
  </si>
  <si>
    <t>Onsite 人员-服务人员-项目助理-人员劳务费。不含住宿、交通、补贴等费用，每天不超过8小时</t>
  </si>
  <si>
    <t>Onsite 人员-服务人员-地接上会服务人员-人员劳务费。不含住宿、交通、补贴等费用，每天不超过8小时</t>
  </si>
  <si>
    <t>Onsite 人员-导游-普通中文导游-人员劳务费。不含住宿、交通、补贴等费用，每天不超过8小时</t>
  </si>
  <si>
    <t>Onsite 人员-导游-高级中文导游-人员劳务费。不含住宿、交通、补贴等费用，每天不超过8小时</t>
  </si>
  <si>
    <t>Onsite 人员-导游-普通英文导游-人员劳务费。不含住宿、交通、补贴等费用，每天不超过8小时</t>
  </si>
  <si>
    <t>Onsite 人员-导游-高级英文导游-人员劳务费。不含住宿、交通、补贴等费用，每天不超过8小时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</si>
  <si>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</si>
  <si>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</si>
  <si>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</si>
  <si>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</si>
  <si>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</si>
  <si>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</si>
  <si>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</si>
  <si>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</si>
  <si>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</si>
  <si>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</si>
  <si>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</si>
  <si>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</si>
  <si>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</si>
  <si>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</si>
  <si>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</si>
  <si>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</si>
  <si>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</si>
  <si>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机酒餐-交通费-机票-机票-经济舱，不能为全价票</t>
  </si>
  <si>
    <t>机酒餐-交通费-高铁-高铁-二等座</t>
  </si>
  <si>
    <t>机酒餐-交通费-市内交通-打车-出租车、快车实报实销；不能为高档车辆</t>
  </si>
  <si>
    <t>物料采买-物料采买-物料采买-直接采买型，需提供购买链接/购买凭证</t>
  </si>
  <si>
    <t>场地相关-场地费用-场地租金-会议中心--</t>
  </si>
  <si>
    <t>场地相关-场地费用-场地租金-体育场馆--</t>
  </si>
  <si>
    <t>场地相关-场地费用-场地租金-户外草坪--</t>
  </si>
  <si>
    <t>场地相关-场地费用-场地租金-酒店--</t>
  </si>
  <si>
    <t>场地相关-场地费用-场地租金-演播厅/录影棚--</t>
  </si>
  <si>
    <t>场地相关-场地费用-场地租金-其他--</t>
  </si>
  <si>
    <t>场地相关-场地费用-场地租金-场地广告位--</t>
  </si>
  <si>
    <t>场地相关-场地费用-管理费用-场地管理-场地管理费</t>
  </si>
  <si>
    <t>场地相关-场地费用-管理费用-场地管理-吊点费</t>
  </si>
  <si>
    <t>场地相关-场地费用-管理费用-场地管理-施工证</t>
  </si>
  <si>
    <t>场地相关-场地费用-管理费用-场地管理-车证</t>
  </si>
  <si>
    <t>场地相关-场地费用-管理费用-专业服务-监理</t>
  </si>
  <si>
    <t>场地相关-场地费用-管理费用-专业服务-结构审核</t>
  </si>
  <si>
    <t>场地相关-场地费用-其他场地费用-水电费-电费</t>
  </si>
  <si>
    <t>场地相关-场地费用-其他场地费用-水电费-水费</t>
  </si>
  <si>
    <t>场地相关-场地费用-其他场地费用-场地押金-进场前缴纳场地押金，如有扣款则报在此行</t>
  </si>
  <si>
    <t>场地相关-场地费用-其他场地费用-场地杂费-场地杂费</t>
  </si>
  <si>
    <t>报批及安保-场地费用-管理费用-政府监管-场地报批</t>
  </si>
  <si>
    <t>报批及安保-场地费用-管理费用-政府监管-消电检查</t>
  </si>
  <si>
    <t>报批及安保-场地费用-管理费用-政府监管-场地公安报批</t>
  </si>
  <si>
    <t>报批及安保-场地费用-管理费用-政府监管-场地文化报批</t>
  </si>
  <si>
    <t>报批及安保-场地搭建-搭建费用-资质证明-搭建安全资质证明</t>
  </si>
  <si>
    <t>报批及安保-场地搭建-搭建费用-资质证明-防水认证</t>
  </si>
  <si>
    <t>报批及安保-场地搭建-搭建费用-资质证明-防火认证</t>
  </si>
  <si>
    <t>报批及安保-场地搭建-搭建费用-质检报告-提供符合国家要求的舞台结构、悬吊结构、电路安全等相关专业机构报告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</si>
  <si>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</si>
  <si>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</si>
  <si>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</si>
  <si>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</si>
  <si>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</si>
  <si>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</si>
  <si>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报批及安保-报批手续费-报批手续费-报批手续费-实报实销，需提第三方合同/支付凭证</t>
  </si>
  <si>
    <t>代垫付相关-代垫付本金-指定第三方本金-由我方指定的第三方，且我方确认费用明细，只需乙方提供代付款，无需管理及运营的费用为代垫付。</t>
  </si>
  <si>
    <t>服务费税费-项目税费-无票垫付费-第三方无票垫付服务费-服务费比例</t>
  </si>
  <si>
    <t>服务费税费-项目服务费-项目服务费-场地采买、酒店用房服务费-服务费比例</t>
  </si>
  <si>
    <t>服务费税费-项目服务费-项目服务费-机票、用车、用餐等第三方资源-服务费比例</t>
  </si>
  <si>
    <t>服务费税费-项目服务费-项目服务费-制作搭建、AVL设备、第三方人员服务费-服务费比例</t>
  </si>
  <si>
    <t>服务费税费-项目服务费-项目服务费-物资采买、其他代垫付服务费-服务费比例</t>
  </si>
  <si>
    <t>服务费税费-项目服务费-项目服务费-onsite人员服务费-服务费比例</t>
  </si>
  <si>
    <t>服务费税费-项目税费-项目税费-场地采买、酒店用房服务费-增值税比例</t>
  </si>
  <si>
    <t>服务费税费-项目税费-项目税费-机票、用车、用餐等第三方资源-增值税比例</t>
  </si>
  <si>
    <t>服务费税费-项目税费-项目税费-制作搭建、AVL设备、第三方人员服务费-增值税比例</t>
  </si>
  <si>
    <t>服务费税费-项目税费-项目税费-物资采买、代垫付、其他未罗列项服务费-增值税比例</t>
  </si>
  <si>
    <t>服务费税费-项目税费-项目税费-onsite人员服务费-增值税比例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</si>
  <si>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</si>
  <si>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</si>
  <si>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</si>
  <si>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</si>
  <si>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</si>
  <si>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</si>
  <si>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</si>
  <si>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</si>
  <si>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</si>
  <si>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天</t>
  </si>
  <si>
    <t>份</t>
  </si>
  <si>
    <t>搭建制作</t>
    <phoneticPr fontId="9" type="noConversion"/>
  </si>
  <si>
    <t>i#001</t>
    <phoneticPr fontId="9" type="noConversion"/>
  </si>
  <si>
    <t>主会场</t>
  </si>
  <si>
    <t>序厅</t>
  </si>
  <si>
    <t xml:space="preserve"> 条目 </t>
    <phoneticPr fontId="9" type="noConversion"/>
  </si>
  <si>
    <t>币种</t>
    <phoneticPr fontId="9" type="noConversion"/>
  </si>
  <si>
    <t>CNY, USD, JPY , HKD</t>
    <phoneticPr fontId="9" type="noConversion"/>
  </si>
  <si>
    <t>价格库业务编号</t>
    <phoneticPr fontId="9" type="noConversion"/>
  </si>
  <si>
    <t>价格库业务编号
（请勿修改）</t>
    <phoneticPr fontId="9" type="noConversion"/>
  </si>
  <si>
    <t>Ratecard序号
（请勿修改）</t>
    <phoneticPr fontId="9" type="noConversion"/>
  </si>
  <si>
    <t>M926524805110788101</t>
    <phoneticPr fontId="9" type="noConversion"/>
  </si>
  <si>
    <t>M926524805110788103</t>
    <phoneticPr fontId="9" type="noConversion"/>
  </si>
  <si>
    <t>M926524805110788102</t>
    <phoneticPr fontId="9" type="noConversion"/>
  </si>
  <si>
    <t>M926524805110788104</t>
    <phoneticPr fontId="9" type="noConversion"/>
  </si>
  <si>
    <t>V200002967</t>
  </si>
  <si>
    <t>V200002968</t>
  </si>
  <si>
    <t>V200002969</t>
  </si>
  <si>
    <t>V200002970</t>
  </si>
  <si>
    <t>AVL设备</t>
    <phoneticPr fontId="9" type="noConversion"/>
  </si>
  <si>
    <t>第三方人员</t>
    <phoneticPr fontId="9" type="noConversion"/>
  </si>
  <si>
    <r>
      <rPr>
        <b/>
        <sz val="14"/>
        <color theme="1"/>
        <rFont val="微软雅黑"/>
        <family val="2"/>
        <charset val="134"/>
      </rPr>
      <t>Onsite人员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（含供应商人员及导游等）</t>
    </r>
    <phoneticPr fontId="9" type="noConversion"/>
  </si>
  <si>
    <r>
      <rPr>
        <b/>
        <sz val="14"/>
        <color theme="1"/>
        <rFont val="微软雅黑"/>
        <family val="2"/>
        <charset val="134"/>
      </rPr>
      <t>创意团队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（含演出日、彩排日及每个岗位实际参与的筹备日期）</t>
    </r>
    <phoneticPr fontId="9" type="noConversion"/>
  </si>
  <si>
    <r>
      <rPr>
        <b/>
        <sz val="14"/>
        <color theme="1"/>
        <rFont val="微软雅黑"/>
        <family val="2"/>
        <charset val="134"/>
      </rPr>
      <t>差旅接待</t>
    </r>
    <r>
      <rPr>
        <b/>
        <sz val="12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（含乙方人员、接待嘉宾的机票、酒店、订车、餐食等）</t>
    </r>
    <phoneticPr fontId="9" type="noConversion"/>
  </si>
  <si>
    <r>
      <rPr>
        <b/>
        <sz val="14"/>
        <rFont val="微软雅黑"/>
        <family val="2"/>
        <charset val="134"/>
      </rPr>
      <t>物资采买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（直接采买型，需提供购买链接/购买凭证）</t>
    </r>
    <phoneticPr fontId="9" type="noConversion"/>
  </si>
  <si>
    <r>
      <rPr>
        <b/>
        <sz val="14"/>
        <rFont val="微软雅黑"/>
        <family val="2"/>
        <charset val="134"/>
      </rPr>
      <t xml:space="preserve">场地相关
</t>
    </r>
    <r>
      <rPr>
        <sz val="8"/>
        <rFont val="微软雅黑"/>
        <family val="2"/>
        <charset val="134"/>
      </rPr>
      <t>（场地直接费用及场地方强关联的间接费用，需提第三方合同/支付凭证）</t>
    </r>
    <phoneticPr fontId="9" type="noConversion"/>
  </si>
  <si>
    <r>
      <rPr>
        <b/>
        <sz val="14"/>
        <rFont val="微软雅黑"/>
        <family val="2"/>
        <charset val="134"/>
      </rPr>
      <t>报批及安保</t>
    </r>
    <r>
      <rPr>
        <b/>
        <sz val="8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（需提第三方合同/支付凭证）</t>
    </r>
    <phoneticPr fontId="9" type="noConversion"/>
  </si>
  <si>
    <t>2023/11/01 - 2023/11/31</t>
  </si>
  <si>
    <t>2023/11/01 - 2023/11/32</t>
  </si>
  <si>
    <t>2023/11/01 - 2023/11/33</t>
  </si>
  <si>
    <t>2023/11/01 - 2023/11/34</t>
  </si>
  <si>
    <t>V200002971</t>
  </si>
  <si>
    <t>2023/11/01 - 2023/11/35</t>
  </si>
  <si>
    <t>V200002972</t>
  </si>
  <si>
    <t>2023/11/01 - 2023/11/36</t>
  </si>
  <si>
    <t>V200002973</t>
  </si>
  <si>
    <t>2023/11/01 - 2023/11/37</t>
  </si>
  <si>
    <t>V200002974</t>
  </si>
  <si>
    <t>2023/11/01 - 2023/11/38</t>
  </si>
  <si>
    <t>V200002975</t>
  </si>
  <si>
    <t>2023/11/01 - 2023/11/39</t>
  </si>
  <si>
    <t>V200002976</t>
  </si>
  <si>
    <t>2023/11/01 - 2023/11/40</t>
  </si>
  <si>
    <t>V200002977</t>
  </si>
  <si>
    <t>2023/11/01 - 2023/11/41</t>
  </si>
  <si>
    <t>V200002978</t>
  </si>
  <si>
    <t>2023/11/01 - 2023/11/42</t>
  </si>
  <si>
    <t>V200002979</t>
  </si>
  <si>
    <t>2023/11/01 - 2023/11/43</t>
  </si>
  <si>
    <t>V200002980</t>
  </si>
  <si>
    <t>2023/11/01 - 2023/11/44</t>
  </si>
  <si>
    <t>V200002981</t>
  </si>
  <si>
    <t>2023/11/01 - 2023/11/45</t>
  </si>
  <si>
    <t>V200002982</t>
  </si>
  <si>
    <t>2023/11/01 - 2023/11/46</t>
  </si>
  <si>
    <t>V200002983</t>
  </si>
  <si>
    <t>2023/11/01 - 2023/11/47</t>
  </si>
  <si>
    <t>V200002984</t>
  </si>
  <si>
    <t>2023/11/01 - 2023/11/48</t>
  </si>
  <si>
    <t>V200002985</t>
  </si>
  <si>
    <t>2023/11/01 - 2023/11/49</t>
  </si>
  <si>
    <t>V200002986</t>
  </si>
  <si>
    <t>2023/11/01 - 2023/11/50</t>
  </si>
  <si>
    <t>V200002987</t>
  </si>
  <si>
    <t>2023/11/01 - 2023/11/51</t>
  </si>
  <si>
    <t>V200002988</t>
  </si>
  <si>
    <t>2023/11/01 - 2023/11/52</t>
  </si>
  <si>
    <t>V200002989</t>
  </si>
  <si>
    <t>2023/11/01 - 2023/11/53</t>
  </si>
  <si>
    <t>V200002990</t>
  </si>
  <si>
    <t>2023/11/01 - 2023/11/54</t>
  </si>
  <si>
    <t>V200002991</t>
  </si>
  <si>
    <t>2023/11/01 - 2023/11/55</t>
  </si>
  <si>
    <t>V200002992</t>
  </si>
  <si>
    <t>2023/11/01 - 2023/11/56</t>
  </si>
  <si>
    <t>请各位合作伙伴注意：
字节跳动集团承诺按照贵公司的Ratecard (费用标准) 和有效服务内容为贵公司提供的服务付费，除此之外所有费用应为含税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 3.框架内物料”sheet为Ratecard约定的基准价格，“2.报价结算清单”所用到的“索引基础物料序号”，需对应在“3.框架内物料”sheet填入含税单价，价格必须为“绝对值”，不能填写区间值。
2、在“ 2.报价结算清单”sheet，E列填入本次报价所需使用的基础项【序号】，以自动带出“具体说明”、“计价单位”、“含税单价（元）”。
3、未在“3.框架内物料”中列明的项，则在“2.报价结算清单”sheet，E列填入【框架外物料】。
4、在“2.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9" type="noConversion"/>
  </si>
  <si>
    <t>项</t>
    <phoneticPr fontId="9" type="noConversion"/>
  </si>
  <si>
    <t>服务费及税费</t>
    <phoneticPr fontId="9" type="noConversion"/>
  </si>
  <si>
    <t>服务费及税费单项合计</t>
    <phoneticPr fontId="9" type="noConversion"/>
  </si>
  <si>
    <t>增票垫付</t>
    <phoneticPr fontId="9" type="noConversion"/>
  </si>
  <si>
    <t>无票垫付</t>
    <phoneticPr fontId="9" type="noConversion"/>
  </si>
  <si>
    <t>人/天</t>
    <phoneticPr fontId="9" type="noConversion"/>
  </si>
  <si>
    <t>搭建制作</t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</si>
  <si>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</si>
  <si>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</si>
  <si>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</si>
  <si>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</si>
  <si>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</si>
  <si>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</si>
  <si>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</si>
  <si>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</si>
  <si>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</si>
  <si>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</si>
  <si>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</si>
  <si>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</si>
  <si>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</si>
  <si>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</si>
  <si>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</si>
  <si>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</si>
  <si>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</si>
  <si>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</si>
  <si>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</si>
  <si>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</si>
  <si>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</si>
  <si>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</si>
  <si>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</si>
  <si>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</si>
  <si>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</si>
  <si>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</si>
  <si>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</si>
  <si>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</si>
  <si>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</si>
  <si>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</si>
  <si>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</si>
  <si>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</si>
  <si>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</si>
  <si>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</si>
  <si>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</si>
  <si>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</si>
  <si>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</si>
  <si>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</si>
  <si>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</si>
  <si>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</si>
  <si>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</si>
  <si>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</si>
  <si>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</si>
  <si>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</si>
  <si>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</si>
  <si>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</si>
  <si>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</si>
  <si>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</si>
  <si>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</si>
  <si>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</si>
  <si>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</si>
  <si>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</si>
  <si>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</si>
  <si>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</si>
  <si>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</si>
  <si>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</si>
  <si>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</si>
  <si>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</si>
  <si>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</si>
  <si>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</si>
  <si>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</si>
  <si>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</si>
  <si>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</si>
  <si>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</si>
  <si>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</si>
  <si>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</si>
  <si>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</si>
  <si>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</si>
  <si>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</si>
  <si>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</si>
  <si>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</si>
  <si>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</si>
  <si>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</si>
  <si>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</si>
  <si>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</si>
  <si>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</si>
  <si>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</si>
  <si>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</si>
  <si>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</si>
  <si>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</si>
  <si>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</si>
  <si>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</si>
  <si>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</si>
  <si>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</si>
  <si>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</si>
  <si>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</si>
  <si>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</si>
  <si>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</si>
  <si>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</si>
  <si>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</si>
  <si>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</si>
  <si>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</si>
  <si>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</si>
  <si>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</si>
  <si>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</si>
  <si>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</si>
  <si>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</si>
  <si>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</si>
  <si>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</si>
  <si>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</si>
  <si>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</si>
  <si>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</si>
  <si>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</si>
  <si>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</si>
  <si>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</si>
  <si>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</si>
  <si>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</si>
  <si>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</si>
  <si>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</si>
  <si>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</si>
  <si>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</si>
  <si>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</si>
  <si>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</si>
  <si>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</si>
  <si>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</si>
  <si>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</si>
  <si>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</si>
  <si>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</si>
  <si>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</si>
  <si>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</si>
  <si>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</si>
  <si>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</si>
  <si>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</si>
  <si>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</si>
  <si>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</si>
  <si>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</si>
  <si>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</si>
  <si>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</si>
  <si>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</si>
  <si>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</si>
  <si>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</si>
  <si>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</si>
  <si>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</si>
  <si>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</si>
  <si>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</si>
  <si>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</si>
  <si>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</si>
  <si>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</si>
  <si>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</si>
  <si>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</si>
  <si>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</si>
  <si>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</si>
  <si>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</si>
  <si>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</si>
  <si>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</si>
  <si>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</si>
  <si>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</si>
  <si>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</si>
  <si>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</si>
  <si>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</si>
  <si>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</si>
  <si>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</si>
  <si>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Onsite 人员</t>
  </si>
  <si>
    <t>创意</t>
  </si>
  <si>
    <t>创意-导演组-演职员组-妆发师-3年以上化妆经验
人员劳务费。不含住宿、交通、补贴等费用，每场不超过8小时，含个税，此价格为最高限价，以实际发生为准</t>
  </si>
  <si>
    <t>接待用车</t>
  </si>
  <si>
    <t>机酒餐</t>
  </si>
  <si>
    <t>机酒餐-住宿费-酒店-酒店-二人一间，一线城市北、上、广、深，不得超过500元/间/晚
二、三线城市不得超过400元/间/晚，数量上限为20夜/城市</t>
  </si>
  <si>
    <t>机酒餐-餐费-餐费-餐费-乙方人员餐费不得超过100元/人/天
已含餐费的第三方人员不得重复收费</t>
  </si>
  <si>
    <t>I#001</t>
  </si>
  <si>
    <t>物料采买</t>
  </si>
  <si>
    <t>场地相关</t>
  </si>
  <si>
    <t>报批及安保</t>
  </si>
  <si>
    <t>代垫付</t>
  </si>
  <si>
    <t>服务费税费</t>
  </si>
  <si>
    <t>框架内物料</t>
    <phoneticPr fontId="9" type="noConversion"/>
  </si>
  <si>
    <t>据实结算</t>
    <phoneticPr fontId="9" type="noConversion"/>
  </si>
  <si>
    <t>酒店</t>
    <phoneticPr fontId="9" type="noConversion"/>
  </si>
  <si>
    <t>行前礼品</t>
    <phoneticPr fontId="9" type="noConversion"/>
  </si>
  <si>
    <t>定制眼罩</t>
    <phoneticPr fontId="9" type="noConversion"/>
  </si>
  <si>
    <t>定制行李牌</t>
    <phoneticPr fontId="9" type="noConversion"/>
  </si>
  <si>
    <t>定制颈枕</t>
    <phoneticPr fontId="9" type="noConversion"/>
  </si>
  <si>
    <t>邀请函（信封+邀请函）</t>
    <phoneticPr fontId="9" type="noConversion"/>
  </si>
  <si>
    <t>主播行前礼盒</t>
    <phoneticPr fontId="9" type="noConversion"/>
  </si>
  <si>
    <t>定制眼罩吊牌</t>
    <phoneticPr fontId="9" type="noConversion"/>
  </si>
  <si>
    <t>邀请函（信封压印工艺+邀请函烫金烫银）</t>
    <phoneticPr fontId="9" type="noConversion"/>
  </si>
  <si>
    <t>元</t>
    <phoneticPr fontId="9" type="noConversion"/>
  </si>
  <si>
    <t>签到台</t>
    <phoneticPr fontId="9" type="noConversion"/>
  </si>
  <si>
    <t>零食区</t>
    <phoneticPr fontId="9" type="noConversion"/>
  </si>
  <si>
    <t>A#157</t>
    <phoneticPr fontId="9" type="noConversion"/>
  </si>
  <si>
    <t>户外指引</t>
    <phoneticPr fontId="9" type="noConversion"/>
  </si>
  <si>
    <t>A#211</t>
    <phoneticPr fontId="9" type="noConversion"/>
  </si>
  <si>
    <t>餐券</t>
    <phoneticPr fontId="9" type="noConversion"/>
  </si>
  <si>
    <t>商务餐菜单</t>
    <phoneticPr fontId="9" type="noConversion"/>
  </si>
  <si>
    <t>生日贺卡</t>
    <phoneticPr fontId="9" type="noConversion"/>
  </si>
  <si>
    <t>零食区结构</t>
    <phoneticPr fontId="9" type="noConversion"/>
  </si>
  <si>
    <t>A#067</t>
    <phoneticPr fontId="9" type="noConversion"/>
  </si>
  <si>
    <t>烤漆台</t>
    <phoneticPr fontId="9" type="noConversion"/>
  </si>
  <si>
    <t>道旗</t>
    <phoneticPr fontId="9" type="noConversion"/>
  </si>
  <si>
    <t>室内指引</t>
    <phoneticPr fontId="9" type="noConversion"/>
  </si>
  <si>
    <t>A#166</t>
    <phoneticPr fontId="9" type="noConversion"/>
  </si>
  <si>
    <t>A#160</t>
    <phoneticPr fontId="9" type="noConversion"/>
  </si>
  <si>
    <t>定制房卡</t>
    <phoneticPr fontId="9" type="noConversion"/>
  </si>
  <si>
    <t>定制房卡套</t>
    <phoneticPr fontId="9" type="noConversion"/>
  </si>
  <si>
    <t>定制主播手信礼盒</t>
    <phoneticPr fontId="9" type="noConversion"/>
  </si>
  <si>
    <t>定制积木相框</t>
    <phoneticPr fontId="9" type="noConversion"/>
  </si>
  <si>
    <t>定制餐具包装</t>
    <phoneticPr fontId="9" type="noConversion"/>
  </si>
  <si>
    <t>拍照区纸艺</t>
    <phoneticPr fontId="9" type="noConversion"/>
  </si>
  <si>
    <t>酒店内</t>
    <phoneticPr fontId="9" type="noConversion"/>
  </si>
  <si>
    <t>个</t>
    <phoneticPr fontId="9" type="noConversion"/>
  </si>
  <si>
    <t>机场</t>
    <phoneticPr fontId="9" type="noConversion"/>
  </si>
  <si>
    <t>接机牌</t>
    <phoneticPr fontId="9" type="noConversion"/>
  </si>
  <si>
    <t>A#115</t>
    <phoneticPr fontId="9" type="noConversion"/>
  </si>
  <si>
    <t>接机牌（主播+VIP）火车站+机场</t>
    <phoneticPr fontId="9" type="noConversion"/>
  </si>
  <si>
    <t>车头牌</t>
    <phoneticPr fontId="9" type="noConversion"/>
  </si>
  <si>
    <t>框架外物料</t>
  </si>
  <si>
    <t>全程使用</t>
    <phoneticPr fontId="9" type="noConversion"/>
  </si>
  <si>
    <t>定制纸巾</t>
    <phoneticPr fontId="9" type="noConversion"/>
  </si>
  <si>
    <t>定制纸巾+定制纸巾盒</t>
    <phoneticPr fontId="9" type="noConversion"/>
  </si>
  <si>
    <t>盒</t>
    <phoneticPr fontId="9" type="noConversion"/>
  </si>
  <si>
    <t>手提袋</t>
    <phoneticPr fontId="9" type="noConversion"/>
  </si>
  <si>
    <t>主播+VIP分别定制使用</t>
    <phoneticPr fontId="9" type="noConversion"/>
  </si>
  <si>
    <t>A#231</t>
    <phoneticPr fontId="9" type="noConversion"/>
  </si>
  <si>
    <t>定制湿巾</t>
    <phoneticPr fontId="9" type="noConversion"/>
  </si>
  <si>
    <t>定制湿纸巾（每包10片）</t>
    <phoneticPr fontId="9" type="noConversion"/>
  </si>
  <si>
    <t>包</t>
    <phoneticPr fontId="9" type="noConversion"/>
  </si>
  <si>
    <t>A#226</t>
    <phoneticPr fontId="9" type="noConversion"/>
  </si>
  <si>
    <t>臂贴</t>
    <phoneticPr fontId="9" type="noConversion"/>
  </si>
  <si>
    <t>A#230</t>
    <phoneticPr fontId="9" type="noConversion"/>
  </si>
  <si>
    <t>工作人员服装</t>
    <phoneticPr fontId="9" type="noConversion"/>
  </si>
  <si>
    <t>定制矿泉水</t>
    <phoneticPr fontId="9" type="noConversion"/>
  </si>
  <si>
    <t>瓶</t>
    <phoneticPr fontId="9" type="noConversion"/>
  </si>
  <si>
    <t>机场+酒店</t>
    <phoneticPr fontId="9" type="noConversion"/>
  </si>
  <si>
    <t>云摄影</t>
    <phoneticPr fontId="9" type="noConversion"/>
  </si>
  <si>
    <t>C#035</t>
    <phoneticPr fontId="9" type="noConversion"/>
  </si>
  <si>
    <t>机场礼仪</t>
    <phoneticPr fontId="9" type="noConversion"/>
  </si>
  <si>
    <t>酒店礼仪</t>
    <phoneticPr fontId="9" type="noConversion"/>
  </si>
  <si>
    <t>C#052</t>
    <phoneticPr fontId="9" type="noConversion"/>
  </si>
  <si>
    <t>主播酒店礼仪</t>
    <phoneticPr fontId="9" type="noConversion"/>
  </si>
  <si>
    <t>VIP酒店礼仪</t>
    <phoneticPr fontId="9" type="noConversion"/>
  </si>
  <si>
    <t>工作人员</t>
    <phoneticPr fontId="9" type="noConversion"/>
  </si>
  <si>
    <t>项目总监</t>
    <phoneticPr fontId="9" type="noConversion"/>
  </si>
  <si>
    <t>D#001</t>
    <phoneticPr fontId="9" type="noConversion"/>
  </si>
  <si>
    <t>D#002</t>
    <phoneticPr fontId="9" type="noConversion"/>
  </si>
  <si>
    <t>项目经理</t>
    <phoneticPr fontId="9" type="noConversion"/>
  </si>
  <si>
    <t>项目助理</t>
    <phoneticPr fontId="9" type="noConversion"/>
  </si>
  <si>
    <t>地接上会服务人员</t>
    <phoneticPr fontId="9" type="noConversion"/>
  </si>
  <si>
    <t>机场预计6，火车站4个，两家酒店每家8个，会场车辆调度3个，车辆调度3个，主播1v1小管家10</t>
    <phoneticPr fontId="9" type="noConversion"/>
  </si>
  <si>
    <t>大交通</t>
    <phoneticPr fontId="9" type="noConversion"/>
  </si>
  <si>
    <t>主播大交通</t>
    <phoneticPr fontId="9" type="noConversion"/>
  </si>
  <si>
    <t>工作人员踩线大交通</t>
    <phoneticPr fontId="9" type="noConversion"/>
  </si>
  <si>
    <t>VIP大交通</t>
    <phoneticPr fontId="9" type="noConversion"/>
  </si>
  <si>
    <t>主播高铁</t>
    <phoneticPr fontId="9" type="noConversion"/>
  </si>
  <si>
    <t>市内交通</t>
    <phoneticPr fontId="9" type="noConversion"/>
  </si>
  <si>
    <t>工作人员市内交通</t>
    <phoneticPr fontId="9" type="noConversion"/>
  </si>
  <si>
    <t>工作人员全程打车费用</t>
    <phoneticPr fontId="9" type="noConversion"/>
  </si>
  <si>
    <t>住宿</t>
    <phoneticPr fontId="9" type="noConversion"/>
  </si>
  <si>
    <t>工作人员住宿</t>
    <phoneticPr fontId="9" type="noConversion"/>
  </si>
  <si>
    <t>工作人员踩线住宿</t>
    <phoneticPr fontId="9" type="noConversion"/>
  </si>
  <si>
    <t>餐饮</t>
    <phoneticPr fontId="9" type="noConversion"/>
  </si>
  <si>
    <t>工作人员用餐</t>
    <phoneticPr fontId="9" type="noConversion"/>
  </si>
  <si>
    <t>VIP酒店-华尔道夫 豪华大床房</t>
    <phoneticPr fontId="9" type="noConversion"/>
  </si>
  <si>
    <t>间</t>
    <phoneticPr fontId="9" type="noConversion"/>
  </si>
  <si>
    <t>VIP酒店-华尔道夫 尊荣大床房</t>
    <phoneticPr fontId="9" type="noConversion"/>
  </si>
  <si>
    <t>主播接机鲜花</t>
    <phoneticPr fontId="9" type="noConversion"/>
  </si>
  <si>
    <t>主播接机冷泡茶</t>
    <phoneticPr fontId="9" type="noConversion"/>
  </si>
  <si>
    <t>主播VIP通道费用</t>
    <phoneticPr fontId="9" type="noConversion"/>
  </si>
  <si>
    <t>人</t>
    <phoneticPr fontId="9" type="noConversion"/>
  </si>
  <si>
    <t>VIP酒店</t>
    <phoneticPr fontId="9" type="noConversion"/>
  </si>
  <si>
    <t>主播酒店</t>
    <phoneticPr fontId="9" type="noConversion"/>
  </si>
  <si>
    <t>主播接待</t>
    <phoneticPr fontId="9" type="noConversion"/>
  </si>
  <si>
    <t>接机鲜花</t>
    <phoneticPr fontId="9" type="noConversion"/>
  </si>
  <si>
    <t>接机茶饮</t>
    <phoneticPr fontId="9" type="noConversion"/>
  </si>
  <si>
    <t>VIP贵宾通道费用</t>
    <phoneticPr fontId="9" type="noConversion"/>
  </si>
  <si>
    <t>主播房间鲜花</t>
    <phoneticPr fontId="9" type="noConversion"/>
  </si>
  <si>
    <t>主播房间欢迎水果</t>
    <phoneticPr fontId="9" type="noConversion"/>
  </si>
  <si>
    <t>主播房间生日环境布置</t>
    <phoneticPr fontId="9" type="noConversion"/>
  </si>
  <si>
    <t>主播生日蛋糕</t>
    <phoneticPr fontId="9" type="noConversion"/>
  </si>
  <si>
    <t>主播酒店自助午餐</t>
    <phoneticPr fontId="9" type="noConversion"/>
  </si>
  <si>
    <t>人次</t>
    <phoneticPr fontId="9" type="noConversion"/>
  </si>
  <si>
    <t>主播酒店自助晚餐</t>
    <phoneticPr fontId="9" type="noConversion"/>
  </si>
  <si>
    <t>主播酒店茶歇</t>
    <phoneticPr fontId="9" type="noConversion"/>
  </si>
  <si>
    <t>主播生日布置</t>
    <phoneticPr fontId="9" type="noConversion"/>
  </si>
  <si>
    <t>自助午餐</t>
    <phoneticPr fontId="9" type="noConversion"/>
  </si>
  <si>
    <t>自助晚餐</t>
    <phoneticPr fontId="9" type="noConversion"/>
  </si>
  <si>
    <t>酒店茶歇</t>
    <phoneticPr fontId="9" type="noConversion"/>
  </si>
  <si>
    <t>主播酒店庆功宴</t>
    <phoneticPr fontId="9" type="noConversion"/>
  </si>
  <si>
    <t>桌</t>
    <phoneticPr fontId="9" type="noConversion"/>
  </si>
  <si>
    <t>VIP嘉宾机场VIP通道费用</t>
    <phoneticPr fontId="9" type="noConversion"/>
  </si>
  <si>
    <t>VIP房间欢迎水果</t>
    <phoneticPr fontId="9" type="noConversion"/>
  </si>
  <si>
    <t>VIP房间定制巧克力</t>
    <phoneticPr fontId="9" type="noConversion"/>
  </si>
  <si>
    <t>VIP 接机鲜花</t>
    <phoneticPr fontId="9" type="noConversion"/>
  </si>
  <si>
    <t>VIP房间起泡酒鲜花套装</t>
    <phoneticPr fontId="9" type="noConversion"/>
  </si>
  <si>
    <t>VIP酒店自助午餐</t>
    <phoneticPr fontId="9" type="noConversion"/>
  </si>
  <si>
    <t>VIP酒店自助晚餐</t>
    <phoneticPr fontId="9" type="noConversion"/>
  </si>
  <si>
    <t>VIP酒店茶歇</t>
    <phoneticPr fontId="9" type="noConversion"/>
  </si>
  <si>
    <t>庆功宴</t>
    <phoneticPr fontId="9" type="noConversion"/>
  </si>
  <si>
    <t>VIP接待</t>
    <phoneticPr fontId="9" type="noConversion"/>
  </si>
  <si>
    <t>机场贵宾通道费用</t>
    <phoneticPr fontId="9" type="noConversion"/>
  </si>
  <si>
    <t>房间欢迎水果</t>
    <phoneticPr fontId="9" type="noConversion"/>
  </si>
  <si>
    <t>房间定制巧克力</t>
    <phoneticPr fontId="9" type="noConversion"/>
  </si>
  <si>
    <t>起泡酒鲜花套装</t>
    <phoneticPr fontId="9" type="noConversion"/>
  </si>
  <si>
    <t>小交通</t>
    <phoneticPr fontId="9" type="noConversion"/>
  </si>
  <si>
    <t>G#008</t>
    <phoneticPr fontId="9" type="noConversion"/>
  </si>
  <si>
    <t>主播彩排用车，按每天10辆预估</t>
    <phoneticPr fontId="9" type="noConversion"/>
  </si>
  <si>
    <t>VIP全程用车，含酒店及会场备车</t>
    <phoneticPr fontId="9" type="noConversion"/>
  </si>
  <si>
    <t>G#011</t>
    <phoneticPr fontId="9" type="noConversion"/>
  </si>
  <si>
    <t>G#014</t>
    <phoneticPr fontId="9" type="noConversion"/>
  </si>
  <si>
    <t>C#046</t>
    <phoneticPr fontId="9" type="noConversion"/>
  </si>
  <si>
    <t>奔驰V-class，1天8小时 or 100km, 超出公里数及时间另计费</t>
    <phoneticPr fontId="9" type="noConversion"/>
  </si>
  <si>
    <t>每辆每天</t>
    <phoneticPr fontId="9" type="noConversion"/>
  </si>
  <si>
    <t>奔驰S，1天8小时 or 100km, 超出公里数及时间另计费</t>
    <phoneticPr fontId="9" type="noConversion"/>
  </si>
  <si>
    <t>埃尔法，1天8小时 or 100km, 超出公里数及时间另计费</t>
    <phoneticPr fontId="9" type="noConversion"/>
  </si>
  <si>
    <t>超时200元/小时，超公里15元/公里</t>
    <phoneticPr fontId="9" type="noConversion"/>
  </si>
  <si>
    <t>超时280元/小时，超公里20元/公里</t>
    <phoneticPr fontId="9" type="noConversion"/>
  </si>
  <si>
    <t>厦门酒店内主播零食</t>
    <phoneticPr fontId="9" type="noConversion"/>
  </si>
  <si>
    <t>泡澡球</t>
    <phoneticPr fontId="9" type="noConversion"/>
  </si>
  <si>
    <t>泡澡袋</t>
    <phoneticPr fontId="9" type="noConversion"/>
  </si>
  <si>
    <t>棉柔巾</t>
    <phoneticPr fontId="9" type="noConversion"/>
  </si>
  <si>
    <t>足贴</t>
    <phoneticPr fontId="9" type="noConversion"/>
  </si>
  <si>
    <t>主播手信茶叶</t>
    <phoneticPr fontId="9" type="noConversion"/>
  </si>
  <si>
    <t>主播手信牛轧糖</t>
    <phoneticPr fontId="9" type="noConversion"/>
  </si>
  <si>
    <t>主播手信凤梨酥</t>
    <phoneticPr fontId="9" type="noConversion"/>
  </si>
  <si>
    <t>主播形象积木</t>
    <phoneticPr fontId="9" type="noConversion"/>
  </si>
  <si>
    <t>酒店备品（医疗箱，跌打损伤药品，滴眼液等）</t>
    <phoneticPr fontId="9" type="noConversion"/>
  </si>
  <si>
    <t>套</t>
    <phoneticPr fontId="9" type="noConversion"/>
  </si>
  <si>
    <t>厦门</t>
    <phoneticPr fontId="9" type="noConversion"/>
  </si>
  <si>
    <t>汇总（未含服务费）、</t>
    <phoneticPr fontId="9" type="noConversion"/>
  </si>
  <si>
    <t>酒店安保</t>
    <phoneticPr fontId="9" type="noConversion"/>
  </si>
  <si>
    <t>VIP酒店安保</t>
    <phoneticPr fontId="9" type="noConversion"/>
  </si>
  <si>
    <t>物料采买</t>
    <phoneticPr fontId="9" type="noConversion"/>
  </si>
  <si>
    <t>主播行前礼品眼罩</t>
    <phoneticPr fontId="9" type="noConversion"/>
  </si>
  <si>
    <t>主播便携雨衣</t>
    <phoneticPr fontId="9" type="noConversion"/>
  </si>
  <si>
    <t>定制凤梨酥包装贴盒</t>
    <phoneticPr fontId="9" type="noConversion"/>
  </si>
  <si>
    <t>VIP+主播充电宝</t>
    <phoneticPr fontId="9" type="noConversion"/>
  </si>
  <si>
    <t>VIP巴黎水+依云水</t>
    <phoneticPr fontId="9" type="noConversion"/>
  </si>
  <si>
    <t>生日布置</t>
    <phoneticPr fontId="9" type="noConversion"/>
  </si>
  <si>
    <t>VIP房间生日布置</t>
    <phoneticPr fontId="9" type="noConversion"/>
  </si>
  <si>
    <t>次</t>
    <phoneticPr fontId="9" type="noConversion"/>
  </si>
  <si>
    <t>生日蛋糕</t>
    <phoneticPr fontId="9" type="noConversion"/>
  </si>
  <si>
    <t>VIP生日蛋糕</t>
    <phoneticPr fontId="9" type="noConversion"/>
  </si>
  <si>
    <t>嘉宾保险</t>
    <phoneticPr fontId="9" type="noConversion"/>
  </si>
  <si>
    <t>嘉宾活动意外险</t>
    <phoneticPr fontId="9" type="noConversion"/>
  </si>
  <si>
    <t>礼品说明卡</t>
    <phoneticPr fontId="9" type="noConversion"/>
  </si>
  <si>
    <t>张</t>
    <phoneticPr fontId="9" type="noConversion"/>
  </si>
  <si>
    <t>工作人员大交通</t>
    <phoneticPr fontId="9" type="noConversion"/>
  </si>
  <si>
    <t>A#132</t>
    <phoneticPr fontId="9" type="noConversion"/>
  </si>
  <si>
    <t>拍照区</t>
    <phoneticPr fontId="9" type="noConversion"/>
  </si>
  <si>
    <t>立体字</t>
    <phoneticPr fontId="9" type="noConversion"/>
  </si>
  <si>
    <t>拍照区花艺布置</t>
    <phoneticPr fontId="9" type="noConversion"/>
  </si>
  <si>
    <t>雕刻字</t>
    <phoneticPr fontId="9" type="noConversion"/>
  </si>
  <si>
    <t>外围立体字</t>
    <phoneticPr fontId="9" type="noConversion"/>
  </si>
  <si>
    <t>茶歇台</t>
    <phoneticPr fontId="9" type="noConversion"/>
  </si>
  <si>
    <t>酒店SPA</t>
    <phoneticPr fontId="9" type="noConversion"/>
  </si>
  <si>
    <t>VIP酒店SPA</t>
    <phoneticPr fontId="9" type="noConversion"/>
  </si>
  <si>
    <t>定制行李牌，刺绣</t>
    <phoneticPr fontId="9" type="noConversion"/>
  </si>
  <si>
    <t>VIP侧机场1位，酒店1位</t>
    <phoneticPr fontId="9" type="noConversion"/>
  </si>
  <si>
    <t>主播侧酒店3位，机场2位</t>
    <phoneticPr fontId="9" type="noConversion"/>
  </si>
  <si>
    <t>机场主播侧3个，VIP侧2个</t>
    <phoneticPr fontId="9" type="noConversion"/>
  </si>
  <si>
    <t>主播侧24小时安保倒班巡逻</t>
    <phoneticPr fontId="9" type="noConversion"/>
  </si>
  <si>
    <t>主播酒店-香格里拉酒店-豪华大床</t>
    <phoneticPr fontId="9" type="noConversion"/>
  </si>
  <si>
    <t>主播酒店-香格里拉酒店-豪华双床</t>
    <phoneticPr fontId="9" type="noConversion"/>
  </si>
  <si>
    <t>主播酒店-香格里拉酒店-豪华海景大床</t>
    <phoneticPr fontId="9" type="noConversion"/>
  </si>
  <si>
    <t>主播酒店-香格里拉酒店-豪华海景双床</t>
    <phoneticPr fontId="9" type="noConversion"/>
  </si>
  <si>
    <t>主播酒店-香格里拉酒店-豪华阁海景大床</t>
    <phoneticPr fontId="9" type="noConversion"/>
  </si>
  <si>
    <t xml:space="preserve">主播酒店spa </t>
    <phoneticPr fontId="9" type="noConversion"/>
  </si>
  <si>
    <t>接机+送机</t>
    <phoneticPr fontId="9" type="noConversion"/>
  </si>
  <si>
    <t>酒店搭建人员</t>
    <phoneticPr fontId="9" type="noConversion"/>
  </si>
  <si>
    <t>2家酒店</t>
    <phoneticPr fontId="9" type="noConversion"/>
  </si>
  <si>
    <t>搭建物流</t>
    <phoneticPr fontId="9" type="noConversion"/>
  </si>
  <si>
    <t>A#301</t>
    <phoneticPr fontId="9" type="noConversion"/>
  </si>
  <si>
    <t>两家酒店搭建</t>
    <phoneticPr fontId="9" type="noConversion"/>
  </si>
  <si>
    <t>两家酒店和场地备车</t>
    <phoneticPr fontId="9" type="noConversion"/>
  </si>
  <si>
    <t>工作人员往返酒店备车</t>
    <phoneticPr fontId="9" type="noConversion"/>
  </si>
  <si>
    <t>厦门香格里拉-4层露台</t>
    <phoneticPr fontId="9" type="noConversion"/>
  </si>
  <si>
    <t>G#009</t>
    <phoneticPr fontId="9" type="noConversion"/>
  </si>
  <si>
    <t>预估超时费用</t>
    <phoneticPr fontId="9" type="noConversion"/>
  </si>
  <si>
    <t>G#010</t>
    <phoneticPr fontId="9" type="noConversion"/>
  </si>
  <si>
    <t>酒店兼职</t>
    <phoneticPr fontId="9" type="noConversion"/>
  </si>
  <si>
    <t>酒店夜床服务</t>
    <phoneticPr fontId="9" type="noConversion"/>
  </si>
  <si>
    <t>酒店夜床服务+夜床礼</t>
    <phoneticPr fontId="9" type="noConversion"/>
  </si>
  <si>
    <t>每套2个，主播280套，VIP100套</t>
    <phoneticPr fontId="9" type="noConversion"/>
  </si>
  <si>
    <t>pr嘉宾用餐</t>
    <phoneticPr fontId="9" type="noConversion"/>
  </si>
  <si>
    <t>pr嘉宾住宿</t>
    <phoneticPr fontId="9" type="noConversion"/>
  </si>
  <si>
    <t>奥迪A8，1天8小时 or 100km, 超出公里数及时间另计费</t>
    <phoneticPr fontId="9" type="noConversion"/>
  </si>
  <si>
    <t>商务舱/头等舱</t>
    <phoneticPr fontId="9" type="noConversion"/>
  </si>
  <si>
    <t>主播+VIP酒店活动期间零食</t>
    <phoneticPr fontId="9" type="noConversion"/>
  </si>
  <si>
    <t>主播形象积木-生日</t>
    <phoneticPr fontId="9" type="noConversion"/>
  </si>
  <si>
    <t>酒店，机场，车辆各场景使用</t>
    <phoneticPr fontId="9" type="noConversion"/>
  </si>
  <si>
    <t>照片打印机</t>
    <phoneticPr fontId="9" type="noConversion"/>
  </si>
  <si>
    <t>相纸</t>
    <phoneticPr fontId="9" type="noConversion"/>
  </si>
  <si>
    <t>主播拍照打卡道具</t>
    <phoneticPr fontId="9" type="noConversion"/>
  </si>
  <si>
    <t>主播零食区零食袋</t>
    <phoneticPr fontId="9" type="noConversion"/>
  </si>
  <si>
    <t>房间欢迎物料袋子</t>
    <phoneticPr fontId="9" type="noConversion"/>
  </si>
  <si>
    <t>厦门安达仕酒店</t>
    <phoneticPr fontId="9" type="noConversion"/>
  </si>
  <si>
    <t>预估超公里费用</t>
    <phoneticPr fontId="9" type="noConversion"/>
  </si>
  <si>
    <t>主播彩排用车，按每天4辆预估</t>
    <phoneticPr fontId="9" type="noConversion"/>
  </si>
  <si>
    <t>主播彩排用车，按每天6辆预估</t>
    <phoneticPr fontId="9" type="noConversion"/>
  </si>
  <si>
    <t>奔驰E，1天8小时 or 100km, 超出公里数及时间另计费</t>
    <phoneticPr fontId="9" type="noConversion"/>
  </si>
  <si>
    <t>厦门特色小吃现场制作</t>
    <phoneticPr fontId="9" type="noConversion"/>
  </si>
  <si>
    <t>玻璃材质异形（高1m) 抖音logo</t>
    <phoneticPr fontId="9" type="noConversion"/>
  </si>
  <si>
    <t>铁罐包装定制压印活动logo,长20cm,高8cm</t>
    <phoneticPr fontId="9" type="noConversion"/>
  </si>
  <si>
    <t>主播拍照区底座仿真绿植+绿植混合（高度30cm-50cm，底座面积长5m*宽3m）</t>
    <phoneticPr fontId="9" type="noConversion"/>
  </si>
  <si>
    <t>特种纸烫金烫银（8cm*5cm）</t>
    <phoneticPr fontId="9" type="noConversion"/>
  </si>
  <si>
    <t>拍照区纸艺花束+鲜花混合（数量15，高度80cm-200cm）</t>
    <phoneticPr fontId="9" type="noConversion"/>
  </si>
  <si>
    <t>定制酒店房卡，含芯片，定制活动logo 8.5cm*4cm</t>
    <phoneticPr fontId="9" type="noConversion"/>
  </si>
  <si>
    <t>百岁山 330ml，定制水瓶贴纸</t>
    <phoneticPr fontId="9" type="noConversion"/>
  </si>
  <si>
    <t>主播行前礼盒定制 纸板 厚度2mm（30cm*25cm*20cm)</t>
    <phoneticPr fontId="9" type="noConversion"/>
  </si>
  <si>
    <t>A3-150g铜版纸塑封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</si>
</sst>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&quot;¥&quot;#,##0.00_);[Red]\(&quot;¥&quot;#,##0.00\)"/>
    <numFmt numFmtId="177" formatCode="_(* #,##0.00_);_(* \(#,##0.00\);_(* &quot;-&quot;??_);_(@_)"/>
    <numFmt numFmtId="178" formatCode="[$-409]d\/mmm\/yy;@"/>
    <numFmt numFmtId="179" formatCode="_ \¥* #,##0.00_ ;_ \¥* \-#,##0.00_ ;_ \¥* &quot;-&quot;??_ ;_ @_ "/>
    <numFmt numFmtId="180" formatCode="0.00_ "/>
    <numFmt numFmtId="181" formatCode="0.00_);[Red]\(0.00\)"/>
    <numFmt numFmtId="182" formatCode="\¥#,##0.00"/>
    <numFmt numFmtId="183" formatCode="0.0%"/>
    <numFmt numFmtId="184" formatCode="0_);[Red]\(0\)"/>
  </numFmts>
  <fonts count="4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sz val="10"/>
      <color rgb="FFFF0000"/>
      <name val="等线"/>
      <family val="4"/>
      <charset val="134"/>
    </font>
    <font>
      <b/>
      <sz val="10"/>
      <color rgb="FF000000"/>
      <name val="Microsoft YaHei UI"/>
      <family val="2"/>
      <charset val="134"/>
    </font>
    <font>
      <b/>
      <sz val="10"/>
      <color rgb="FF000000"/>
      <name val="DengXian"/>
      <family val="4"/>
      <charset val="134"/>
    </font>
    <font>
      <sz val="10"/>
      <color rgb="FF000000"/>
      <name val="DengXian"/>
      <family val="4"/>
      <charset val="134"/>
    </font>
    <font>
      <sz val="9"/>
      <color rgb="FFFF0000"/>
      <name val="微软雅黑"/>
      <family val="2"/>
      <charset val="134"/>
    </font>
    <font>
      <sz val="11"/>
      <color rgb="FF000000"/>
      <name val="DengXian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3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9" fontId="8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178" fontId="7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17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 applyNumberFormat="0" applyFill="0" applyBorder="0" applyAlignment="0" applyProtection="0"/>
    <xf numFmtId="0" fontId="8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177" fontId="21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Protection="0"/>
  </cellStyleXfs>
  <cellXfs count="289">
    <xf numFmtId="0" fontId="0" fillId="0" borderId="0" xfId="0"/>
    <xf numFmtId="0" fontId="2" fillId="10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9" fontId="10" fillId="14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3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15" fillId="8" borderId="1" xfId="18" applyFont="1" applyFill="1" applyBorder="1" applyAlignment="1" applyProtection="1">
      <alignment horizontal="center" vertical="center" wrapText="1"/>
      <protection locked="0"/>
    </xf>
    <xf numFmtId="179" fontId="12" fillId="0" borderId="0" xfId="18" applyFont="1" applyBorder="1" applyAlignment="1" applyProtection="1">
      <alignment horizontal="center" vertical="center"/>
      <protection locked="0"/>
    </xf>
    <xf numFmtId="9" fontId="12" fillId="0" borderId="0" xfId="19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9" fontId="8" fillId="0" borderId="1" xfId="19" applyFont="1" applyBorder="1" applyAlignment="1" applyProtection="1"/>
    <xf numFmtId="176" fontId="14" fillId="9" borderId="1" xfId="18" applyNumberFormat="1" applyFont="1" applyFill="1" applyBorder="1" applyAlignment="1" applyProtection="1">
      <alignment vertical="center" wrapText="1"/>
    </xf>
    <xf numFmtId="176" fontId="14" fillId="9" borderId="1" xfId="0" applyNumberFormat="1" applyFont="1" applyFill="1" applyBorder="1" applyAlignment="1" applyProtection="1">
      <alignment vertical="center" wrapText="1"/>
      <protection locked="0"/>
    </xf>
    <xf numFmtId="176" fontId="4" fillId="0" borderId="1" xfId="18" applyNumberFormat="1" applyFont="1" applyFill="1" applyBorder="1" applyAlignment="1" applyProtection="1">
      <alignment vertical="center" wrapText="1"/>
    </xf>
    <xf numFmtId="176" fontId="4" fillId="0" borderId="2" xfId="18" applyNumberFormat="1" applyFont="1" applyFill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2" xfId="26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180" fontId="4" fillId="16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80" fontId="4" fillId="1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0" borderId="0" xfId="0" applyNumberFormat="1" applyFont="1" applyAlignment="1" applyProtection="1">
      <alignment vertical="center"/>
      <protection locked="0"/>
    </xf>
    <xf numFmtId="176" fontId="4" fillId="0" borderId="1" xfId="31" applyNumberFormat="1" applyFont="1" applyFill="1" applyBorder="1" applyAlignment="1" applyProtection="1">
      <alignment horizontal="center" vertical="center" wrapText="1"/>
    </xf>
    <xf numFmtId="9" fontId="14" fillId="0" borderId="1" xfId="19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76" fontId="14" fillId="5" borderId="1" xfId="18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19" applyFont="1" applyBorder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  <xf numFmtId="0" fontId="4" fillId="6" borderId="1" xfId="17" applyFont="1" applyFill="1" applyBorder="1" applyAlignment="1">
      <alignment horizontal="center" vertical="center" wrapText="1"/>
    </xf>
    <xf numFmtId="0" fontId="4" fillId="6" borderId="1" xfId="17" applyFont="1" applyFill="1" applyBorder="1" applyAlignment="1">
      <alignment horizontal="left" vertical="top" wrapText="1"/>
    </xf>
    <xf numFmtId="180" fontId="2" fillId="0" borderId="0" xfId="0" applyNumberFormat="1" applyFont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181" fontId="2" fillId="0" borderId="0" xfId="0" applyNumberFormat="1" applyFont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10" fillId="8" borderId="1" xfId="18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18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7" applyNumberFormat="1" applyFont="1" applyBorder="1" applyAlignment="1" applyProtection="1">
      <alignment horizontal="center" vertical="center" wrapText="1"/>
      <protection locked="0"/>
    </xf>
    <xf numFmtId="176" fontId="4" fillId="0" borderId="0" xfId="18" applyNumberFormat="1" applyFont="1" applyBorder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12" fillId="0" borderId="0" xfId="0" applyNumberFormat="1" applyFont="1" applyAlignment="1" applyProtection="1">
      <alignment vertical="center"/>
      <protection locked="0"/>
    </xf>
    <xf numFmtId="181" fontId="4" fillId="3" borderId="1" xfId="17" applyNumberFormat="1" applyFont="1" applyFill="1" applyBorder="1" applyAlignment="1" applyProtection="1">
      <alignment horizontal="center" vertical="center" wrapText="1"/>
      <protection locked="0"/>
    </xf>
    <xf numFmtId="181" fontId="4" fillId="0" borderId="1" xfId="17" applyNumberFormat="1" applyFont="1" applyBorder="1" applyAlignment="1" applyProtection="1">
      <alignment horizontal="center" vertical="center" wrapText="1"/>
      <protection locked="0"/>
    </xf>
    <xf numFmtId="181" fontId="2" fillId="0" borderId="3" xfId="0" applyNumberFormat="1" applyFont="1" applyBorder="1" applyAlignment="1" applyProtection="1">
      <alignment horizontal="center" vertical="center" wrapText="1"/>
      <protection locked="0"/>
    </xf>
    <xf numFmtId="181" fontId="12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3" fillId="2" borderId="1" xfId="18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5" fillId="19" borderId="0" xfId="32" applyFont="1" applyFill="1" applyBorder="1" applyAlignment="1">
      <alignment vertical="center"/>
    </xf>
    <xf numFmtId="0" fontId="20" fillId="0" borderId="0" xfId="32" applyAlignment="1">
      <alignment vertical="center"/>
    </xf>
    <xf numFmtId="0" fontId="30" fillId="20" borderId="0" xfId="32" applyFont="1" applyFill="1" applyBorder="1" applyAlignment="1">
      <alignment vertical="center"/>
    </xf>
    <xf numFmtId="0" fontId="30" fillId="0" borderId="0" xfId="32" applyFont="1" applyBorder="1" applyAlignment="1">
      <alignment vertical="center"/>
    </xf>
    <xf numFmtId="0" fontId="26" fillId="0" borderId="0" xfId="32" applyFont="1" applyBorder="1" applyAlignment="1">
      <alignment vertical="center"/>
    </xf>
    <xf numFmtId="0" fontId="35" fillId="0" borderId="0" xfId="32" applyFont="1" applyBorder="1" applyAlignment="1">
      <alignment vertical="center"/>
    </xf>
    <xf numFmtId="0" fontId="30" fillId="19" borderId="0" xfId="32" applyFont="1" applyFill="1" applyBorder="1" applyAlignment="1">
      <alignment vertical="center"/>
    </xf>
    <xf numFmtId="0" fontId="35" fillId="21" borderId="16" xfId="32" applyFont="1" applyFill="1" applyBorder="1" applyAlignment="1">
      <alignment horizontal="left" vertical="center"/>
    </xf>
    <xf numFmtId="183" fontId="35" fillId="21" borderId="16" xfId="32" applyNumberFormat="1" applyFont="1" applyFill="1" applyBorder="1" applyAlignment="1">
      <alignment horizontal="left" vertical="center"/>
    </xf>
    <xf numFmtId="0" fontId="35" fillId="21" borderId="0" xfId="32" applyFont="1" applyFill="1" applyBorder="1" applyAlignment="1">
      <alignment horizontal="left" vertical="center"/>
    </xf>
    <xf numFmtId="0" fontId="20" fillId="0" borderId="0" xfId="32" applyAlignment="1">
      <alignment horizontal="left" vertical="center"/>
    </xf>
    <xf numFmtId="0" fontId="39" fillId="0" borderId="17" xfId="32" applyFont="1" applyBorder="1" applyAlignment="1">
      <alignment horizontal="left" vertical="center" wrapText="1"/>
    </xf>
    <xf numFmtId="0" fontId="39" fillId="0" borderId="17" xfId="32" applyFont="1" applyBorder="1" applyAlignment="1">
      <alignment horizontal="right" vertical="center" wrapText="1"/>
    </xf>
    <xf numFmtId="183" fontId="39" fillId="0" borderId="17" xfId="32" applyNumberFormat="1" applyFont="1" applyBorder="1" applyAlignment="1">
      <alignment horizontal="right" vertical="center" wrapText="1"/>
    </xf>
    <xf numFmtId="0" fontId="40" fillId="0" borderId="0" xfId="32" applyFont="1" applyBorder="1" applyAlignment="1">
      <alignment vertical="center"/>
    </xf>
    <xf numFmtId="0" fontId="30" fillId="0" borderId="0" xfId="32" applyFont="1" applyBorder="1" applyAlignment="1">
      <alignment horizontal="left" vertical="center"/>
    </xf>
    <xf numFmtId="0" fontId="20" fillId="0" borderId="0" xfId="32" applyAlignment="1">
      <alignment horizontal="right" vertical="center"/>
    </xf>
    <xf numFmtId="183" fontId="20" fillId="0" borderId="0" xfId="32" applyNumberFormat="1" applyAlignment="1">
      <alignment horizontal="right" vertical="center"/>
    </xf>
    <xf numFmtId="0" fontId="25" fillId="3" borderId="16" xfId="32" applyFont="1" applyFill="1" applyBorder="1" applyAlignment="1">
      <alignment horizontal="left" vertical="center" wrapText="1"/>
    </xf>
    <xf numFmtId="0" fontId="26" fillId="3" borderId="16" xfId="32" applyFont="1" applyFill="1" applyBorder="1" applyAlignment="1">
      <alignment horizontal="left" vertical="center"/>
    </xf>
    <xf numFmtId="182" fontId="27" fillId="3" borderId="16" xfId="32" applyNumberFormat="1" applyFont="1" applyFill="1" applyBorder="1" applyAlignment="1">
      <alignment horizontal="left" vertical="center" wrapText="1"/>
    </xf>
    <xf numFmtId="0" fontId="28" fillId="3" borderId="16" xfId="32" applyFont="1" applyFill="1" applyBorder="1" applyAlignment="1">
      <alignment horizontal="left" vertical="center"/>
    </xf>
    <xf numFmtId="0" fontId="27" fillId="3" borderId="16" xfId="32" applyFont="1" applyFill="1" applyBorder="1" applyAlignment="1">
      <alignment horizontal="left" vertical="center" wrapText="1"/>
    </xf>
    <xf numFmtId="0" fontId="27" fillId="18" borderId="16" xfId="32" applyFont="1" applyFill="1" applyBorder="1" applyAlignment="1">
      <alignment horizontal="left" vertical="center"/>
    </xf>
    <xf numFmtId="0" fontId="29" fillId="18" borderId="16" xfId="32" applyFont="1" applyFill="1" applyBorder="1" applyAlignment="1">
      <alignment horizontal="left" vertical="center"/>
    </xf>
    <xf numFmtId="183" fontId="28" fillId="3" borderId="16" xfId="32" applyNumberFormat="1" applyFont="1" applyFill="1" applyBorder="1" applyAlignment="1">
      <alignment horizontal="left" vertical="center"/>
    </xf>
    <xf numFmtId="0" fontId="30" fillId="3" borderId="16" xfId="32" applyFont="1" applyFill="1" applyBorder="1" applyAlignment="1">
      <alignment horizontal="left" vertical="center"/>
    </xf>
    <xf numFmtId="0" fontId="20" fillId="3" borderId="0" xfId="32" applyFill="1" applyAlignment="1">
      <alignment horizontal="left" vertical="center"/>
    </xf>
    <xf numFmtId="0" fontId="20" fillId="0" borderId="0" xfId="32" applyFont="1" applyAlignment="1">
      <alignment vertical="center"/>
    </xf>
    <xf numFmtId="183" fontId="30" fillId="0" borderId="0" xfId="32" applyNumberFormat="1" applyFont="1" applyBorder="1" applyAlignment="1">
      <alignment vertical="center"/>
    </xf>
    <xf numFmtId="183" fontId="20" fillId="0" borderId="0" xfId="32" applyNumberFormat="1" applyAlignment="1">
      <alignment vertical="center"/>
    </xf>
    <xf numFmtId="0" fontId="41" fillId="3" borderId="16" xfId="32" applyFont="1" applyFill="1" applyBorder="1" applyAlignment="1">
      <alignment horizontal="left" vertical="center" wrapText="1"/>
    </xf>
    <xf numFmtId="0" fontId="20" fillId="0" borderId="0" xfId="32" applyFont="1" applyAlignment="1">
      <alignment horizontal="left" vertical="center"/>
    </xf>
    <xf numFmtId="0" fontId="20" fillId="0" borderId="0" xfId="32" applyFont="1" applyAlignment="1">
      <alignment horizontal="right" vertical="center"/>
    </xf>
    <xf numFmtId="183" fontId="20" fillId="0" borderId="0" xfId="32" applyNumberFormat="1" applyFont="1" applyAlignment="1">
      <alignment horizontal="right" vertical="center"/>
    </xf>
    <xf numFmtId="0" fontId="30" fillId="0" borderId="0" xfId="32" applyFont="1" applyBorder="1" applyAlignment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Border="1" applyAlignment="1" applyProtection="1">
      <alignment horizontal="left" vertical="center" wrapText="1"/>
      <protection locked="0"/>
    </xf>
    <xf numFmtId="0" fontId="4" fillId="0" borderId="5" xfId="17" applyFont="1" applyBorder="1" applyAlignment="1" applyProtection="1">
      <alignment horizontal="left" vertical="center" wrapText="1"/>
      <protection locked="0"/>
    </xf>
    <xf numFmtId="0" fontId="4" fillId="3" borderId="1" xfId="17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17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2" fillId="0" borderId="17" xfId="32" applyFont="1" applyBorder="1" applyAlignment="1">
      <alignment horizontal="left" vertical="center" wrapText="1"/>
    </xf>
    <xf numFmtId="184" fontId="39" fillId="0" borderId="17" xfId="32" applyNumberFormat="1" applyFont="1" applyBorder="1" applyAlignment="1">
      <alignment horizontal="left" vertical="center" wrapText="1"/>
    </xf>
    <xf numFmtId="177" fontId="20" fillId="0" borderId="0" xfId="31" applyFont="1" applyAlignment="1">
      <alignment vertical="center"/>
    </xf>
    <xf numFmtId="0" fontId="14" fillId="14" borderId="2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horizontal="left" vertical="center" wrapText="1"/>
    </xf>
    <xf numFmtId="0" fontId="10" fillId="14" borderId="1" xfId="17" applyFont="1" applyFill="1" applyBorder="1" applyAlignment="1">
      <alignment horizontal="center" vertical="center" wrapText="1"/>
    </xf>
    <xf numFmtId="0" fontId="10" fillId="11" borderId="1" xfId="17" applyFont="1" applyFill="1" applyBorder="1" applyAlignment="1">
      <alignment horizontal="center" vertical="center" wrapText="1"/>
    </xf>
    <xf numFmtId="176" fontId="14" fillId="14" borderId="1" xfId="18" applyNumberFormat="1" applyFont="1" applyFill="1" applyBorder="1" applyAlignment="1" applyProtection="1">
      <alignment horizontal="center" vertical="center" wrapText="1"/>
    </xf>
    <xf numFmtId="176" fontId="3" fillId="5" borderId="1" xfId="17" applyNumberFormat="1" applyFont="1" applyFill="1" applyBorder="1" applyAlignment="1">
      <alignment horizontal="center" vertical="center" wrapText="1"/>
    </xf>
    <xf numFmtId="181" fontId="10" fillId="14" borderId="1" xfId="17" applyNumberFormat="1" applyFont="1" applyFill="1" applyBorder="1" applyAlignment="1">
      <alignment horizontal="center" vertical="center" wrapText="1"/>
    </xf>
    <xf numFmtId="181" fontId="3" fillId="5" borderId="1" xfId="17" applyNumberFormat="1" applyFont="1" applyFill="1" applyBorder="1" applyAlignment="1">
      <alignment horizontal="center" vertical="center" wrapText="1"/>
    </xf>
    <xf numFmtId="179" fontId="10" fillId="14" borderId="1" xfId="18" applyFont="1" applyFill="1" applyBorder="1" applyAlignment="1" applyProtection="1">
      <alignment horizontal="center" vertical="center" wrapText="1"/>
    </xf>
    <xf numFmtId="0" fontId="3" fillId="5" borderId="1" xfId="17" applyFont="1" applyFill="1" applyBorder="1" applyAlignment="1">
      <alignment horizontal="center" vertical="center" wrapText="1"/>
    </xf>
    <xf numFmtId="179" fontId="3" fillId="4" borderId="1" xfId="18" applyFont="1" applyFill="1" applyBorder="1" applyAlignment="1" applyProtection="1">
      <alignment horizontal="center" vertical="center" wrapText="1"/>
    </xf>
    <xf numFmtId="176" fontId="4" fillId="0" borderId="1" xfId="31" applyNumberFormat="1" applyFont="1" applyBorder="1" applyAlignment="1" applyProtection="1">
      <alignment horizontal="center" vertical="center"/>
    </xf>
    <xf numFmtId="176" fontId="11" fillId="14" borderId="1" xfId="0" applyNumberFormat="1" applyFont="1" applyFill="1" applyBorder="1" applyAlignment="1">
      <alignment horizontal="center" vertical="center"/>
    </xf>
    <xf numFmtId="176" fontId="14" fillId="14" borderId="1" xfId="31" applyNumberFormat="1" applyFont="1" applyFill="1" applyBorder="1" applyAlignment="1" applyProtection="1">
      <alignment horizontal="center" vertical="center" wrapText="1"/>
    </xf>
    <xf numFmtId="176" fontId="14" fillId="14" borderId="1" xfId="31" applyNumberFormat="1" applyFont="1" applyFill="1" applyBorder="1" applyAlignment="1" applyProtection="1">
      <alignment horizontal="center" vertical="center"/>
    </xf>
    <xf numFmtId="176" fontId="10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11" borderId="1" xfId="0" applyFont="1" applyFill="1" applyBorder="1" applyAlignment="1" applyProtection="1">
      <alignment horizontal="left" vertical="center" wrapText="1"/>
      <protection locked="0"/>
    </xf>
    <xf numFmtId="0" fontId="10" fillId="12" borderId="1" xfId="0" applyFont="1" applyFill="1" applyBorder="1" applyAlignment="1" applyProtection="1">
      <alignment horizontal="left" vertical="center" wrapText="1"/>
      <protection locked="0"/>
    </xf>
    <xf numFmtId="0" fontId="10" fillId="1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2" borderId="1" xfId="17" applyFont="1" applyFill="1" applyBorder="1" applyAlignment="1">
      <alignment horizontal="center" vertical="center" wrapText="1"/>
    </xf>
    <xf numFmtId="0" fontId="14" fillId="5" borderId="3" xfId="0" applyFont="1" applyFill="1" applyBorder="1" applyAlignment="1" applyProtection="1">
      <alignment vertical="center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18" fillId="5" borderId="1" xfId="0" applyFont="1" applyFill="1" applyBorder="1" applyAlignment="1" applyProtection="1">
      <alignment vertical="center"/>
      <protection locked="0"/>
    </xf>
    <xf numFmtId="181" fontId="4" fillId="7" borderId="1" xfId="19" applyNumberFormat="1" applyFont="1" applyFill="1" applyBorder="1" applyAlignment="1" applyProtection="1">
      <alignment horizontal="center" vertical="center" wrapText="1"/>
    </xf>
    <xf numFmtId="9" fontId="2" fillId="0" borderId="1" xfId="1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3" borderId="1" xfId="17" applyFont="1" applyFill="1" applyBorder="1" applyAlignment="1" applyProtection="1">
      <alignment vertical="center" wrapText="1"/>
      <protection locked="0"/>
    </xf>
    <xf numFmtId="0" fontId="14" fillId="14" borderId="3" xfId="17" applyFont="1" applyFill="1" applyBorder="1" applyAlignment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top" wrapText="1"/>
      <protection locked="0"/>
    </xf>
    <xf numFmtId="0" fontId="4" fillId="0" borderId="1" xfId="17" applyFont="1" applyBorder="1" applyAlignment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</xf>
    <xf numFmtId="180" fontId="4" fillId="23" borderId="1" xfId="3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4" fillId="3" borderId="5" xfId="17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 applyProtection="1">
      <alignment vertical="center" wrapText="1"/>
      <protection locked="0"/>
    </xf>
    <xf numFmtId="179" fontId="4" fillId="3" borderId="1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left" vertical="center" wrapText="1"/>
    </xf>
    <xf numFmtId="179" fontId="4" fillId="0" borderId="1" xfId="18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17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184" fontId="4" fillId="0" borderId="1" xfId="17" applyNumberFormat="1" applyFont="1" applyBorder="1" applyAlignment="1" applyProtection="1">
      <alignment horizontal="center" vertical="center" wrapText="1"/>
      <protection locked="0"/>
    </xf>
    <xf numFmtId="0" fontId="10" fillId="14" borderId="1" xfId="17" applyFont="1" applyFill="1" applyBorder="1" applyAlignment="1">
      <alignment horizontal="left" vertical="center" wrapText="1"/>
    </xf>
    <xf numFmtId="0" fontId="4" fillId="0" borderId="5" xfId="17" applyFont="1" applyBorder="1" applyAlignment="1">
      <alignment horizontal="left" vertical="center" wrapText="1"/>
    </xf>
    <xf numFmtId="0" fontId="4" fillId="3" borderId="5" xfId="17" applyFont="1" applyFill="1" applyBorder="1" applyAlignment="1" applyProtection="1">
      <alignment horizontal="left" vertical="center" wrapText="1"/>
      <protection locked="0"/>
    </xf>
    <xf numFmtId="0" fontId="2" fillId="0" borderId="2" xfId="17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176" fontId="14" fillId="14" borderId="1" xfId="18" applyNumberFormat="1" applyFont="1" applyFill="1" applyBorder="1" applyAlignment="1" applyProtection="1">
      <alignment vertical="center" wrapText="1"/>
    </xf>
    <xf numFmtId="179" fontId="4" fillId="0" borderId="1" xfId="18" applyFont="1" applyFill="1" applyBorder="1" applyAlignment="1" applyProtection="1">
      <alignment vertical="center" wrapText="1"/>
    </xf>
    <xf numFmtId="176" fontId="4" fillId="7" borderId="1" xfId="18" applyNumberFormat="1" applyFont="1" applyFill="1" applyBorder="1" applyAlignment="1" applyProtection="1">
      <alignment vertical="center" wrapText="1"/>
    </xf>
    <xf numFmtId="176" fontId="4" fillId="0" borderId="1" xfId="18" applyNumberFormat="1" applyFont="1" applyFill="1" applyBorder="1" applyAlignment="1" applyProtection="1">
      <alignment vertical="center" wrapText="1"/>
      <protection locked="0"/>
    </xf>
    <xf numFmtId="179" fontId="2" fillId="3" borderId="1" xfId="18" applyFont="1" applyFill="1" applyBorder="1" applyAlignment="1" applyProtection="1">
      <alignment vertical="center" wrapText="1"/>
      <protection locked="0"/>
    </xf>
    <xf numFmtId="179" fontId="4" fillId="3" borderId="1" xfId="18" applyFont="1" applyFill="1" applyBorder="1" applyAlignment="1" applyProtection="1">
      <alignment vertical="center" wrapText="1"/>
      <protection locked="0"/>
    </xf>
    <xf numFmtId="176" fontId="4" fillId="3" borderId="1" xfId="18" applyNumberFormat="1" applyFont="1" applyFill="1" applyBorder="1" applyAlignment="1" applyProtection="1">
      <alignment vertical="center" wrapText="1"/>
      <protection locked="0"/>
    </xf>
    <xf numFmtId="176" fontId="4" fillId="0" borderId="1" xfId="17" applyNumberFormat="1" applyFont="1" applyBorder="1" applyAlignment="1" applyProtection="1">
      <alignment vertical="center" wrapText="1"/>
      <protection locked="0"/>
    </xf>
    <xf numFmtId="9" fontId="4" fillId="7" borderId="1" xfId="19" applyFont="1" applyFill="1" applyBorder="1" applyAlignment="1" applyProtection="1">
      <alignment vertical="center" wrapText="1"/>
    </xf>
    <xf numFmtId="179" fontId="14" fillId="14" borderId="1" xfId="18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17" applyFont="1" applyBorder="1" applyAlignment="1" applyProtection="1">
      <alignment horizontal="left" vertical="center" wrapText="1"/>
      <protection locked="0"/>
    </xf>
    <xf numFmtId="180" fontId="2" fillId="14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17" applyFont="1" applyFill="1" applyBorder="1" applyAlignment="1">
      <alignment horizontal="center" vertical="center" wrapText="1"/>
    </xf>
    <xf numFmtId="0" fontId="2" fillId="0" borderId="1" xfId="17" applyFont="1" applyBorder="1" applyAlignment="1">
      <alignment horizontal="left" vertical="center" wrapText="1"/>
    </xf>
    <xf numFmtId="0" fontId="2" fillId="0" borderId="1" xfId="17" applyFont="1" applyBorder="1" applyAlignment="1">
      <alignment horizontal="center" vertical="center" wrapText="1"/>
    </xf>
    <xf numFmtId="179" fontId="2" fillId="0" borderId="1" xfId="18" applyFont="1" applyFill="1" applyBorder="1" applyAlignment="1" applyProtection="1">
      <alignment vertical="center" wrapText="1"/>
      <protection locked="0"/>
    </xf>
    <xf numFmtId="181" fontId="2" fillId="0" borderId="1" xfId="17" applyNumberFormat="1" applyFont="1" applyBorder="1" applyAlignment="1" applyProtection="1">
      <alignment horizontal="center" vertical="center" wrapText="1"/>
      <protection locked="0"/>
    </xf>
    <xf numFmtId="179" fontId="2" fillId="3" borderId="1" xfId="18" applyFont="1" applyFill="1" applyBorder="1" applyAlignment="1" applyProtection="1">
      <alignment horizontal="center" vertical="center" wrapText="1"/>
    </xf>
    <xf numFmtId="176" fontId="2" fillId="0" borderId="1" xfId="31" applyNumberFormat="1" applyFont="1" applyFill="1" applyBorder="1" applyAlignment="1" applyProtection="1">
      <alignment horizontal="center" vertical="center" wrapText="1"/>
    </xf>
    <xf numFmtId="176" fontId="2" fillId="0" borderId="1" xfId="31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176" fontId="4" fillId="0" borderId="1" xfId="3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6" borderId="1" xfId="17" applyFont="1" applyFill="1" applyBorder="1" applyAlignment="1">
      <alignment horizontal="center" vertical="top" wrapText="1"/>
    </xf>
    <xf numFmtId="0" fontId="4" fillId="15" borderId="1" xfId="0" applyFont="1" applyFill="1" applyBorder="1" applyAlignment="1" applyProtection="1">
      <alignment horizontal="center" vertical="center"/>
      <protection locked="0"/>
    </xf>
    <xf numFmtId="0" fontId="4" fillId="15" borderId="8" xfId="17" applyFont="1" applyFill="1" applyBorder="1" applyAlignment="1" applyProtection="1">
      <alignment horizontal="center" vertical="center" wrapText="1"/>
      <protection locked="0"/>
    </xf>
    <xf numFmtId="0" fontId="4" fillId="15" borderId="1" xfId="17" applyFont="1" applyFill="1" applyBorder="1" applyAlignment="1" applyProtection="1">
      <alignment horizontal="center" vertical="center" wrapText="1"/>
      <protection locked="0"/>
    </xf>
    <xf numFmtId="0" fontId="4" fillId="15" borderId="5" xfId="17" applyFont="1" applyFill="1" applyBorder="1" applyAlignment="1">
      <alignment horizontal="left" vertical="center" wrapText="1"/>
    </xf>
    <xf numFmtId="180" fontId="4" fillId="1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15" borderId="1" xfId="17" applyFont="1" applyFill="1" applyBorder="1" applyAlignment="1">
      <alignment horizontal="center" vertical="center" wrapText="1"/>
    </xf>
    <xf numFmtId="179" fontId="4" fillId="15" borderId="1" xfId="18" applyFont="1" applyFill="1" applyBorder="1" applyAlignment="1" applyProtection="1">
      <alignment vertical="center" wrapText="1"/>
      <protection locked="0"/>
    </xf>
    <xf numFmtId="43" fontId="4" fillId="15" borderId="1" xfId="17" applyNumberFormat="1" applyFont="1" applyFill="1" applyBorder="1" applyAlignment="1" applyProtection="1">
      <alignment horizontal="center" vertical="center" wrapText="1"/>
      <protection locked="0"/>
    </xf>
    <xf numFmtId="181" fontId="4" fillId="15" borderId="1" xfId="17" applyNumberFormat="1" applyFont="1" applyFill="1" applyBorder="1" applyAlignment="1" applyProtection="1">
      <alignment horizontal="center" vertical="center" wrapText="1"/>
      <protection locked="0"/>
    </xf>
    <xf numFmtId="176" fontId="4" fillId="15" borderId="1" xfId="31" applyNumberFormat="1" applyFont="1" applyFill="1" applyBorder="1" applyAlignment="1" applyProtection="1">
      <alignment horizontal="center" vertical="center" wrapText="1"/>
    </xf>
    <xf numFmtId="176" fontId="4" fillId="15" borderId="1" xfId="31" applyNumberFormat="1" applyFont="1" applyFill="1" applyBorder="1" applyAlignment="1" applyProtection="1">
      <alignment horizontal="center" vertical="center"/>
    </xf>
    <xf numFmtId="0" fontId="4" fillId="15" borderId="0" xfId="0" applyFont="1" applyFill="1" applyAlignment="1" applyProtection="1">
      <alignment horizontal="center" vertical="center"/>
      <protection locked="0"/>
    </xf>
    <xf numFmtId="179" fontId="4" fillId="15" borderId="1" xfId="18" applyFont="1" applyFill="1" applyBorder="1" applyAlignment="1" applyProtection="1">
      <alignment vertical="center" wrapText="1"/>
    </xf>
    <xf numFmtId="0" fontId="4" fillId="15" borderId="1" xfId="17" applyFont="1" applyFill="1" applyBorder="1" applyAlignment="1" applyProtection="1">
      <alignment horizontal="left" vertical="center" wrapText="1"/>
      <protection locked="0"/>
    </xf>
    <xf numFmtId="176" fontId="4" fillId="15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15" borderId="1" xfId="17" applyFont="1" applyFill="1" applyBorder="1" applyAlignment="1">
      <alignment horizontal="left" vertical="center" wrapText="1"/>
    </xf>
    <xf numFmtId="0" fontId="30" fillId="20" borderId="0" xfId="32" applyFont="1" applyFill="1" applyBorder="1" applyAlignment="1">
      <alignment vertical="center"/>
    </xf>
    <xf numFmtId="0" fontId="30" fillId="0" borderId="0" xfId="32" applyFont="1" applyBorder="1" applyAlignment="1">
      <alignment vertical="center"/>
    </xf>
    <xf numFmtId="0" fontId="19" fillId="14" borderId="3" xfId="0" applyFont="1" applyFill="1" applyBorder="1" applyAlignment="1">
      <alignment horizontal="center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>
      <alignment horizontal="right" vertical="center" wrapText="1"/>
    </xf>
    <xf numFmtId="176" fontId="14" fillId="9" borderId="1" xfId="18" applyNumberFormat="1" applyFont="1" applyFill="1" applyBorder="1" applyAlignment="1" applyProtection="1">
      <alignment vertical="center" wrapText="1"/>
      <protection locked="0"/>
    </xf>
    <xf numFmtId="176" fontId="14" fillId="9" borderId="2" xfId="18" applyNumberFormat="1" applyFont="1" applyFill="1" applyBorder="1" applyAlignment="1" applyProtection="1">
      <alignment horizontal="center" vertical="center" wrapText="1"/>
      <protection locked="0"/>
    </xf>
    <xf numFmtId="176" fontId="14" fillId="9" borderId="4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9" fontId="8" fillId="17" borderId="2" xfId="19" applyFont="1" applyFill="1" applyBorder="1" applyAlignment="1" applyProtection="1">
      <alignment horizontal="center"/>
    </xf>
    <xf numFmtId="9" fontId="8" fillId="17" borderId="3" xfId="19" applyFont="1" applyFill="1" applyBorder="1" applyAlignment="1" applyProtection="1">
      <alignment horizontal="center"/>
    </xf>
    <xf numFmtId="9" fontId="8" fillId="17" borderId="4" xfId="19" applyFont="1" applyFill="1" applyBorder="1" applyAlignment="1" applyProtection="1">
      <alignment horizontal="center"/>
    </xf>
    <xf numFmtId="0" fontId="15" fillId="0" borderId="1" xfId="0" applyFont="1" applyBorder="1" applyAlignment="1" applyProtection="1">
      <alignment horizontal="right" vertical="center" wrapText="1"/>
      <protection locked="0"/>
    </xf>
    <xf numFmtId="181" fontId="2" fillId="0" borderId="1" xfId="0" applyNumberFormat="1" applyFont="1" applyBorder="1" applyAlignment="1" applyProtection="1">
      <alignment horizontal="right" vertical="center" wrapText="1"/>
      <protection locked="0"/>
    </xf>
    <xf numFmtId="0" fontId="14" fillId="8" borderId="2" xfId="0" applyFont="1" applyFill="1" applyBorder="1" applyAlignment="1" applyProtection="1">
      <alignment horizontal="right" vertical="center" wrapText="1"/>
      <protection locked="0"/>
    </xf>
    <xf numFmtId="0" fontId="14" fillId="8" borderId="3" xfId="0" applyFont="1" applyFill="1" applyBorder="1" applyAlignment="1" applyProtection="1">
      <alignment horizontal="right" vertical="center" wrapText="1"/>
      <protection locked="0"/>
    </xf>
    <xf numFmtId="0" fontId="14" fillId="8" borderId="4" xfId="0" applyFont="1" applyFill="1" applyBorder="1" applyAlignment="1" applyProtection="1">
      <alignment horizontal="right" vertical="center" wrapText="1"/>
      <protection locked="0"/>
    </xf>
    <xf numFmtId="0" fontId="14" fillId="14" borderId="3" xfId="17" applyFont="1" applyFill="1" applyBorder="1" applyAlignment="1">
      <alignment horizontal="right" vertical="center" wrapText="1"/>
    </xf>
    <xf numFmtId="0" fontId="14" fillId="14" borderId="4" xfId="17" applyFont="1" applyFill="1" applyBorder="1" applyAlignment="1">
      <alignment horizontal="right" vertical="center" wrapText="1"/>
    </xf>
    <xf numFmtId="0" fontId="10" fillId="14" borderId="8" xfId="17" applyFont="1" applyFill="1" applyBorder="1" applyAlignment="1">
      <alignment horizontal="center" vertical="center" wrapText="1"/>
    </xf>
    <xf numFmtId="0" fontId="10" fillId="14" borderId="12" xfId="17" applyFont="1" applyFill="1" applyBorder="1" applyAlignment="1">
      <alignment horizontal="center" vertical="center" wrapText="1"/>
    </xf>
    <xf numFmtId="0" fontId="10" fillId="14" borderId="5" xfId="17" applyFont="1" applyFill="1" applyBorder="1" applyAlignment="1">
      <alignment horizontal="center" vertical="center" wrapText="1"/>
    </xf>
    <xf numFmtId="0" fontId="14" fillId="14" borderId="8" xfId="17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6" fillId="14" borderId="8" xfId="17" applyFont="1" applyFill="1" applyBorder="1" applyAlignment="1">
      <alignment horizontal="center" vertical="center" wrapText="1"/>
    </xf>
    <xf numFmtId="0" fontId="16" fillId="14" borderId="12" xfId="17" applyFont="1" applyFill="1" applyBorder="1" applyAlignment="1">
      <alignment horizontal="center" vertical="center" wrapText="1"/>
    </xf>
    <xf numFmtId="0" fontId="16" fillId="14" borderId="5" xfId="17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32" fillId="14" borderId="8" xfId="17" applyFont="1" applyFill="1" applyBorder="1" applyAlignment="1">
      <alignment horizontal="center" vertical="center" wrapText="1"/>
    </xf>
    <xf numFmtId="0" fontId="32" fillId="14" borderId="12" xfId="17" applyFont="1" applyFill="1" applyBorder="1" applyAlignment="1">
      <alignment horizontal="center" vertical="center" wrapText="1"/>
    </xf>
    <xf numFmtId="9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9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right" vertical="center" wrapText="1"/>
      <protection locked="0"/>
    </xf>
    <xf numFmtId="0" fontId="14" fillId="5" borderId="3" xfId="0" applyFont="1" applyFill="1" applyBorder="1" applyAlignment="1" applyProtection="1">
      <alignment horizontal="right" vertical="center" wrapText="1"/>
      <protection locked="0"/>
    </xf>
    <xf numFmtId="0" fontId="14" fillId="5" borderId="4" xfId="0" applyFont="1" applyFill="1" applyBorder="1" applyAlignment="1" applyProtection="1">
      <alignment horizontal="right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right" vertical="center" wrapText="1"/>
      <protection locked="0"/>
    </xf>
    <xf numFmtId="0" fontId="4" fillId="15" borderId="2" xfId="17" applyFont="1" applyFill="1" applyBorder="1" applyAlignment="1" applyProtection="1">
      <alignment horizontal="left" vertical="center" wrapText="1"/>
      <protection locked="0"/>
    </xf>
    <xf numFmtId="0" fontId="4" fillId="15" borderId="1" xfId="0" applyFont="1" applyFill="1" applyBorder="1" applyAlignment="1" applyProtection="1">
      <alignment vertical="center"/>
      <protection locked="0"/>
    </xf>
    <xf numFmtId="179" fontId="4" fillId="15" borderId="1" xfId="18" applyFont="1" applyFill="1" applyBorder="1" applyAlignment="1" applyProtection="1">
      <alignment horizontal="center" vertical="center" wrapText="1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0" xfId="0" applyFont="1" applyFill="1" applyAlignment="1" applyProtection="1">
      <alignment vertical="center"/>
      <protection locked="0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hangqingqing\Desktop\&#23383;&#33410;&#21512;&#21516;\&#12304;&#24247;&#36745;&#20250;&#23637;&#12305;2024&#25253;&#20215;&#27169;&#26495;_&#20250;&#21153;-4.xlsx" TargetMode="External"/><Relationship Id="rId1" Type="http://schemas.openxmlformats.org/officeDocument/2006/relationships/externalLinkPath" Target="/Users/zhangqingqing/Desktop/&#23383;&#33410;&#21512;&#21516;/&#12304;&#24247;&#36745;&#20250;&#23637;&#12305;2024&#25253;&#20215;&#27169;&#26495;_&#20250;&#21153;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报价汇总"/>
      <sheetName val="报价结算清单"/>
      <sheetName val="基准价格"/>
      <sheetName val="线下活动 vs 直播框架条目"/>
    </sheetNames>
    <sheetDataSet>
      <sheetData sheetId="0" refreshError="1"/>
      <sheetData sheetId="1" refreshError="1"/>
      <sheetData sheetId="2">
        <row r="2">
          <cell r="A2" t="str">
            <v>PVF</v>
          </cell>
        </row>
        <row r="3">
          <cell r="A3" t="str">
            <v>合同</v>
          </cell>
        </row>
        <row r="4">
          <cell r="A4" t="str">
            <v xml:space="preserve"> 2024编号 </v>
          </cell>
          <cell r="B4" t="str">
            <v xml:space="preserve"> 一级类别 </v>
          </cell>
          <cell r="C4" t="str">
            <v xml:space="preserve"> 二级类别 </v>
          </cell>
          <cell r="D4" t="str">
            <v xml:space="preserve"> 条目 </v>
          </cell>
          <cell r="E4" t="str">
            <v xml:space="preserve"> 具体说明 </v>
          </cell>
          <cell r="F4" t="str">
            <v xml:space="preserve"> 计价单位 </v>
          </cell>
          <cell r="G4" t="str">
            <v>计价单价</v>
          </cell>
        </row>
        <row r="5">
          <cell r="A5" t="str">
            <v>搭建制作类</v>
          </cell>
        </row>
        <row r="6">
          <cell r="A6" t="str">
            <v>A#001</v>
          </cell>
          <cell r="B6" t="str">
            <v>制作</v>
          </cell>
          <cell r="C6" t="str">
            <v>背景板基础结构</v>
          </cell>
          <cell r="D6" t="str">
            <v>9厘板龙骨，5厘多层阻燃板封面</v>
          </cell>
          <cell r="E6" t="str">
            <v>厚度100mm以内</v>
          </cell>
          <cell r="F6" t="str">
            <v>平米</v>
          </cell>
          <cell r="G6">
            <v>106</v>
          </cell>
        </row>
        <row r="7">
          <cell r="A7" t="str">
            <v>A#002</v>
          </cell>
          <cell r="B7" t="str">
            <v>制作</v>
          </cell>
          <cell r="C7" t="str">
            <v>背景板基础结构</v>
          </cell>
          <cell r="D7" t="str">
            <v>9厘板龙骨，双面封面。一面5厘多层阻燃板，一面3厘多层阻燃板</v>
          </cell>
          <cell r="E7" t="str">
            <v>厚度100mm以内</v>
          </cell>
          <cell r="F7" t="str">
            <v>平米</v>
          </cell>
          <cell r="G7">
            <v>416.67</v>
          </cell>
        </row>
        <row r="8">
          <cell r="A8" t="str">
            <v>A#003</v>
          </cell>
          <cell r="B8" t="str">
            <v>制作</v>
          </cell>
          <cell r="C8" t="str">
            <v>背景板基础结构</v>
          </cell>
          <cell r="D8" t="str">
            <v>30方管钢结构龙骨，5厘板多层阻燃板封面</v>
          </cell>
          <cell r="E8" t="str">
            <v>厚度50mm以内</v>
          </cell>
          <cell r="F8" t="str">
            <v>平米</v>
          </cell>
          <cell r="G8">
            <v>410</v>
          </cell>
        </row>
        <row r="9">
          <cell r="A9" t="str">
            <v>A#004</v>
          </cell>
          <cell r="B9" t="str">
            <v>制作</v>
          </cell>
          <cell r="C9" t="str">
            <v>异形背景板基础结构</v>
          </cell>
          <cell r="D9" t="str">
            <v>12厘板异形（双面倒角）结构龙骨，5厘多层阻燃板封面</v>
          </cell>
          <cell r="E9" t="str">
            <v>厚度100mm以内</v>
          </cell>
          <cell r="F9" t="str">
            <v>平米</v>
          </cell>
          <cell r="G9">
            <v>493.33</v>
          </cell>
        </row>
        <row r="10">
          <cell r="A10" t="str">
            <v>A#005</v>
          </cell>
          <cell r="B10" t="str">
            <v>制作</v>
          </cell>
          <cell r="C10" t="str">
            <v>常规背景结构</v>
          </cell>
          <cell r="D10" t="str">
            <v>木质背板</v>
          </cell>
          <cell r="E10" t="str">
            <v>木制背景版+写真喷绘 （高度3m下）单面</v>
          </cell>
          <cell r="F10" t="str">
            <v>平米</v>
          </cell>
          <cell r="G10">
            <v>247.45</v>
          </cell>
        </row>
        <row r="11">
          <cell r="A11" t="str">
            <v>A#006</v>
          </cell>
          <cell r="B11" t="str">
            <v>制作</v>
          </cell>
          <cell r="C11" t="str">
            <v>常规背景结构</v>
          </cell>
          <cell r="D11" t="str">
            <v>木质背板</v>
          </cell>
          <cell r="E11" t="str">
            <v>木制背景版+写真喷绘 （高度3m下）双面</v>
          </cell>
          <cell r="F11" t="str">
            <v>平米</v>
          </cell>
          <cell r="G11">
            <v>254.4</v>
          </cell>
        </row>
        <row r="12">
          <cell r="A12" t="str">
            <v>A#007</v>
          </cell>
          <cell r="B12" t="str">
            <v>制作</v>
          </cell>
          <cell r="C12" t="str">
            <v>常规背景结构</v>
          </cell>
          <cell r="D12" t="str">
            <v>木质背板</v>
          </cell>
          <cell r="E12" t="str">
            <v>单面木质背板：木结构, 表面贴画面写真（高度3m以上）</v>
          </cell>
          <cell r="F12" t="str">
            <v>平米</v>
          </cell>
          <cell r="G12">
            <v>326.67</v>
          </cell>
        </row>
        <row r="13">
          <cell r="A13" t="str">
            <v>A#008</v>
          </cell>
          <cell r="B13" t="str">
            <v>制作</v>
          </cell>
          <cell r="C13" t="str">
            <v>常规背景结构</v>
          </cell>
          <cell r="D13" t="str">
            <v>木质背板</v>
          </cell>
          <cell r="E13" t="str">
            <v>双面木质背板：木结构, 表面贴画面写真（高度3m以上）</v>
          </cell>
          <cell r="F13" t="str">
            <v>平米</v>
          </cell>
          <cell r="G13">
            <v>553.33000000000004</v>
          </cell>
        </row>
        <row r="14">
          <cell r="A14" t="str">
            <v>A#009</v>
          </cell>
          <cell r="B14" t="str">
            <v>制作</v>
          </cell>
          <cell r="C14" t="str">
            <v>常规背景结构</v>
          </cell>
          <cell r="D14" t="str">
            <v>木质背板</v>
          </cell>
          <cell r="E14" t="str">
            <v>异形木质背板：木结构, 表面贴画面写真</v>
          </cell>
          <cell r="F14" t="str">
            <v>平米</v>
          </cell>
          <cell r="G14">
            <v>356.67</v>
          </cell>
        </row>
        <row r="15">
          <cell r="A15" t="str">
            <v>A#010</v>
          </cell>
          <cell r="B15" t="str">
            <v>制作</v>
          </cell>
          <cell r="C15" t="str">
            <v>常规背景结构</v>
          </cell>
          <cell r="D15" t="str">
            <v>木质背板</v>
          </cell>
          <cell r="E15" t="str">
            <v>单面木质背板：木结构, 表面刷涂料</v>
          </cell>
          <cell r="F15" t="str">
            <v>平米</v>
          </cell>
          <cell r="G15">
            <v>318</v>
          </cell>
        </row>
        <row r="16">
          <cell r="A16" t="str">
            <v>A#011</v>
          </cell>
          <cell r="B16" t="str">
            <v>制作</v>
          </cell>
          <cell r="C16" t="str">
            <v>常规背景结构</v>
          </cell>
          <cell r="D16" t="str">
            <v>木质背板</v>
          </cell>
          <cell r="E16" t="str">
            <v>双面木质背板：木结构, 表面刷涂料</v>
          </cell>
          <cell r="F16" t="str">
            <v>平米</v>
          </cell>
          <cell r="G16">
            <v>580</v>
          </cell>
        </row>
        <row r="17">
          <cell r="A17" t="str">
            <v>A#012</v>
          </cell>
          <cell r="B17" t="str">
            <v>制作</v>
          </cell>
          <cell r="C17" t="str">
            <v>常规背景结构</v>
          </cell>
          <cell r="D17" t="str">
            <v>木质背板</v>
          </cell>
          <cell r="E17" t="str">
            <v>异形木质背板：木结构, 表面刷涂料</v>
          </cell>
          <cell r="F17" t="str">
            <v>平米</v>
          </cell>
          <cell r="G17">
            <v>436.67</v>
          </cell>
        </row>
        <row r="18">
          <cell r="A18" t="str">
            <v>A#013</v>
          </cell>
          <cell r="B18" t="str">
            <v>制作</v>
          </cell>
          <cell r="C18" t="str">
            <v>常规背景结构</v>
          </cell>
          <cell r="D18" t="str">
            <v>木质背板</v>
          </cell>
          <cell r="E18" t="str">
            <v>单面木质背板：木结构, 表面喷漆</v>
          </cell>
          <cell r="F18" t="str">
            <v>平米</v>
          </cell>
          <cell r="G18">
            <v>402.8</v>
          </cell>
        </row>
        <row r="19">
          <cell r="A19" t="str">
            <v>A#014</v>
          </cell>
          <cell r="B19" t="str">
            <v>制作</v>
          </cell>
          <cell r="C19" t="str">
            <v>常规背景结构</v>
          </cell>
          <cell r="D19" t="str">
            <v>木质背板</v>
          </cell>
          <cell r="E19" t="str">
            <v>双面木质背板：木结构, 表面喷漆</v>
          </cell>
          <cell r="F19" t="str">
            <v>平米</v>
          </cell>
          <cell r="G19">
            <v>614.79999999999995</v>
          </cell>
        </row>
        <row r="20">
          <cell r="A20" t="str">
            <v>A#015</v>
          </cell>
          <cell r="B20" t="str">
            <v>制作</v>
          </cell>
          <cell r="C20" t="str">
            <v>常规背景结构</v>
          </cell>
          <cell r="D20" t="str">
            <v>木质背板</v>
          </cell>
          <cell r="E20" t="str">
            <v>异形木质背板：木结构, 表面喷漆</v>
          </cell>
          <cell r="F20" t="str">
            <v>平米</v>
          </cell>
          <cell r="G20">
            <v>560</v>
          </cell>
        </row>
        <row r="21">
          <cell r="A21" t="str">
            <v>A#016</v>
          </cell>
          <cell r="B21" t="str">
            <v>制作</v>
          </cell>
          <cell r="C21" t="str">
            <v>常规背景结构</v>
          </cell>
          <cell r="D21" t="str">
            <v>木质背板</v>
          </cell>
          <cell r="E21" t="str">
            <v>单面木质烤漆背板：木质烤漆，含支撑</v>
          </cell>
          <cell r="F21" t="str">
            <v>平米</v>
          </cell>
          <cell r="G21">
            <v>487.6</v>
          </cell>
        </row>
        <row r="22">
          <cell r="A22" t="str">
            <v>A#017</v>
          </cell>
          <cell r="B22" t="str">
            <v>制作</v>
          </cell>
          <cell r="C22" t="str">
            <v>常规背景结构</v>
          </cell>
          <cell r="D22" t="str">
            <v>木质背板</v>
          </cell>
          <cell r="E22" t="str">
            <v>双面木质烤漆背板：木质烤漆，含支撑</v>
          </cell>
          <cell r="F22" t="str">
            <v>平米</v>
          </cell>
          <cell r="G22">
            <v>826.8</v>
          </cell>
        </row>
        <row r="23">
          <cell r="A23" t="str">
            <v>A#018</v>
          </cell>
          <cell r="B23" t="str">
            <v>制作</v>
          </cell>
          <cell r="C23" t="str">
            <v>常规背景结构</v>
          </cell>
          <cell r="D23" t="str">
            <v>木质背板</v>
          </cell>
          <cell r="E23" t="str">
            <v>异形木质烤漆背板：木质烤漆，含支撑</v>
          </cell>
          <cell r="F23" t="str">
            <v>平米</v>
          </cell>
          <cell r="G23">
            <v>614.79999999999995</v>
          </cell>
        </row>
        <row r="24">
          <cell r="A24" t="str">
            <v>A#019</v>
          </cell>
          <cell r="B24" t="str">
            <v>制作</v>
          </cell>
          <cell r="C24" t="str">
            <v>桁架</v>
          </cell>
          <cell r="D24" t="str">
            <v>宝丽布+桁架</v>
          </cell>
          <cell r="E24" t="str">
            <v>3.2m宽幅，黑底材质+无味（环保）油墨</v>
          </cell>
          <cell r="F24" t="str">
            <v>平米</v>
          </cell>
          <cell r="G24">
            <v>90.1</v>
          </cell>
        </row>
        <row r="25">
          <cell r="A25" t="str">
            <v>A#020</v>
          </cell>
          <cell r="B25" t="str">
            <v>制作</v>
          </cell>
          <cell r="C25" t="str">
            <v>桁架</v>
          </cell>
          <cell r="D25" t="str">
            <v>宝丽布+桁架</v>
          </cell>
          <cell r="E25" t="str">
            <v>5m宽幅，黑底材质+无味（环保）油墨</v>
          </cell>
          <cell r="F25" t="str">
            <v>平米</v>
          </cell>
          <cell r="G25">
            <v>106</v>
          </cell>
        </row>
        <row r="26">
          <cell r="A26" t="str">
            <v>A#021</v>
          </cell>
          <cell r="B26" t="str">
            <v>制作</v>
          </cell>
          <cell r="C26" t="str">
            <v>桁架</v>
          </cell>
          <cell r="D26" t="str">
            <v>UV宝丽布+桁架</v>
          </cell>
          <cell r="E26" t="str">
            <v>3.2m宽幅，黑底材质+无味（环保）油墨</v>
          </cell>
          <cell r="F26" t="str">
            <v>平米</v>
          </cell>
          <cell r="G26">
            <v>131.66999999999999</v>
          </cell>
        </row>
        <row r="27">
          <cell r="A27" t="str">
            <v>A#022</v>
          </cell>
          <cell r="B27" t="str">
            <v>制作</v>
          </cell>
          <cell r="C27" t="str">
            <v>桁架</v>
          </cell>
          <cell r="D27" t="str">
            <v>UV宝丽布+桁架</v>
          </cell>
          <cell r="E27" t="str">
            <v>5m宽幅，黑底材质+无味（环保）油墨</v>
          </cell>
          <cell r="F27" t="str">
            <v>平米</v>
          </cell>
          <cell r="G27">
            <v>157.97</v>
          </cell>
        </row>
        <row r="28">
          <cell r="A28" t="str">
            <v>A#023</v>
          </cell>
          <cell r="B28" t="str">
            <v>制作</v>
          </cell>
          <cell r="C28" t="str">
            <v>网格架</v>
          </cell>
          <cell r="D28" t="str">
            <v>铁丝网格架</v>
          </cell>
          <cell r="E28" t="str">
            <v>黑色铁丝网架，喷漆加槽钢固定</v>
          </cell>
          <cell r="F28" t="str">
            <v>平米</v>
          </cell>
          <cell r="G28">
            <v>174.14</v>
          </cell>
        </row>
        <row r="29">
          <cell r="A29" t="str">
            <v>A#024</v>
          </cell>
          <cell r="B29" t="str">
            <v>制作</v>
          </cell>
          <cell r="C29" t="str">
            <v>钢结构</v>
          </cell>
          <cell r="D29" t="str">
            <v>18工字钢</v>
          </cell>
          <cell r="E29" t="str">
            <v>-</v>
          </cell>
          <cell r="F29" t="str">
            <v>米</v>
          </cell>
          <cell r="G29">
            <v>162.41</v>
          </cell>
        </row>
        <row r="30">
          <cell r="A30" t="str">
            <v>A#025</v>
          </cell>
          <cell r="B30" t="str">
            <v>制作</v>
          </cell>
          <cell r="C30" t="str">
            <v>钢结构</v>
          </cell>
          <cell r="D30" t="str">
            <v>20工字钢</v>
          </cell>
          <cell r="E30" t="str">
            <v>-</v>
          </cell>
          <cell r="F30" t="str">
            <v>米</v>
          </cell>
          <cell r="G30">
            <v>209.07</v>
          </cell>
        </row>
        <row r="31">
          <cell r="A31" t="str">
            <v>A#026</v>
          </cell>
          <cell r="B31" t="str">
            <v>制作</v>
          </cell>
          <cell r="C31" t="str">
            <v>钢结构</v>
          </cell>
          <cell r="D31" t="str">
            <v>25工字钢</v>
          </cell>
          <cell r="E31" t="str">
            <v>二层结构</v>
          </cell>
          <cell r="F31" t="str">
            <v>米</v>
          </cell>
          <cell r="G31">
            <v>246.94</v>
          </cell>
        </row>
        <row r="32">
          <cell r="A32" t="str">
            <v>A#027</v>
          </cell>
          <cell r="B32" t="str">
            <v>制作</v>
          </cell>
          <cell r="C32" t="str">
            <v>钢结构</v>
          </cell>
          <cell r="D32" t="str">
            <v>U型钢</v>
          </cell>
          <cell r="E32" t="str">
            <v>壁厚3mm</v>
          </cell>
          <cell r="F32" t="str">
            <v>米</v>
          </cell>
          <cell r="G32">
            <v>137.66</v>
          </cell>
        </row>
        <row r="33">
          <cell r="A33" t="str">
            <v>A#028</v>
          </cell>
          <cell r="B33" t="str">
            <v>制作</v>
          </cell>
          <cell r="C33" t="str">
            <v>钢结构</v>
          </cell>
          <cell r="D33" t="str">
            <v>16U型钢</v>
          </cell>
          <cell r="E33" t="str">
            <v>壁厚8mm</v>
          </cell>
          <cell r="F33" t="str">
            <v>米</v>
          </cell>
          <cell r="G33">
            <v>166.8</v>
          </cell>
        </row>
        <row r="34">
          <cell r="A34" t="str">
            <v>A#029</v>
          </cell>
          <cell r="B34" t="str">
            <v>制作</v>
          </cell>
          <cell r="C34" t="str">
            <v>钢结构</v>
          </cell>
          <cell r="D34" t="str">
            <v>32U型钢</v>
          </cell>
          <cell r="E34" t="str">
            <v>壁厚10mm</v>
          </cell>
          <cell r="F34" t="str">
            <v>米</v>
          </cell>
          <cell r="G34">
            <v>210.95</v>
          </cell>
        </row>
        <row r="35">
          <cell r="A35" t="str">
            <v>A#030</v>
          </cell>
          <cell r="B35" t="str">
            <v>制作</v>
          </cell>
          <cell r="C35" t="str">
            <v>钢结构</v>
          </cell>
          <cell r="D35" t="str">
            <v>30*30方钢</v>
          </cell>
          <cell r="E35" t="str">
            <v>壁厚8mm</v>
          </cell>
          <cell r="F35" t="str">
            <v>米</v>
          </cell>
          <cell r="G35">
            <v>42.4</v>
          </cell>
        </row>
        <row r="36">
          <cell r="A36" t="str">
            <v>A#031</v>
          </cell>
          <cell r="B36" t="str">
            <v>制作</v>
          </cell>
          <cell r="C36" t="str">
            <v>钢结构</v>
          </cell>
          <cell r="D36" t="str">
            <v>桁架</v>
          </cell>
          <cell r="E36" t="str">
            <v>200mm*200mm桁架</v>
          </cell>
          <cell r="F36" t="str">
            <v>平米</v>
          </cell>
          <cell r="G36">
            <v>51.67</v>
          </cell>
        </row>
        <row r="37">
          <cell r="A37" t="str">
            <v>A#032</v>
          </cell>
          <cell r="B37" t="str">
            <v>制作</v>
          </cell>
          <cell r="C37" t="str">
            <v>钢结构</v>
          </cell>
          <cell r="D37" t="str">
            <v>结构钢板配重</v>
          </cell>
          <cell r="E37" t="str">
            <v>Q215钢板，切割焊接，厚度10mm</v>
          </cell>
          <cell r="F37" t="str">
            <v>平米</v>
          </cell>
          <cell r="G37">
            <v>125</v>
          </cell>
        </row>
        <row r="38">
          <cell r="A38" t="str">
            <v>A#033</v>
          </cell>
          <cell r="B38" t="str">
            <v>制作</v>
          </cell>
          <cell r="C38" t="str">
            <v>装饰材料</v>
          </cell>
          <cell r="D38" t="str">
            <v>防火板</v>
          </cell>
          <cell r="E38" t="str">
            <v>国产，厚度3mm</v>
          </cell>
          <cell r="F38" t="str">
            <v>平米</v>
          </cell>
          <cell r="G38">
            <v>55.3</v>
          </cell>
        </row>
        <row r="39">
          <cell r="A39" t="str">
            <v>A#034</v>
          </cell>
          <cell r="B39" t="str">
            <v>制作</v>
          </cell>
          <cell r="C39" t="str">
            <v>装饰材料</v>
          </cell>
          <cell r="D39" t="str">
            <v>铝塑板</v>
          </cell>
          <cell r="E39" t="str">
            <v>国产，单面板</v>
          </cell>
          <cell r="F39" t="str">
            <v>平米</v>
          </cell>
          <cell r="G39">
            <v>91.88</v>
          </cell>
        </row>
        <row r="40">
          <cell r="A40" t="str">
            <v>A#035</v>
          </cell>
          <cell r="B40" t="str">
            <v>制作</v>
          </cell>
          <cell r="C40" t="str">
            <v>装饰材料</v>
          </cell>
          <cell r="D40" t="str">
            <v>丙烯涂料</v>
          </cell>
          <cell r="E40" t="str">
            <v>国产,一般品牌、无味环保</v>
          </cell>
          <cell r="F40" t="str">
            <v>平米</v>
          </cell>
          <cell r="G40">
            <v>64.319999999999993</v>
          </cell>
        </row>
        <row r="41">
          <cell r="A41" t="str">
            <v>A#036</v>
          </cell>
          <cell r="B41" t="str">
            <v>制作</v>
          </cell>
          <cell r="C41" t="str">
            <v>装饰材料</v>
          </cell>
          <cell r="D41" t="str">
            <v>乳胶漆</v>
          </cell>
          <cell r="E41" t="str">
            <v>国产,一般品牌、无味环保</v>
          </cell>
          <cell r="F41" t="str">
            <v>平米</v>
          </cell>
          <cell r="G41">
            <v>64.87</v>
          </cell>
        </row>
        <row r="42">
          <cell r="A42" t="str">
            <v>A#037</v>
          </cell>
          <cell r="B42" t="str">
            <v>制作</v>
          </cell>
          <cell r="C42" t="str">
            <v>装饰材料</v>
          </cell>
          <cell r="D42" t="str">
            <v>墙纸</v>
          </cell>
          <cell r="E42" t="str">
            <v>国产，单色</v>
          </cell>
          <cell r="F42" t="str">
            <v>平米</v>
          </cell>
          <cell r="G42">
            <v>62.87</v>
          </cell>
        </row>
        <row r="43">
          <cell r="A43" t="str">
            <v>A#038</v>
          </cell>
          <cell r="B43" t="str">
            <v>制作</v>
          </cell>
          <cell r="C43" t="str">
            <v>装饰材料</v>
          </cell>
          <cell r="D43" t="str">
            <v>喷漆</v>
          </cell>
          <cell r="E43" t="str">
            <v>金属漆，三层喷漆</v>
          </cell>
          <cell r="F43" t="str">
            <v>平米</v>
          </cell>
          <cell r="G43">
            <v>186.67</v>
          </cell>
        </row>
        <row r="44">
          <cell r="A44" t="str">
            <v>A#039</v>
          </cell>
          <cell r="B44" t="str">
            <v>制作</v>
          </cell>
          <cell r="C44" t="str">
            <v>装饰材料</v>
          </cell>
          <cell r="D44" t="str">
            <v>烤漆</v>
          </cell>
          <cell r="E44" t="str">
            <v>三层烤漆,普通品牌</v>
          </cell>
          <cell r="F44" t="str">
            <v>平米</v>
          </cell>
          <cell r="G44">
            <v>206.67</v>
          </cell>
        </row>
        <row r="45">
          <cell r="A45" t="str">
            <v>A#040</v>
          </cell>
          <cell r="B45" t="str">
            <v>制作</v>
          </cell>
          <cell r="C45" t="str">
            <v>装饰材料</v>
          </cell>
          <cell r="D45" t="str">
            <v>防火涂料</v>
          </cell>
          <cell r="E45" t="str">
            <v>中南等国产品牌</v>
          </cell>
          <cell r="F45" t="str">
            <v>平米</v>
          </cell>
          <cell r="G45">
            <v>46.67</v>
          </cell>
        </row>
        <row r="46">
          <cell r="A46" t="str">
            <v>A#041</v>
          </cell>
          <cell r="B46" t="str">
            <v>制作</v>
          </cell>
          <cell r="C46" t="str">
            <v>装饰材料</v>
          </cell>
          <cell r="D46" t="str">
            <v>防水乳胶漆</v>
          </cell>
          <cell r="E46" t="str">
            <v>中南等国产品牌</v>
          </cell>
          <cell r="F46" t="str">
            <v>平米</v>
          </cell>
          <cell r="G46">
            <v>75</v>
          </cell>
        </row>
        <row r="47">
          <cell r="A47" t="str">
            <v>A#042</v>
          </cell>
          <cell r="B47" t="str">
            <v>制作</v>
          </cell>
          <cell r="C47" t="str">
            <v>装饰材料</v>
          </cell>
          <cell r="D47" t="str">
            <v>亚克力</v>
          </cell>
          <cell r="E47" t="str">
            <v>国产 3mm</v>
          </cell>
          <cell r="F47" t="str">
            <v>平米</v>
          </cell>
          <cell r="G47">
            <v>126.67</v>
          </cell>
        </row>
        <row r="48">
          <cell r="A48" t="str">
            <v>A#043</v>
          </cell>
          <cell r="B48" t="str">
            <v>制作</v>
          </cell>
          <cell r="C48" t="str">
            <v>装饰材料</v>
          </cell>
          <cell r="D48" t="str">
            <v>亚克力</v>
          </cell>
          <cell r="E48" t="str">
            <v>国产 5mm</v>
          </cell>
          <cell r="F48" t="str">
            <v>平米</v>
          </cell>
          <cell r="G48">
            <v>173.33</v>
          </cell>
        </row>
        <row r="49">
          <cell r="A49" t="str">
            <v>A#044</v>
          </cell>
          <cell r="B49" t="str">
            <v>制作</v>
          </cell>
          <cell r="C49" t="str">
            <v>装饰材料</v>
          </cell>
          <cell r="D49" t="str">
            <v>亚克力</v>
          </cell>
          <cell r="E49" t="str">
            <v>国产 10mm</v>
          </cell>
          <cell r="F49" t="str">
            <v>平米</v>
          </cell>
          <cell r="G49">
            <v>222.6</v>
          </cell>
        </row>
        <row r="50">
          <cell r="A50" t="str">
            <v>A#045</v>
          </cell>
          <cell r="B50" t="str">
            <v>制作</v>
          </cell>
          <cell r="C50" t="str">
            <v>装饰材料</v>
          </cell>
          <cell r="D50" t="str">
            <v>钢化玻璃</v>
          </cell>
          <cell r="E50" t="str">
            <v>青玻-厚度8mm</v>
          </cell>
          <cell r="F50" t="str">
            <v>平米</v>
          </cell>
          <cell r="G50">
            <v>180</v>
          </cell>
        </row>
        <row r="51">
          <cell r="A51" t="str">
            <v>A#046</v>
          </cell>
          <cell r="B51" t="str">
            <v>制作</v>
          </cell>
          <cell r="C51" t="str">
            <v>装饰材料</v>
          </cell>
          <cell r="D51" t="str">
            <v>钢化玻璃</v>
          </cell>
          <cell r="E51" t="str">
            <v>普通清玻璃10mm钢化</v>
          </cell>
          <cell r="F51" t="str">
            <v>平米</v>
          </cell>
          <cell r="G51">
            <v>212</v>
          </cell>
        </row>
        <row r="52">
          <cell r="A52" t="str">
            <v>A#047</v>
          </cell>
          <cell r="B52" t="str">
            <v>制作</v>
          </cell>
          <cell r="C52" t="str">
            <v>装饰材料</v>
          </cell>
          <cell r="D52" t="str">
            <v>钢化玻璃</v>
          </cell>
          <cell r="E52" t="str">
            <v>普通清玻璃12mm钢化</v>
          </cell>
          <cell r="F52" t="str">
            <v>平米</v>
          </cell>
          <cell r="G52">
            <v>250</v>
          </cell>
        </row>
        <row r="53">
          <cell r="A53" t="str">
            <v>A#048</v>
          </cell>
          <cell r="B53" t="str">
            <v>制作</v>
          </cell>
          <cell r="C53" t="str">
            <v>装饰材料</v>
          </cell>
          <cell r="D53" t="str">
            <v>钢化玻璃</v>
          </cell>
          <cell r="E53" t="str">
            <v>普通清玻璃15mm钢化</v>
          </cell>
          <cell r="F53" t="str">
            <v>平米</v>
          </cell>
          <cell r="G53">
            <v>296.8</v>
          </cell>
        </row>
        <row r="54">
          <cell r="A54" t="str">
            <v>A#049</v>
          </cell>
          <cell r="B54" t="str">
            <v>制作</v>
          </cell>
          <cell r="C54" t="str">
            <v>装饰材料</v>
          </cell>
          <cell r="D54" t="str">
            <v>钢化玻璃</v>
          </cell>
          <cell r="E54" t="str">
            <v>超白玻璃10mm钢化</v>
          </cell>
          <cell r="F54" t="str">
            <v>平米</v>
          </cell>
          <cell r="G54">
            <v>316.67</v>
          </cell>
        </row>
        <row r="55">
          <cell r="A55" t="str">
            <v>A#050</v>
          </cell>
          <cell r="B55" t="str">
            <v>制作</v>
          </cell>
          <cell r="C55" t="str">
            <v>装饰材料</v>
          </cell>
          <cell r="D55" t="str">
            <v>钢化玻璃</v>
          </cell>
          <cell r="E55" t="str">
            <v>超白玻璃12mm钢化</v>
          </cell>
          <cell r="F55" t="str">
            <v>平米</v>
          </cell>
          <cell r="G55">
            <v>350</v>
          </cell>
        </row>
        <row r="56">
          <cell r="A56" t="str">
            <v>A#051</v>
          </cell>
          <cell r="B56" t="str">
            <v>制作</v>
          </cell>
          <cell r="C56" t="str">
            <v>装饰材料</v>
          </cell>
          <cell r="D56" t="str">
            <v>钢化玻璃</v>
          </cell>
          <cell r="E56" t="str">
            <v>超白玻璃15mm钢化</v>
          </cell>
          <cell r="F56" t="str">
            <v>平米</v>
          </cell>
          <cell r="G56">
            <v>433.33</v>
          </cell>
        </row>
        <row r="57">
          <cell r="A57" t="str">
            <v>A#052</v>
          </cell>
          <cell r="B57" t="str">
            <v>制作</v>
          </cell>
          <cell r="C57" t="str">
            <v>装饰材料</v>
          </cell>
          <cell r="D57" t="str">
            <v>有色玻璃</v>
          </cell>
          <cell r="E57" t="str">
            <v>5mm有色镜</v>
          </cell>
          <cell r="F57" t="str">
            <v>平米</v>
          </cell>
          <cell r="G57">
            <v>161.08000000000001</v>
          </cell>
        </row>
        <row r="58">
          <cell r="A58" t="str">
            <v>A#053</v>
          </cell>
          <cell r="B58" t="str">
            <v>制作</v>
          </cell>
          <cell r="C58" t="str">
            <v>装饰材料</v>
          </cell>
          <cell r="D58" t="str">
            <v>KT板</v>
          </cell>
          <cell r="E58" t="str">
            <v>亚展A类板</v>
          </cell>
          <cell r="F58" t="str">
            <v>平米</v>
          </cell>
          <cell r="G58">
            <v>50.57</v>
          </cell>
        </row>
        <row r="59">
          <cell r="A59" t="str">
            <v>A#054</v>
          </cell>
          <cell r="B59" t="str">
            <v>制作</v>
          </cell>
          <cell r="C59" t="str">
            <v>装饰材料</v>
          </cell>
          <cell r="D59" t="str">
            <v>展板</v>
          </cell>
          <cell r="E59" t="str">
            <v>白色PVC展板，3.2mm</v>
          </cell>
          <cell r="F59" t="str">
            <v>平米</v>
          </cell>
          <cell r="G59">
            <v>63.6</v>
          </cell>
        </row>
        <row r="60">
          <cell r="A60" t="str">
            <v>A#055</v>
          </cell>
          <cell r="B60" t="str">
            <v>制作</v>
          </cell>
          <cell r="C60" t="str">
            <v>装饰材料</v>
          </cell>
          <cell r="D60" t="str">
            <v>不锈钢</v>
          </cell>
          <cell r="E60" t="str">
            <v>304 镜面</v>
          </cell>
          <cell r="F60" t="str">
            <v>平米</v>
          </cell>
          <cell r="G60">
            <v>240.42</v>
          </cell>
        </row>
        <row r="61">
          <cell r="A61" t="str">
            <v>A#056</v>
          </cell>
          <cell r="B61" t="str">
            <v>制作</v>
          </cell>
          <cell r="C61" t="str">
            <v>装饰材料</v>
          </cell>
          <cell r="D61" t="str">
            <v>亚克力镜面板</v>
          </cell>
          <cell r="E61" t="str">
            <v>亚克力镜面板金、银色等</v>
          </cell>
          <cell r="F61" t="str">
            <v>平米</v>
          </cell>
          <cell r="G61">
            <v>212</v>
          </cell>
        </row>
        <row r="62">
          <cell r="A62" t="str">
            <v>A#057</v>
          </cell>
          <cell r="B62" t="str">
            <v>制作</v>
          </cell>
          <cell r="C62" t="str">
            <v>装饰材料</v>
          </cell>
          <cell r="D62" t="str">
            <v>PVC镜面板</v>
          </cell>
          <cell r="E62" t="str">
            <v>厚度30毫米</v>
          </cell>
          <cell r="F62" t="str">
            <v>平米</v>
          </cell>
          <cell r="G62">
            <v>310.19</v>
          </cell>
        </row>
        <row r="63">
          <cell r="A63" t="str">
            <v>A#058</v>
          </cell>
          <cell r="B63" t="str">
            <v>制作</v>
          </cell>
          <cell r="C63" t="str">
            <v>装饰材料</v>
          </cell>
          <cell r="D63" t="str">
            <v>无限镜</v>
          </cell>
          <cell r="E63" t="str">
            <v>框架结构，最外层玻璃，内侧镜子结构</v>
          </cell>
          <cell r="F63" t="str">
            <v>平米</v>
          </cell>
          <cell r="G63">
            <v>1390.56</v>
          </cell>
        </row>
        <row r="64">
          <cell r="A64" t="str">
            <v>A#059</v>
          </cell>
          <cell r="B64" t="str">
            <v>制作</v>
          </cell>
          <cell r="C64" t="str">
            <v>装饰材料</v>
          </cell>
          <cell r="D64" t="str">
            <v>波音片</v>
          </cell>
          <cell r="E64" t="str">
            <v>国产</v>
          </cell>
          <cell r="F64" t="str">
            <v>平米</v>
          </cell>
          <cell r="G64">
            <v>65</v>
          </cell>
        </row>
        <row r="65">
          <cell r="A65" t="str">
            <v>A#060</v>
          </cell>
          <cell r="B65" t="str">
            <v>制作</v>
          </cell>
          <cell r="C65" t="str">
            <v>装饰材料</v>
          </cell>
          <cell r="D65" t="str">
            <v>仿真植物墙</v>
          </cell>
          <cell r="E65" t="str">
            <v>混搭植物</v>
          </cell>
          <cell r="F65" t="str">
            <v>平米</v>
          </cell>
          <cell r="G65">
            <v>623.33000000000004</v>
          </cell>
        </row>
        <row r="66">
          <cell r="A66" t="str">
            <v>A#061</v>
          </cell>
          <cell r="B66" t="str">
            <v>制作</v>
          </cell>
          <cell r="C66" t="str">
            <v>装饰材料</v>
          </cell>
          <cell r="D66" t="str">
            <v>油漆</v>
          </cell>
          <cell r="E66" t="str">
            <v>亮面漆</v>
          </cell>
          <cell r="F66" t="str">
            <v>平米</v>
          </cell>
          <cell r="G66">
            <v>226.67</v>
          </cell>
        </row>
        <row r="67">
          <cell r="A67" t="str">
            <v>A#062</v>
          </cell>
          <cell r="B67" t="str">
            <v>制作</v>
          </cell>
          <cell r="C67" t="str">
            <v>展台</v>
          </cell>
          <cell r="D67" t="str">
            <v>木制烤漆</v>
          </cell>
          <cell r="E67" t="str">
            <v>高度1米内，含抽屉、开门</v>
          </cell>
          <cell r="F67" t="str">
            <v>延米</v>
          </cell>
          <cell r="G67">
            <v>1933.33</v>
          </cell>
        </row>
        <row r="68">
          <cell r="A68" t="str">
            <v>A#063</v>
          </cell>
          <cell r="B68" t="str">
            <v>制作</v>
          </cell>
          <cell r="C68" t="str">
            <v>异形展台</v>
          </cell>
          <cell r="D68" t="str">
            <v>木制烤漆</v>
          </cell>
          <cell r="E68" t="str">
            <v>高度1米内，含抽屉、开门</v>
          </cell>
          <cell r="F68" t="str">
            <v>延米</v>
          </cell>
          <cell r="G68">
            <v>2433.33</v>
          </cell>
        </row>
        <row r="69">
          <cell r="A69" t="str">
            <v>A#064</v>
          </cell>
          <cell r="B69" t="str">
            <v>制作</v>
          </cell>
          <cell r="C69" t="str">
            <v>展台</v>
          </cell>
          <cell r="D69" t="str">
            <v>木制防火板</v>
          </cell>
          <cell r="E69" t="str">
            <v>高度1米内，含抽屉、开门</v>
          </cell>
          <cell r="F69" t="str">
            <v>延米</v>
          </cell>
          <cell r="G69">
            <v>1616.67</v>
          </cell>
        </row>
        <row r="70">
          <cell r="A70" t="str">
            <v>A#065</v>
          </cell>
          <cell r="B70" t="str">
            <v>制作</v>
          </cell>
          <cell r="C70" t="str">
            <v>异形展台</v>
          </cell>
          <cell r="D70" t="str">
            <v>木制防火板</v>
          </cell>
          <cell r="E70" t="str">
            <v>高度1米内，含抽屉、开门</v>
          </cell>
          <cell r="F70" t="str">
            <v>延米</v>
          </cell>
          <cell r="G70">
            <v>1933.33</v>
          </cell>
        </row>
        <row r="71">
          <cell r="A71" t="str">
            <v>A#066</v>
          </cell>
          <cell r="B71" t="str">
            <v>制作</v>
          </cell>
          <cell r="C71" t="str">
            <v>展柜</v>
          </cell>
          <cell r="D71" t="str">
            <v>木制烤漆</v>
          </cell>
          <cell r="E71" t="str">
            <v>高度2.4米内，含抽屉、开门</v>
          </cell>
          <cell r="F71" t="str">
            <v>延米</v>
          </cell>
          <cell r="G71">
            <v>2650</v>
          </cell>
        </row>
        <row r="72">
          <cell r="A72" t="str">
            <v>A#067</v>
          </cell>
          <cell r="B72" t="str">
            <v>制作</v>
          </cell>
          <cell r="C72" t="str">
            <v>异形展柜</v>
          </cell>
          <cell r="D72" t="str">
            <v>木制烤漆</v>
          </cell>
          <cell r="E72" t="str">
            <v>高度2.4米内，含抽屉、开门</v>
          </cell>
          <cell r="F72" t="str">
            <v>延米</v>
          </cell>
          <cell r="G72">
            <v>2650</v>
          </cell>
        </row>
        <row r="73">
          <cell r="A73" t="str">
            <v>A#068</v>
          </cell>
          <cell r="B73" t="str">
            <v>制作</v>
          </cell>
          <cell r="C73" t="str">
            <v>展柜</v>
          </cell>
          <cell r="D73" t="str">
            <v>木制防火板</v>
          </cell>
          <cell r="E73" t="str">
            <v>高度2.4米内，含抽屉、开门</v>
          </cell>
          <cell r="F73" t="str">
            <v>延米</v>
          </cell>
          <cell r="G73">
            <v>2650</v>
          </cell>
        </row>
        <row r="74">
          <cell r="A74" t="str">
            <v>A#069</v>
          </cell>
          <cell r="B74" t="str">
            <v>制作</v>
          </cell>
          <cell r="C74" t="str">
            <v>异形展柜</v>
          </cell>
          <cell r="D74" t="str">
            <v>木制防火板</v>
          </cell>
          <cell r="E74" t="str">
            <v>高度2.4米内，含抽屉、开门</v>
          </cell>
          <cell r="F74" t="str">
            <v>延米</v>
          </cell>
          <cell r="G74">
            <v>2650</v>
          </cell>
        </row>
        <row r="75">
          <cell r="A75" t="str">
            <v>A#070</v>
          </cell>
          <cell r="B75" t="str">
            <v>制作</v>
          </cell>
          <cell r="C75" t="str">
            <v>地毯</v>
          </cell>
          <cell r="D75" t="str">
            <v>普通展览地毯</v>
          </cell>
          <cell r="E75" t="str">
            <v>3mm</v>
          </cell>
          <cell r="F75" t="str">
            <v>平米</v>
          </cell>
          <cell r="G75">
            <v>16.11</v>
          </cell>
        </row>
        <row r="76">
          <cell r="A76" t="str">
            <v>A#071</v>
          </cell>
          <cell r="B76" t="str">
            <v>制作</v>
          </cell>
          <cell r="C76" t="str">
            <v>地毯</v>
          </cell>
          <cell r="D76" t="str">
            <v>加厚展览地毯</v>
          </cell>
          <cell r="E76" t="str">
            <v>5-7mm</v>
          </cell>
          <cell r="F76" t="str">
            <v>平米</v>
          </cell>
          <cell r="G76">
            <v>21.2</v>
          </cell>
        </row>
        <row r="77">
          <cell r="A77" t="str">
            <v>A#072</v>
          </cell>
          <cell r="B77" t="str">
            <v>制作</v>
          </cell>
          <cell r="C77" t="str">
            <v>地毯</v>
          </cell>
          <cell r="D77" t="str">
            <v>阻燃拉绒地毯</v>
          </cell>
          <cell r="E77" t="str">
            <v>-</v>
          </cell>
          <cell r="F77" t="str">
            <v>平米</v>
          </cell>
          <cell r="G77">
            <v>28.229999999999997</v>
          </cell>
        </row>
        <row r="78">
          <cell r="A78" t="str">
            <v>A#073</v>
          </cell>
          <cell r="B78" t="str">
            <v>制作</v>
          </cell>
          <cell r="C78" t="str">
            <v>地毯</v>
          </cell>
          <cell r="D78" t="str">
            <v>圈绒地毯</v>
          </cell>
          <cell r="E78" t="str">
            <v>-</v>
          </cell>
          <cell r="F78" t="str">
            <v>平米</v>
          </cell>
          <cell r="G78">
            <v>40.630000000000003</v>
          </cell>
        </row>
        <row r="79">
          <cell r="A79" t="str">
            <v>A#074</v>
          </cell>
          <cell r="B79" t="str">
            <v>制作</v>
          </cell>
          <cell r="C79" t="str">
            <v>地毯</v>
          </cell>
          <cell r="D79" t="str">
            <v>草皮地毯</v>
          </cell>
          <cell r="E79" t="str">
            <v>5cm以下</v>
          </cell>
          <cell r="F79" t="str">
            <v>平米</v>
          </cell>
          <cell r="G79">
            <v>10.6</v>
          </cell>
        </row>
        <row r="80">
          <cell r="A80" t="str">
            <v>A#075</v>
          </cell>
          <cell r="B80" t="str">
            <v>制作</v>
          </cell>
          <cell r="C80" t="str">
            <v>地毯</v>
          </cell>
          <cell r="D80" t="str">
            <v>草皮地毯</v>
          </cell>
          <cell r="E80" t="str">
            <v>5cm以上</v>
          </cell>
          <cell r="F80" t="str">
            <v>平米</v>
          </cell>
          <cell r="G80">
            <v>15.9</v>
          </cell>
        </row>
        <row r="81">
          <cell r="A81" t="str">
            <v>A#076</v>
          </cell>
          <cell r="B81" t="str">
            <v>制作</v>
          </cell>
          <cell r="C81" t="str">
            <v>地台</v>
          </cell>
          <cell r="D81" t="str">
            <v>舞台结构</v>
          </cell>
          <cell r="E81" t="str">
            <v>钢结构地台支撑 高10cm</v>
          </cell>
          <cell r="F81" t="str">
            <v>平米</v>
          </cell>
          <cell r="G81">
            <v>95.4</v>
          </cell>
        </row>
        <row r="82">
          <cell r="A82" t="str">
            <v>A#077</v>
          </cell>
          <cell r="B82" t="str">
            <v>制作</v>
          </cell>
          <cell r="C82" t="str">
            <v>地台</v>
          </cell>
          <cell r="D82" t="str">
            <v>舞台结构</v>
          </cell>
          <cell r="E82" t="str">
            <v>钢结构地台支撑 高20cm</v>
          </cell>
          <cell r="F82" t="str">
            <v>平米</v>
          </cell>
          <cell r="G82">
            <v>95.4</v>
          </cell>
        </row>
        <row r="83">
          <cell r="A83" t="str">
            <v>A#078</v>
          </cell>
          <cell r="B83" t="str">
            <v>制作</v>
          </cell>
          <cell r="C83" t="str">
            <v>地台</v>
          </cell>
          <cell r="D83" t="str">
            <v>舞台结构</v>
          </cell>
          <cell r="E83" t="str">
            <v>钢结构地台支撑 高40cm</v>
          </cell>
          <cell r="F83" t="str">
            <v>平米</v>
          </cell>
          <cell r="G83">
            <v>106</v>
          </cell>
        </row>
        <row r="84">
          <cell r="A84" t="str">
            <v>A#079</v>
          </cell>
          <cell r="B84" t="str">
            <v>制作</v>
          </cell>
          <cell r="C84" t="str">
            <v>地台</v>
          </cell>
          <cell r="D84" t="str">
            <v>舞台结构</v>
          </cell>
          <cell r="E84" t="str">
            <v>钢结构地台支撑 高60cm</v>
          </cell>
          <cell r="F84" t="str">
            <v>平米</v>
          </cell>
          <cell r="G84">
            <v>107.06</v>
          </cell>
        </row>
        <row r="85">
          <cell r="A85" t="str">
            <v>A#080</v>
          </cell>
          <cell r="B85" t="str">
            <v>制作</v>
          </cell>
          <cell r="C85" t="str">
            <v>地台</v>
          </cell>
          <cell r="D85" t="str">
            <v>舞台结构</v>
          </cell>
          <cell r="E85" t="str">
            <v>钢结构地台支撑 高80cm</v>
          </cell>
          <cell r="F85" t="str">
            <v>平米</v>
          </cell>
          <cell r="G85">
            <v>169.6</v>
          </cell>
        </row>
        <row r="86">
          <cell r="A86" t="str">
            <v>A#081</v>
          </cell>
          <cell r="B86" t="str">
            <v>制作</v>
          </cell>
          <cell r="C86" t="str">
            <v>地台</v>
          </cell>
          <cell r="D86" t="str">
            <v>舞台结构</v>
          </cell>
          <cell r="E86" t="str">
            <v>钢结构地台支撑 高100cm</v>
          </cell>
          <cell r="F86" t="str">
            <v>平米</v>
          </cell>
          <cell r="G86">
            <v>144.61000000000001</v>
          </cell>
        </row>
        <row r="87">
          <cell r="A87" t="str">
            <v>A#082</v>
          </cell>
          <cell r="B87" t="str">
            <v>制作</v>
          </cell>
          <cell r="C87" t="str">
            <v>地台</v>
          </cell>
          <cell r="D87" t="str">
            <v>舞台结构</v>
          </cell>
          <cell r="E87" t="str">
            <v>钢结构地台支撑 高150cm</v>
          </cell>
          <cell r="F87" t="str">
            <v>平米</v>
          </cell>
          <cell r="G87">
            <v>196.57</v>
          </cell>
        </row>
        <row r="88">
          <cell r="A88" t="str">
            <v>A#083</v>
          </cell>
          <cell r="B88" t="str">
            <v>制作</v>
          </cell>
          <cell r="C88" t="str">
            <v>地台</v>
          </cell>
          <cell r="D88" t="str">
            <v>舞台结构</v>
          </cell>
          <cell r="E88" t="str">
            <v>木结构，LED支撑地台 高20cm</v>
          </cell>
          <cell r="F88" t="str">
            <v>米</v>
          </cell>
          <cell r="G88">
            <v>106</v>
          </cell>
        </row>
        <row r="89">
          <cell r="A89" t="str">
            <v>A#084</v>
          </cell>
          <cell r="B89" t="str">
            <v>制作</v>
          </cell>
          <cell r="C89" t="str">
            <v>地台</v>
          </cell>
          <cell r="D89" t="str">
            <v>舞台结构</v>
          </cell>
          <cell r="E89" t="str">
            <v>木结构，LED支撑地台 高40cm</v>
          </cell>
          <cell r="F89" t="str">
            <v>米</v>
          </cell>
          <cell r="G89">
            <v>122.58181818181816</v>
          </cell>
        </row>
        <row r="90">
          <cell r="A90" t="str">
            <v>A#085</v>
          </cell>
          <cell r="B90" t="str">
            <v>制作</v>
          </cell>
          <cell r="C90" t="str">
            <v>地台</v>
          </cell>
          <cell r="D90" t="str">
            <v>舞台结构</v>
          </cell>
          <cell r="E90" t="str">
            <v>木结构，LED支撑地台 高60cm</v>
          </cell>
          <cell r="F90" t="str">
            <v>米</v>
          </cell>
          <cell r="G90">
            <v>127.2</v>
          </cell>
        </row>
        <row r="91">
          <cell r="A91" t="str">
            <v>A#086</v>
          </cell>
          <cell r="B91" t="str">
            <v>制作</v>
          </cell>
          <cell r="C91" t="str">
            <v>地台</v>
          </cell>
          <cell r="D91" t="str">
            <v>舞台结构</v>
          </cell>
          <cell r="E91" t="str">
            <v>木结构，LED支撑地台 高80cm</v>
          </cell>
          <cell r="F91" t="str">
            <v>米</v>
          </cell>
          <cell r="G91">
            <v>148.4</v>
          </cell>
        </row>
        <row r="92">
          <cell r="A92" t="str">
            <v>A#087</v>
          </cell>
          <cell r="B92" t="str">
            <v>制作</v>
          </cell>
          <cell r="C92" t="str">
            <v>地台</v>
          </cell>
          <cell r="D92" t="str">
            <v>舞台结构</v>
          </cell>
          <cell r="E92" t="str">
            <v>木结构，LED支撑地台 高100cm</v>
          </cell>
          <cell r="F92" t="str">
            <v>米</v>
          </cell>
          <cell r="G92">
            <v>148.4</v>
          </cell>
        </row>
        <row r="93">
          <cell r="A93" t="str">
            <v>A#088</v>
          </cell>
          <cell r="B93" t="str">
            <v>制作</v>
          </cell>
          <cell r="C93" t="str">
            <v>地台面材</v>
          </cell>
          <cell r="D93" t="str">
            <v>强化复合木地板/多层板</v>
          </cell>
          <cell r="E93" t="str">
            <v>-</v>
          </cell>
          <cell r="F93" t="str">
            <v>平米</v>
          </cell>
          <cell r="G93">
            <v>69.819999999999993</v>
          </cell>
        </row>
        <row r="94">
          <cell r="A94" t="str">
            <v>A#089</v>
          </cell>
          <cell r="B94" t="str">
            <v>制作</v>
          </cell>
          <cell r="C94" t="str">
            <v>地台面材</v>
          </cell>
          <cell r="D94" t="str">
            <v>三聚氰铵地板</v>
          </cell>
          <cell r="E94" t="str">
            <v>15mm</v>
          </cell>
          <cell r="F94" t="str">
            <v>平米</v>
          </cell>
          <cell r="G94">
            <v>106</v>
          </cell>
        </row>
        <row r="95">
          <cell r="A95" t="str">
            <v>A#090</v>
          </cell>
          <cell r="B95" t="str">
            <v>制作</v>
          </cell>
          <cell r="C95" t="str">
            <v>地台面材</v>
          </cell>
          <cell r="D95" t="str">
            <v>淋油板</v>
          </cell>
          <cell r="E95" t="str">
            <v>15mm</v>
          </cell>
          <cell r="F95" t="str">
            <v>平米</v>
          </cell>
          <cell r="G95">
            <v>137.80000000000001</v>
          </cell>
        </row>
        <row r="96">
          <cell r="A96" t="str">
            <v>A#091</v>
          </cell>
          <cell r="B96" t="str">
            <v>制作</v>
          </cell>
          <cell r="C96" t="str">
            <v>地台面材</v>
          </cell>
          <cell r="D96" t="str">
            <v>pvc地胶</v>
          </cell>
          <cell r="E96" t="str">
            <v>国产</v>
          </cell>
          <cell r="F96" t="str">
            <v>平米</v>
          </cell>
          <cell r="G96">
            <v>63.6</v>
          </cell>
        </row>
        <row r="97">
          <cell r="A97" t="str">
            <v>A#092</v>
          </cell>
          <cell r="B97" t="str">
            <v>制作</v>
          </cell>
          <cell r="C97" t="str">
            <v>地面材质</v>
          </cell>
          <cell r="D97" t="str">
            <v>美工地贴</v>
          </cell>
          <cell r="E97" t="str">
            <v>普通地贴</v>
          </cell>
          <cell r="F97" t="str">
            <v>平米</v>
          </cell>
          <cell r="G97">
            <v>63.6</v>
          </cell>
        </row>
        <row r="98">
          <cell r="A98" t="str">
            <v>A#093</v>
          </cell>
          <cell r="B98" t="str">
            <v>制作</v>
          </cell>
          <cell r="C98" t="str">
            <v>地面材质</v>
          </cell>
          <cell r="D98" t="str">
            <v>美工地贴</v>
          </cell>
          <cell r="E98" t="str">
            <v>加厚地贴</v>
          </cell>
          <cell r="F98" t="str">
            <v>平米</v>
          </cell>
          <cell r="G98">
            <v>84.8</v>
          </cell>
        </row>
        <row r="99">
          <cell r="A99" t="str">
            <v>A#094</v>
          </cell>
          <cell r="B99" t="str">
            <v>制作</v>
          </cell>
          <cell r="C99" t="str">
            <v>地面材质</v>
          </cell>
          <cell r="D99" t="str">
            <v>钢化玻璃</v>
          </cell>
          <cell r="E99" t="str">
            <v>-</v>
          </cell>
          <cell r="F99" t="str">
            <v>平米</v>
          </cell>
          <cell r="G99">
            <v>212</v>
          </cell>
        </row>
        <row r="100">
          <cell r="A100" t="str">
            <v>A#095</v>
          </cell>
          <cell r="B100" t="str">
            <v>制作</v>
          </cell>
          <cell r="C100" t="str">
            <v>地台结构</v>
          </cell>
          <cell r="D100" t="str">
            <v>调节脚地台（腿和面板一整套）</v>
          </cell>
          <cell r="E100" t="str">
            <v>钢管调节地台，配车展舞台面板，奥克坦姆</v>
          </cell>
          <cell r="F100" t="str">
            <v>平米</v>
          </cell>
          <cell r="G100">
            <v>79.5</v>
          </cell>
        </row>
        <row r="101">
          <cell r="A101" t="str">
            <v>A#096</v>
          </cell>
          <cell r="B101" t="str">
            <v>制作</v>
          </cell>
          <cell r="C101" t="str">
            <v>地台结构</v>
          </cell>
          <cell r="D101" t="str">
            <v>地台</v>
          </cell>
          <cell r="E101" t="str">
            <v>木质含龙骨，10-30CM</v>
          </cell>
          <cell r="F101" t="str">
            <v>平米</v>
          </cell>
          <cell r="G101">
            <v>120</v>
          </cell>
        </row>
        <row r="102">
          <cell r="A102" t="str">
            <v>A#097</v>
          </cell>
          <cell r="B102" t="str">
            <v>制作</v>
          </cell>
          <cell r="C102" t="str">
            <v>地台结构</v>
          </cell>
          <cell r="D102" t="str">
            <v>地台包边</v>
          </cell>
          <cell r="E102" t="str">
            <v>宽度35mm，厚度6mm铝合金</v>
          </cell>
          <cell r="F102" t="str">
            <v>米</v>
          </cell>
          <cell r="G102">
            <v>50</v>
          </cell>
        </row>
        <row r="103">
          <cell r="A103" t="str">
            <v>A#098</v>
          </cell>
          <cell r="B103" t="str">
            <v>制作</v>
          </cell>
          <cell r="C103" t="str">
            <v>地台结构</v>
          </cell>
          <cell r="D103" t="str">
            <v>铁制地台 0.3m--0.5m</v>
          </cell>
          <cell r="E103" t="str">
            <v>国标3*5钢架结构+两层15厘夹板</v>
          </cell>
          <cell r="F103" t="str">
            <v>米</v>
          </cell>
          <cell r="G103">
            <v>106</v>
          </cell>
        </row>
        <row r="104">
          <cell r="A104" t="str">
            <v>A#099</v>
          </cell>
          <cell r="B104" t="str">
            <v>制作</v>
          </cell>
          <cell r="C104" t="str">
            <v>地台结构</v>
          </cell>
          <cell r="D104" t="str">
            <v>铁制地台 0.5m--1.5m</v>
          </cell>
          <cell r="E104" t="str">
            <v>国标3*5钢架结构+两层15厘夹板</v>
          </cell>
          <cell r="F104" t="str">
            <v>米</v>
          </cell>
          <cell r="G104">
            <v>149</v>
          </cell>
        </row>
        <row r="105">
          <cell r="A105" t="str">
            <v>A#100</v>
          </cell>
          <cell r="B105" t="str">
            <v>制作</v>
          </cell>
          <cell r="C105" t="str">
            <v>地台结构</v>
          </cell>
          <cell r="D105" t="str">
            <v>铁制地台 &lt;2.5m</v>
          </cell>
          <cell r="E105" t="str">
            <v>国标3*5钢架结构+国标4*4方管+两层15厘夹板</v>
          </cell>
          <cell r="F105" t="str">
            <v>米</v>
          </cell>
          <cell r="G105">
            <v>159</v>
          </cell>
        </row>
        <row r="106">
          <cell r="A106" t="str">
            <v>A#101</v>
          </cell>
          <cell r="B106" t="str">
            <v>制作</v>
          </cell>
          <cell r="C106" t="str">
            <v>地台结构</v>
          </cell>
          <cell r="D106" t="str">
            <v>铝收边条</v>
          </cell>
          <cell r="E106" t="str">
            <v>角铝25*25*1.0</v>
          </cell>
          <cell r="F106" t="str">
            <v>米</v>
          </cell>
          <cell r="G106">
            <v>31</v>
          </cell>
        </row>
        <row r="107">
          <cell r="A107" t="str">
            <v>A#102</v>
          </cell>
          <cell r="B107" t="str">
            <v>制作</v>
          </cell>
          <cell r="C107" t="str">
            <v>地台结构</v>
          </cell>
          <cell r="D107" t="str">
            <v>不锈钢收边条</v>
          </cell>
          <cell r="E107" t="str">
            <v>不锈钢25*25*1.0</v>
          </cell>
          <cell r="F107" t="str">
            <v>米</v>
          </cell>
          <cell r="G107">
            <v>31</v>
          </cell>
        </row>
        <row r="108">
          <cell r="A108" t="str">
            <v>A#103</v>
          </cell>
          <cell r="B108" t="str">
            <v>制作</v>
          </cell>
          <cell r="C108" t="str">
            <v>机械结构</v>
          </cell>
          <cell r="D108" t="str">
            <v>舞台电动推台（不含载重台）</v>
          </cell>
          <cell r="E108" t="str">
            <v>承重2吨以下，包含单一路线，数控程序及轨道及电机（在实现效果基础上，需要高性价比电机）。此条目不含承重台，屏幕承重台在A104或A105中进行报价。</v>
          </cell>
          <cell r="F108" t="str">
            <v>个</v>
          </cell>
        </row>
        <row r="109">
          <cell r="A109" t="str">
            <v>A#104</v>
          </cell>
          <cell r="B109" t="str">
            <v>制作</v>
          </cell>
          <cell r="C109" t="str">
            <v>机械结构</v>
          </cell>
          <cell r="D109" t="str">
            <v>小开合屏承重台</v>
          </cell>
          <cell r="E109" t="str">
            <v>钢木结构
 规格：承重1吨/米，屏幕搭建高度5m以下
 请按照载重量估算制作材料，折合成每延米进行报价</v>
          </cell>
          <cell r="F109" t="str">
            <v>延米</v>
          </cell>
        </row>
        <row r="110">
          <cell r="A110" t="str">
            <v>A#105</v>
          </cell>
          <cell r="B110" t="str">
            <v>制作</v>
          </cell>
          <cell r="C110" t="str">
            <v>机械结构</v>
          </cell>
          <cell r="D110" t="str">
            <v>大开合屏承重台</v>
          </cell>
          <cell r="E110" t="str">
            <v>钢木结构
 规格：承重1.5吨/米，屏幕搭建高度5m以下
 请按照载重量估算制作材料，折合成每延米进行报价</v>
          </cell>
          <cell r="F110" t="str">
            <v>延米</v>
          </cell>
        </row>
        <row r="111">
          <cell r="A111" t="str">
            <v>A#107</v>
          </cell>
          <cell r="B111" t="str">
            <v>制作</v>
          </cell>
          <cell r="C111" t="str">
            <v>机械结构</v>
          </cell>
          <cell r="D111" t="str">
            <v>钢缆升降机</v>
          </cell>
          <cell r="E111" t="str">
            <v>电控钢丝绳升降机，提升速度15m/min 以内</v>
          </cell>
          <cell r="F111" t="str">
            <v>台</v>
          </cell>
          <cell r="G111">
            <v>2120</v>
          </cell>
        </row>
        <row r="112">
          <cell r="A112" t="str">
            <v>A#108</v>
          </cell>
          <cell r="B112" t="str">
            <v>制作</v>
          </cell>
          <cell r="C112" t="str">
            <v>机械结构</v>
          </cell>
          <cell r="D112" t="str">
            <v>液压升降机</v>
          </cell>
          <cell r="E112" t="str">
            <v>承重2吨以内</v>
          </cell>
          <cell r="F112" t="str">
            <v>台</v>
          </cell>
          <cell r="G112">
            <v>3710</v>
          </cell>
        </row>
        <row r="113">
          <cell r="A113" t="str">
            <v>A#109</v>
          </cell>
          <cell r="B113" t="str">
            <v>制作</v>
          </cell>
          <cell r="C113" t="str">
            <v>台阶</v>
          </cell>
          <cell r="D113" t="str">
            <v>木结构，不含表面包裹材质</v>
          </cell>
          <cell r="E113" t="str">
            <v>常规台阶定制，非异形</v>
          </cell>
          <cell r="F113" t="str">
            <v>每阶每米</v>
          </cell>
          <cell r="G113">
            <v>137.80000000000001</v>
          </cell>
        </row>
        <row r="114">
          <cell r="A114" t="str">
            <v>A#110</v>
          </cell>
          <cell r="B114" t="str">
            <v>制作</v>
          </cell>
          <cell r="C114" t="str">
            <v>斜坡</v>
          </cell>
          <cell r="D114" t="str">
            <v>斜坡</v>
          </cell>
          <cell r="E114" t="str">
            <v>H15cm以内</v>
          </cell>
          <cell r="F114" t="str">
            <v>延米</v>
          </cell>
          <cell r="G114">
            <v>148.4</v>
          </cell>
        </row>
        <row r="115">
          <cell r="A115" t="str">
            <v>A#111</v>
          </cell>
          <cell r="B115" t="str">
            <v>制作</v>
          </cell>
          <cell r="C115" t="str">
            <v>过桥板</v>
          </cell>
          <cell r="D115" t="str">
            <v>过桥板</v>
          </cell>
          <cell r="E115" t="str">
            <v>橡胶过桥板，30-40cm宽</v>
          </cell>
          <cell r="F115" t="str">
            <v>延米</v>
          </cell>
          <cell r="G115">
            <v>31.8</v>
          </cell>
        </row>
        <row r="116">
          <cell r="A116" t="str">
            <v>A#112</v>
          </cell>
          <cell r="B116" t="str">
            <v>制作</v>
          </cell>
          <cell r="C116" t="str">
            <v>板材</v>
          </cell>
          <cell r="D116" t="str">
            <v>密度板5-8mm厚</v>
          </cell>
          <cell r="E116" t="str">
            <v>密度板单面裱写真画面</v>
          </cell>
          <cell r="F116" t="str">
            <v>平米</v>
          </cell>
          <cell r="G116">
            <v>90.1</v>
          </cell>
        </row>
        <row r="117">
          <cell r="A117" t="str">
            <v>A#113</v>
          </cell>
          <cell r="B117" t="str">
            <v>制作</v>
          </cell>
          <cell r="C117" t="str">
            <v>板材</v>
          </cell>
          <cell r="D117" t="str">
            <v>密度板10-15mm厚</v>
          </cell>
          <cell r="E117" t="str">
            <v>密度板单面裱写真画面</v>
          </cell>
          <cell r="F117" t="str">
            <v>平米</v>
          </cell>
          <cell r="G117">
            <v>106</v>
          </cell>
        </row>
        <row r="118">
          <cell r="A118" t="str">
            <v>A#114</v>
          </cell>
          <cell r="B118" t="str">
            <v>制作</v>
          </cell>
          <cell r="C118" t="str">
            <v>板材</v>
          </cell>
          <cell r="D118" t="str">
            <v>密度板20mm厚</v>
          </cell>
          <cell r="E118" t="str">
            <v>密度板单面裱写真画面</v>
          </cell>
          <cell r="F118" t="str">
            <v>平米</v>
          </cell>
          <cell r="G118">
            <v>190.8</v>
          </cell>
        </row>
        <row r="119">
          <cell r="A119" t="str">
            <v>A#115</v>
          </cell>
          <cell r="B119" t="str">
            <v>制作</v>
          </cell>
          <cell r="C119" t="str">
            <v>板材</v>
          </cell>
          <cell r="D119" t="str">
            <v>KT板</v>
          </cell>
          <cell r="E119" t="str">
            <v>KT板单面裱写真画面</v>
          </cell>
          <cell r="F119" t="str">
            <v>平米</v>
          </cell>
          <cell r="G119">
            <v>50.88</v>
          </cell>
        </row>
        <row r="120">
          <cell r="A120" t="str">
            <v>A#116</v>
          </cell>
          <cell r="B120" t="str">
            <v>制作</v>
          </cell>
          <cell r="C120" t="str">
            <v>板材</v>
          </cell>
          <cell r="D120" t="str">
            <v>KT板</v>
          </cell>
          <cell r="E120" t="str">
            <v>KT板双面裱写真画面</v>
          </cell>
          <cell r="F120" t="str">
            <v>平米</v>
          </cell>
          <cell r="G120">
            <v>50.88</v>
          </cell>
        </row>
        <row r="121">
          <cell r="A121" t="str">
            <v>A#117</v>
          </cell>
          <cell r="B121" t="str">
            <v>制作</v>
          </cell>
          <cell r="C121" t="str">
            <v>板材</v>
          </cell>
          <cell r="D121" t="str">
            <v>亚克力UV喷绘画面</v>
          </cell>
          <cell r="E121" t="str">
            <v>异型模切</v>
          </cell>
          <cell r="F121" t="str">
            <v>平米</v>
          </cell>
          <cell r="G121">
            <v>90.1</v>
          </cell>
        </row>
        <row r="122">
          <cell r="A122" t="str">
            <v>A#118</v>
          </cell>
          <cell r="B122" t="str">
            <v>制作</v>
          </cell>
          <cell r="C122" t="str">
            <v>板材</v>
          </cell>
          <cell r="D122" t="str">
            <v>雪佛板5-8mm厚</v>
          </cell>
          <cell r="E122" t="str">
            <v>密度板单面裱写真画面</v>
          </cell>
          <cell r="F122" t="str">
            <v>平米</v>
          </cell>
          <cell r="G122">
            <v>95.4</v>
          </cell>
        </row>
        <row r="123">
          <cell r="A123" t="str">
            <v>A#119</v>
          </cell>
          <cell r="B123" t="str">
            <v>制作</v>
          </cell>
          <cell r="C123" t="str">
            <v>板材</v>
          </cell>
          <cell r="D123" t="str">
            <v>雪佛板10-15mm厚</v>
          </cell>
          <cell r="E123" t="str">
            <v>密度板单面裱写真画面</v>
          </cell>
          <cell r="F123" t="str">
            <v>平米</v>
          </cell>
          <cell r="G123">
            <v>127.2</v>
          </cell>
        </row>
        <row r="124">
          <cell r="A124" t="str">
            <v>A#120</v>
          </cell>
          <cell r="B124" t="str">
            <v>制作</v>
          </cell>
          <cell r="C124" t="str">
            <v>板材</v>
          </cell>
          <cell r="D124" t="str">
            <v>雪佛板20mm</v>
          </cell>
          <cell r="E124" t="str">
            <v>密度板单面裱写真画面</v>
          </cell>
          <cell r="F124" t="str">
            <v>平米</v>
          </cell>
          <cell r="G124">
            <v>222.6</v>
          </cell>
        </row>
        <row r="125">
          <cell r="A125" t="str">
            <v>A#121</v>
          </cell>
          <cell r="B125" t="str">
            <v>制作</v>
          </cell>
          <cell r="C125" t="str">
            <v>刻字</v>
          </cell>
          <cell r="D125" t="str">
            <v>即时贴字</v>
          </cell>
          <cell r="E125" t="str">
            <v>品牌：威诗柏/333 同级或以上</v>
          </cell>
          <cell r="F125" t="str">
            <v>平米</v>
          </cell>
          <cell r="G125">
            <v>68.900000000000006</v>
          </cell>
        </row>
        <row r="126">
          <cell r="A126" t="str">
            <v>A#122</v>
          </cell>
          <cell r="B126" t="str">
            <v>制作</v>
          </cell>
          <cell r="C126" t="str">
            <v>立体雕刻字</v>
          </cell>
          <cell r="D126" t="str">
            <v>雪弗板字</v>
          </cell>
          <cell r="E126" t="str">
            <v>10mm</v>
          </cell>
          <cell r="F126" t="str">
            <v>延米</v>
          </cell>
          <cell r="G126">
            <v>90.1</v>
          </cell>
        </row>
        <row r="127">
          <cell r="A127" t="str">
            <v>A#123</v>
          </cell>
          <cell r="B127" t="str">
            <v>制作</v>
          </cell>
          <cell r="C127" t="str">
            <v>立体雕刻字</v>
          </cell>
          <cell r="D127" t="str">
            <v>雪弗板字</v>
          </cell>
          <cell r="E127" t="str">
            <v>15mm</v>
          </cell>
          <cell r="F127" t="str">
            <v>延米</v>
          </cell>
          <cell r="G127">
            <v>116.6</v>
          </cell>
        </row>
        <row r="128">
          <cell r="A128" t="str">
            <v>A#124</v>
          </cell>
          <cell r="B128" t="str">
            <v>制作</v>
          </cell>
          <cell r="C128" t="str">
            <v>立体雕刻字</v>
          </cell>
          <cell r="D128" t="str">
            <v>雪弗板字</v>
          </cell>
          <cell r="E128" t="str">
            <v>20mm</v>
          </cell>
          <cell r="F128" t="str">
            <v>延米</v>
          </cell>
          <cell r="G128">
            <v>196.1</v>
          </cell>
        </row>
        <row r="129">
          <cell r="A129" t="str">
            <v>A#125</v>
          </cell>
          <cell r="B129" t="str">
            <v>制作</v>
          </cell>
          <cell r="C129" t="str">
            <v>立体雕刻字</v>
          </cell>
          <cell r="D129" t="str">
            <v>有机玻璃/亚克力</v>
          </cell>
          <cell r="E129" t="str">
            <v>10mm</v>
          </cell>
          <cell r="F129" t="str">
            <v>延米</v>
          </cell>
          <cell r="G129">
            <v>116.6</v>
          </cell>
        </row>
        <row r="130">
          <cell r="A130" t="str">
            <v>A#126</v>
          </cell>
          <cell r="B130" t="str">
            <v>制作</v>
          </cell>
          <cell r="C130" t="str">
            <v>立体雕刻字</v>
          </cell>
          <cell r="D130" t="str">
            <v>泡沫字</v>
          </cell>
          <cell r="E130" t="str">
            <v>50mm</v>
          </cell>
          <cell r="F130" t="str">
            <v>延米</v>
          </cell>
          <cell r="G130">
            <v>58.3</v>
          </cell>
        </row>
        <row r="131">
          <cell r="A131" t="str">
            <v>A#127</v>
          </cell>
          <cell r="B131" t="str">
            <v>制作</v>
          </cell>
          <cell r="C131" t="str">
            <v>立体雕刻字</v>
          </cell>
          <cell r="D131" t="str">
            <v>泡沫字</v>
          </cell>
          <cell r="E131" t="str">
            <v>100mm</v>
          </cell>
          <cell r="F131" t="str">
            <v>延米</v>
          </cell>
          <cell r="G131">
            <v>79.5</v>
          </cell>
        </row>
        <row r="132">
          <cell r="A132" t="str">
            <v>A#128</v>
          </cell>
          <cell r="B132" t="str">
            <v>制作</v>
          </cell>
          <cell r="C132" t="str">
            <v>立体雕刻字</v>
          </cell>
          <cell r="D132" t="str">
            <v>不锈钢字</v>
          </cell>
          <cell r="E132" t="str">
            <v>-</v>
          </cell>
          <cell r="F132" t="str">
            <v>延米</v>
          </cell>
          <cell r="G132">
            <v>190.8</v>
          </cell>
        </row>
        <row r="133">
          <cell r="A133" t="str">
            <v>A#129</v>
          </cell>
          <cell r="B133" t="str">
            <v>制作</v>
          </cell>
          <cell r="C133" t="str">
            <v>立体雕刻字</v>
          </cell>
          <cell r="D133" t="str">
            <v>10mm亚克力阴刻</v>
          </cell>
          <cell r="E133" t="str">
            <v>-</v>
          </cell>
          <cell r="F133" t="str">
            <v>延米</v>
          </cell>
          <cell r="G133">
            <v>275.60000000000002</v>
          </cell>
        </row>
        <row r="134">
          <cell r="A134" t="str">
            <v>A#130</v>
          </cell>
          <cell r="B134" t="str">
            <v>制作</v>
          </cell>
          <cell r="C134" t="str">
            <v>立体雕刻字</v>
          </cell>
          <cell r="D134" t="str">
            <v>KT板字</v>
          </cell>
          <cell r="E134" t="str">
            <v>3mm</v>
          </cell>
          <cell r="F134" t="str">
            <v>延米</v>
          </cell>
          <cell r="G134">
            <v>95.4</v>
          </cell>
        </row>
        <row r="135">
          <cell r="A135" t="str">
            <v>A#131</v>
          </cell>
          <cell r="B135" t="str">
            <v>制作</v>
          </cell>
          <cell r="C135" t="str">
            <v>立体雕刻字</v>
          </cell>
          <cell r="D135" t="str">
            <v>密度板字</v>
          </cell>
          <cell r="E135" t="str">
            <v>-</v>
          </cell>
          <cell r="F135" t="str">
            <v>平米</v>
          </cell>
          <cell r="G135">
            <v>266.67</v>
          </cell>
        </row>
        <row r="136">
          <cell r="A136" t="str">
            <v>A#132</v>
          </cell>
          <cell r="B136" t="str">
            <v>制作</v>
          </cell>
          <cell r="C136" t="str">
            <v>立体雕刻字</v>
          </cell>
          <cell r="D136" t="str">
            <v>喷漆立体字</v>
          </cell>
          <cell r="E136" t="str">
            <v>-</v>
          </cell>
          <cell r="F136" t="str">
            <v>延米</v>
          </cell>
          <cell r="G136">
            <v>979.44</v>
          </cell>
        </row>
        <row r="137">
          <cell r="A137" t="str">
            <v>A#133</v>
          </cell>
          <cell r="B137" t="str">
            <v>制作</v>
          </cell>
          <cell r="C137" t="str">
            <v>立体雕刻字</v>
          </cell>
          <cell r="D137" t="str">
            <v>喷漆立体字+底座</v>
          </cell>
          <cell r="E137" t="str">
            <v>-</v>
          </cell>
          <cell r="F137" t="str">
            <v>延米</v>
          </cell>
          <cell r="G137">
            <v>816.2</v>
          </cell>
        </row>
        <row r="138">
          <cell r="A138" t="str">
            <v>A#134</v>
          </cell>
          <cell r="B138" t="str">
            <v>制作</v>
          </cell>
          <cell r="C138" t="str">
            <v>立体雕刻字</v>
          </cell>
          <cell r="D138" t="str">
            <v>乳胶漆立体字</v>
          </cell>
          <cell r="E138" t="str">
            <v>-</v>
          </cell>
          <cell r="F138" t="str">
            <v>延米</v>
          </cell>
          <cell r="G138">
            <v>652.96</v>
          </cell>
        </row>
        <row r="139">
          <cell r="A139" t="str">
            <v>A#135</v>
          </cell>
          <cell r="B139" t="str">
            <v>制作</v>
          </cell>
          <cell r="C139" t="str">
            <v>立体雕刻字</v>
          </cell>
          <cell r="D139" t="str">
            <v>乳胶漆立体字+底座</v>
          </cell>
          <cell r="E139" t="str">
            <v>-</v>
          </cell>
          <cell r="F139" t="str">
            <v>延米</v>
          </cell>
          <cell r="G139">
            <v>816.2</v>
          </cell>
        </row>
        <row r="140">
          <cell r="A140" t="str">
            <v>A#136</v>
          </cell>
          <cell r="B140" t="str">
            <v>制作</v>
          </cell>
          <cell r="C140" t="str">
            <v>立体雕刻字</v>
          </cell>
          <cell r="D140" t="str">
            <v>亚克力金属拉丝包边(含LED灯珠)</v>
          </cell>
          <cell r="E140" t="str">
            <v>-</v>
          </cell>
          <cell r="F140" t="str">
            <v>延米</v>
          </cell>
          <cell r="G140">
            <v>848</v>
          </cell>
        </row>
        <row r="141">
          <cell r="A141" t="str">
            <v>A#137</v>
          </cell>
          <cell r="B141" t="str">
            <v>制作</v>
          </cell>
          <cell r="C141" t="str">
            <v>立体雕刻字</v>
          </cell>
          <cell r="D141" t="str">
            <v>木结构喷漆字</v>
          </cell>
          <cell r="E141" t="str">
            <v>-</v>
          </cell>
          <cell r="F141" t="str">
            <v>平米</v>
          </cell>
          <cell r="G141">
            <v>636</v>
          </cell>
        </row>
        <row r="142">
          <cell r="A142" t="str">
            <v>A#138</v>
          </cell>
          <cell r="B142" t="str">
            <v>制作</v>
          </cell>
          <cell r="C142" t="str">
            <v>立体雕刻字</v>
          </cell>
          <cell r="D142" t="str">
            <v>木烤漆字</v>
          </cell>
          <cell r="E142" t="str">
            <v>-</v>
          </cell>
          <cell r="F142" t="str">
            <v>平米</v>
          </cell>
          <cell r="G142">
            <v>848</v>
          </cell>
        </row>
        <row r="143">
          <cell r="A143" t="str">
            <v>A#139</v>
          </cell>
          <cell r="B143" t="str">
            <v>制作</v>
          </cell>
          <cell r="C143" t="str">
            <v>玻璃钢制作</v>
          </cell>
          <cell r="D143" t="str">
            <v>玻璃钢雕塑，含开模费用</v>
          </cell>
          <cell r="E143" t="str">
            <v>树脂、玻璃纤维混合材质，塑型打磨，户外车漆上色/烤漆工艺
 仅为常规造型报价，复杂放到物资采买实报实销</v>
          </cell>
          <cell r="F143" t="str">
            <v>平米（立方体展开为平米进行计算）</v>
          </cell>
        </row>
        <row r="144">
          <cell r="A144" t="str">
            <v>A#140</v>
          </cell>
          <cell r="B144" t="str">
            <v>制作</v>
          </cell>
          <cell r="C144" t="str">
            <v>泡沫雕刻制作</v>
          </cell>
          <cell r="D144" t="str">
            <v>泡沫+PU雕塑，含开模费用</v>
          </cell>
          <cell r="E144" t="str">
            <v>14公斤 EPS泡沫板，雕刻打磨，附户外防护层，户外车漆上色
 仅为常规造型报价，复杂放到物资采买实报实销</v>
          </cell>
          <cell r="F144" t="str">
            <v>平米（立方体展开为平米进行计算）</v>
          </cell>
        </row>
        <row r="145">
          <cell r="A145" t="str">
            <v>A#141</v>
          </cell>
          <cell r="B145" t="str">
            <v>制作</v>
          </cell>
          <cell r="C145" t="str">
            <v>气模</v>
          </cell>
          <cell r="D145" t="str">
            <v>落地气模</v>
          </cell>
          <cell r="E145" t="str">
            <v>材质：尼龙斜纹弹丝布，每米300克，厚度32丝，画面UV喷绘。 附件：鼓风机持续充气。</v>
          </cell>
          <cell r="F145" t="str">
            <v>平米（展开的尺寸）</v>
          </cell>
        </row>
        <row r="146">
          <cell r="A146" t="str">
            <v>A#142</v>
          </cell>
          <cell r="B146" t="str">
            <v>制作</v>
          </cell>
          <cell r="C146" t="str">
            <v>气模</v>
          </cell>
          <cell r="D146" t="str">
            <v>空飘气模</v>
          </cell>
          <cell r="E146" t="str">
            <v>材质：0.18mmPVC软模； 画面UV喷绘。 内充气体：氦气。</v>
          </cell>
          <cell r="F146" t="str">
            <v>平米（展开的尺寸）</v>
          </cell>
        </row>
        <row r="147">
          <cell r="A147" t="str">
            <v>A#143</v>
          </cell>
          <cell r="B147" t="str">
            <v>制作</v>
          </cell>
          <cell r="C147" t="str">
            <v>发光字</v>
          </cell>
          <cell r="D147" t="str">
            <v>树脂发光字</v>
          </cell>
          <cell r="E147" t="str">
            <v>80mm</v>
          </cell>
          <cell r="F147" t="str">
            <v>延米</v>
          </cell>
          <cell r="G147">
            <v>636</v>
          </cell>
        </row>
        <row r="148">
          <cell r="A148" t="str">
            <v>A#144</v>
          </cell>
          <cell r="B148" t="str">
            <v>制作</v>
          </cell>
          <cell r="C148" t="str">
            <v>灯带</v>
          </cell>
          <cell r="D148" t="str">
            <v>LED单色灯带</v>
          </cell>
          <cell r="E148" t="str">
            <v>品牌greethink，灯带型号5050，灯珠颗数60珠/米</v>
          </cell>
          <cell r="F148" t="str">
            <v>米</v>
          </cell>
          <cell r="G148">
            <v>37</v>
          </cell>
        </row>
        <row r="149">
          <cell r="A149" t="str">
            <v>A#145</v>
          </cell>
          <cell r="B149" t="str">
            <v>制作</v>
          </cell>
          <cell r="C149" t="str">
            <v>灯带</v>
          </cell>
          <cell r="D149" t="str">
            <v>匀光柔性霓虹灯条</v>
          </cell>
          <cell r="E149" t="str">
            <v>柔性、抗碎、防水专业线性霓虹灯光装饰</v>
          </cell>
          <cell r="F149" t="str">
            <v>米</v>
          </cell>
          <cell r="G149">
            <v>53</v>
          </cell>
        </row>
        <row r="150">
          <cell r="A150" t="str">
            <v>A#146</v>
          </cell>
          <cell r="B150" t="str">
            <v>制作</v>
          </cell>
          <cell r="C150" t="str">
            <v>灯带</v>
          </cell>
          <cell r="D150" t="str">
            <v>RGB 灯带</v>
          </cell>
          <cell r="E150" t="str">
            <v>含电线，变压器</v>
          </cell>
          <cell r="F150" t="str">
            <v>米</v>
          </cell>
          <cell r="G150">
            <v>47</v>
          </cell>
        </row>
        <row r="151">
          <cell r="A151" t="str">
            <v>A#147</v>
          </cell>
          <cell r="B151" t="str">
            <v>制作</v>
          </cell>
          <cell r="C151" t="str">
            <v>变压器</v>
          </cell>
          <cell r="D151" t="str">
            <v>低压变压器</v>
          </cell>
          <cell r="E151" t="str">
            <v>5-24V变压器</v>
          </cell>
          <cell r="F151" t="str">
            <v>个</v>
          </cell>
          <cell r="G151">
            <v>93.28</v>
          </cell>
        </row>
        <row r="152">
          <cell r="A152" t="str">
            <v>A#148</v>
          </cell>
          <cell r="B152" t="str">
            <v>制作</v>
          </cell>
          <cell r="C152" t="str">
            <v>变压器</v>
          </cell>
          <cell r="D152" t="str">
            <v>低压变压器</v>
          </cell>
          <cell r="E152" t="str">
            <v>防水</v>
          </cell>
          <cell r="F152" t="str">
            <v>个</v>
          </cell>
          <cell r="G152">
            <v>116.6</v>
          </cell>
        </row>
        <row r="153">
          <cell r="A153" t="str">
            <v>A#149</v>
          </cell>
          <cell r="B153" t="str">
            <v>制作</v>
          </cell>
          <cell r="C153" t="str">
            <v>灯箱</v>
          </cell>
          <cell r="D153" t="str">
            <v>内嵌灯箱</v>
          </cell>
          <cell r="E153" t="str">
            <v>木结构开凹槽， 藏led550贴片，外表与墙体齐平，深度大于150mm</v>
          </cell>
          <cell r="F153" t="str">
            <v>平米</v>
          </cell>
          <cell r="G153">
            <v>424</v>
          </cell>
        </row>
        <row r="154">
          <cell r="A154" t="str">
            <v>A#150</v>
          </cell>
          <cell r="B154" t="str">
            <v>制作</v>
          </cell>
          <cell r="C154" t="str">
            <v>灯箱</v>
          </cell>
          <cell r="D154" t="str">
            <v>半嵌灯箱</v>
          </cell>
          <cell r="E154" t="str">
            <v>木结构开凹槽，藏led550贴片，外表突出墙体，深度大于150mm</v>
          </cell>
          <cell r="F154" t="str">
            <v>平米</v>
          </cell>
          <cell r="G154">
            <v>530</v>
          </cell>
        </row>
        <row r="155">
          <cell r="A155" t="str">
            <v>A#151</v>
          </cell>
          <cell r="B155" t="str">
            <v>制作</v>
          </cell>
          <cell r="C155" t="str">
            <v>灯箱</v>
          </cell>
          <cell r="D155" t="str">
            <v>外挂灯箱</v>
          </cell>
          <cell r="E155" t="str">
            <v>藏led550贴片，外表突出墙体，深度大于150mm</v>
          </cell>
          <cell r="F155" t="str">
            <v>平米</v>
          </cell>
          <cell r="G155">
            <v>318</v>
          </cell>
        </row>
        <row r="156">
          <cell r="A156" t="str">
            <v>A#152</v>
          </cell>
          <cell r="B156" t="str">
            <v>制作</v>
          </cell>
          <cell r="C156" t="str">
            <v>灯箱</v>
          </cell>
          <cell r="D156" t="str">
            <v>超薄灯箱</v>
          </cell>
          <cell r="E156" t="str">
            <v>深度小于150mm</v>
          </cell>
          <cell r="F156" t="str">
            <v>平米</v>
          </cell>
          <cell r="G156">
            <v>445</v>
          </cell>
        </row>
        <row r="157">
          <cell r="A157" t="str">
            <v>A#153</v>
          </cell>
          <cell r="B157" t="str">
            <v>制作</v>
          </cell>
          <cell r="C157" t="str">
            <v>灯箱字</v>
          </cell>
          <cell r="D157" t="str">
            <v>亚克力围边立体字</v>
          </cell>
          <cell r="E157" t="str">
            <v>含led550贴片，含损耗，高度60cm以内,字体高度50CM以内</v>
          </cell>
          <cell r="F157" t="str">
            <v>延米</v>
          </cell>
          <cell r="G157">
            <v>551</v>
          </cell>
        </row>
        <row r="158">
          <cell r="A158" t="str">
            <v>A#154</v>
          </cell>
          <cell r="B158" t="str">
            <v>制作</v>
          </cell>
          <cell r="C158" t="str">
            <v>灯箱字</v>
          </cell>
          <cell r="D158" t="str">
            <v>亚克力吸塑立体字</v>
          </cell>
          <cell r="E158" t="str">
            <v>含led550贴片，含损耗，高度60cm以内</v>
          </cell>
          <cell r="F158" t="str">
            <v>延米</v>
          </cell>
          <cell r="G158">
            <v>636</v>
          </cell>
        </row>
        <row r="159">
          <cell r="A159" t="str">
            <v>A#155</v>
          </cell>
          <cell r="B159" t="str">
            <v>制作</v>
          </cell>
          <cell r="C159" t="str">
            <v>灯箱字</v>
          </cell>
          <cell r="D159" t="str">
            <v>不锈钢围边灯箱字</v>
          </cell>
          <cell r="E159" t="str">
            <v>含led550贴片，含损耗，高度60cm以内</v>
          </cell>
          <cell r="F159" t="str">
            <v>延米</v>
          </cell>
          <cell r="G159">
            <v>848</v>
          </cell>
        </row>
        <row r="160">
          <cell r="A160" t="str">
            <v>A#156</v>
          </cell>
          <cell r="B160" t="str">
            <v>制作</v>
          </cell>
          <cell r="C160" t="str">
            <v>指引</v>
          </cell>
          <cell r="D160" t="str">
            <v>油画架</v>
          </cell>
          <cell r="E160" t="str">
            <v>木质，不含画面</v>
          </cell>
          <cell r="F160" t="str">
            <v>个</v>
          </cell>
          <cell r="G160">
            <v>106</v>
          </cell>
        </row>
        <row r="161">
          <cell r="A161" t="str">
            <v>A#157</v>
          </cell>
          <cell r="B161" t="str">
            <v>制作</v>
          </cell>
          <cell r="C161" t="str">
            <v>指引</v>
          </cell>
          <cell r="D161" t="str">
            <v>木质T型</v>
          </cell>
          <cell r="E161" t="str">
            <v>0.8m X 2m，含双面写真、钢板配重</v>
          </cell>
          <cell r="F161" t="str">
            <v>个</v>
          </cell>
          <cell r="G161">
            <v>742</v>
          </cell>
        </row>
        <row r="162">
          <cell r="A162" t="str">
            <v>A#158</v>
          </cell>
          <cell r="B162" t="str">
            <v>制作</v>
          </cell>
          <cell r="C162" t="str">
            <v>指引</v>
          </cell>
          <cell r="D162" t="str">
            <v>铝型材指示板</v>
          </cell>
          <cell r="E162" t="str">
            <v>0.8m X 2m，含双面写真、钢板配重</v>
          </cell>
          <cell r="F162" t="str">
            <v>个</v>
          </cell>
          <cell r="G162">
            <v>254.4</v>
          </cell>
        </row>
        <row r="163">
          <cell r="A163" t="str">
            <v>A#159</v>
          </cell>
          <cell r="B163" t="str">
            <v>制作</v>
          </cell>
          <cell r="C163" t="str">
            <v>指引</v>
          </cell>
          <cell r="D163" t="str">
            <v>注水道旗</v>
          </cell>
          <cell r="E163" t="str">
            <v>高度3米，加强铝合金旗杆，5级以上抗风性，双面画面旗帜布120cmx380cm（含30升以上升注水量配重支撑）</v>
          </cell>
          <cell r="F163" t="str">
            <v>个</v>
          </cell>
          <cell r="G163">
            <v>237.44</v>
          </cell>
        </row>
        <row r="164">
          <cell r="A164" t="str">
            <v>A#160</v>
          </cell>
          <cell r="B164" t="str">
            <v>制作</v>
          </cell>
          <cell r="C164" t="str">
            <v>指引</v>
          </cell>
          <cell r="D164" t="str">
            <v>注水道旗</v>
          </cell>
          <cell r="E164" t="str">
            <v>高度5米，加强铝合金旗杆，5级以上抗风性，双面画面旗帜布120cmx380cm（含30升以上升注水量配重支撑）</v>
          </cell>
          <cell r="F164" t="str">
            <v>个</v>
          </cell>
          <cell r="G164">
            <v>424</v>
          </cell>
        </row>
        <row r="165">
          <cell r="A165" t="str">
            <v>A#161</v>
          </cell>
          <cell r="B165" t="str">
            <v>制作</v>
          </cell>
          <cell r="C165" t="str">
            <v>指引</v>
          </cell>
          <cell r="D165" t="str">
            <v>X展架</v>
          </cell>
          <cell r="E165" t="str">
            <v>铝合金材质，60*160cm，含写真画面</v>
          </cell>
          <cell r="F165" t="str">
            <v>套</v>
          </cell>
          <cell r="G165">
            <v>93.33</v>
          </cell>
        </row>
        <row r="166">
          <cell r="A166" t="str">
            <v>A#162</v>
          </cell>
          <cell r="B166" t="str">
            <v>制作</v>
          </cell>
          <cell r="C166" t="str">
            <v>指引</v>
          </cell>
          <cell r="D166" t="str">
            <v>X展架</v>
          </cell>
          <cell r="E166" t="str">
            <v>铝合金材质，80*180cm，含写真画面</v>
          </cell>
          <cell r="F166" t="str">
            <v>套</v>
          </cell>
          <cell r="G166">
            <v>127.2</v>
          </cell>
        </row>
        <row r="167">
          <cell r="A167" t="str">
            <v>A#163</v>
          </cell>
          <cell r="B167" t="str">
            <v>制作</v>
          </cell>
          <cell r="C167" t="str">
            <v>指引</v>
          </cell>
          <cell r="D167" t="str">
            <v>易拉宝</v>
          </cell>
          <cell r="E167" t="str">
            <v>铝合金材质，80*200cm，含写真画面</v>
          </cell>
          <cell r="F167" t="str">
            <v>套</v>
          </cell>
          <cell r="G167">
            <v>127.2</v>
          </cell>
        </row>
        <row r="168">
          <cell r="A168" t="str">
            <v>A#164</v>
          </cell>
          <cell r="B168" t="str">
            <v>制作</v>
          </cell>
          <cell r="C168" t="str">
            <v>指引</v>
          </cell>
          <cell r="D168" t="str">
            <v>易拉宝</v>
          </cell>
          <cell r="E168" t="str">
            <v>铝合金材质，120*200cm，含写真画面</v>
          </cell>
          <cell r="F168" t="str">
            <v>套</v>
          </cell>
          <cell r="G168">
            <v>201.4</v>
          </cell>
        </row>
        <row r="169">
          <cell r="A169" t="str">
            <v>A#165</v>
          </cell>
          <cell r="B169" t="str">
            <v>制作</v>
          </cell>
          <cell r="C169" t="str">
            <v>指引</v>
          </cell>
          <cell r="D169" t="str">
            <v>立式KT板挂画架</v>
          </cell>
          <cell r="E169" t="str">
            <v>金属H型伸缩立杆，,不含画面</v>
          </cell>
          <cell r="F169" t="str">
            <v>个</v>
          </cell>
          <cell r="G169">
            <v>126.67</v>
          </cell>
        </row>
        <row r="170">
          <cell r="A170" t="str">
            <v>A#166</v>
          </cell>
          <cell r="B170" t="str">
            <v>制作</v>
          </cell>
          <cell r="C170" t="str">
            <v>指引</v>
          </cell>
          <cell r="D170" t="str">
            <v>金属H架</v>
          </cell>
          <cell r="E170" t="str">
            <v>铁质，A2大小，含画面</v>
          </cell>
          <cell r="F170" t="str">
            <v>个</v>
          </cell>
          <cell r="G170">
            <v>53</v>
          </cell>
        </row>
        <row r="171">
          <cell r="A171" t="str">
            <v>A#167</v>
          </cell>
          <cell r="B171" t="str">
            <v>制作</v>
          </cell>
          <cell r="C171" t="str">
            <v>指引</v>
          </cell>
          <cell r="D171" t="str">
            <v>金属H架</v>
          </cell>
          <cell r="E171" t="str">
            <v>铁质，A3大小，含画面</v>
          </cell>
          <cell r="F171" t="str">
            <v>个</v>
          </cell>
          <cell r="G171">
            <v>42.4</v>
          </cell>
        </row>
        <row r="172">
          <cell r="A172" t="str">
            <v>A#168</v>
          </cell>
          <cell r="B172" t="str">
            <v>制作</v>
          </cell>
          <cell r="C172" t="str">
            <v>指引</v>
          </cell>
          <cell r="D172" t="str">
            <v>金属H架</v>
          </cell>
          <cell r="E172" t="str">
            <v>铁质，A4大小，含画面</v>
          </cell>
          <cell r="F172" t="str">
            <v>个</v>
          </cell>
          <cell r="G172">
            <v>31.8</v>
          </cell>
        </row>
        <row r="173">
          <cell r="A173" t="str">
            <v>A#169</v>
          </cell>
          <cell r="B173" t="str">
            <v>制作</v>
          </cell>
          <cell r="C173" t="str">
            <v>抽奖箱</v>
          </cell>
          <cell r="D173" t="str">
            <v>亚克力材料</v>
          </cell>
          <cell r="E173" t="str">
            <v>50*50*50cm，含画面</v>
          </cell>
          <cell r="F173" t="str">
            <v>只</v>
          </cell>
          <cell r="G173">
            <v>171.72</v>
          </cell>
        </row>
        <row r="174">
          <cell r="A174" t="str">
            <v>A#170</v>
          </cell>
          <cell r="B174" t="str">
            <v>制作</v>
          </cell>
          <cell r="C174" t="str">
            <v>抽奖箱</v>
          </cell>
          <cell r="D174" t="str">
            <v>kt板材料</v>
          </cell>
          <cell r="E174" t="str">
            <v>50*50*50cm，含画面</v>
          </cell>
          <cell r="F174" t="str">
            <v>只</v>
          </cell>
          <cell r="G174">
            <v>116.60000000000001</v>
          </cell>
        </row>
        <row r="175">
          <cell r="A175" t="str">
            <v>A#171</v>
          </cell>
          <cell r="B175" t="str">
            <v>制作</v>
          </cell>
          <cell r="C175" t="str">
            <v>布艺</v>
          </cell>
          <cell r="D175" t="str">
            <v>黑、白丝绒布</v>
          </cell>
          <cell r="E175" t="str">
            <v>-</v>
          </cell>
          <cell r="F175" t="str">
            <v>平米</v>
          </cell>
          <cell r="G175">
            <v>45</v>
          </cell>
        </row>
        <row r="176">
          <cell r="A176" t="str">
            <v>A#172</v>
          </cell>
          <cell r="B176" t="str">
            <v>制作</v>
          </cell>
          <cell r="C176" t="str">
            <v>布艺</v>
          </cell>
          <cell r="D176" t="str">
            <v>遮光布</v>
          </cell>
          <cell r="E176" t="str">
            <v>单层</v>
          </cell>
          <cell r="F176" t="str">
            <v>平米</v>
          </cell>
          <cell r="G176">
            <v>21.200000000000003</v>
          </cell>
        </row>
        <row r="177">
          <cell r="A177" t="str">
            <v>A#173</v>
          </cell>
          <cell r="B177" t="str">
            <v>制作</v>
          </cell>
          <cell r="C177" t="str">
            <v>布艺</v>
          </cell>
          <cell r="D177" t="str">
            <v>星空幕 （含星空灯）</v>
          </cell>
          <cell r="E177" t="str">
            <v>-</v>
          </cell>
          <cell r="F177" t="str">
            <v>平米</v>
          </cell>
          <cell r="G177">
            <v>74.2</v>
          </cell>
        </row>
        <row r="178">
          <cell r="A178" t="str">
            <v>A#174</v>
          </cell>
          <cell r="B178" t="str">
            <v>制作</v>
          </cell>
          <cell r="C178" t="str">
            <v>布艺</v>
          </cell>
          <cell r="D178" t="str">
            <v>单片铁架结构绷网格布</v>
          </cell>
          <cell r="E178" t="str">
            <v>50方管</v>
          </cell>
          <cell r="F178" t="str">
            <v>平米</v>
          </cell>
          <cell r="G178">
            <v>127.2</v>
          </cell>
        </row>
        <row r="179">
          <cell r="A179" t="str">
            <v>A#175</v>
          </cell>
          <cell r="B179" t="str">
            <v>制作</v>
          </cell>
          <cell r="C179" t="str">
            <v>布艺</v>
          </cell>
          <cell r="D179" t="str">
            <v>单片铁架绷喷绘布</v>
          </cell>
          <cell r="E179" t="str">
            <v>50方管</v>
          </cell>
          <cell r="F179" t="str">
            <v>平米</v>
          </cell>
          <cell r="G179">
            <v>127.2</v>
          </cell>
        </row>
        <row r="180">
          <cell r="A180" t="str">
            <v>A#176</v>
          </cell>
          <cell r="B180" t="str">
            <v>制作</v>
          </cell>
          <cell r="C180" t="str">
            <v>布艺</v>
          </cell>
          <cell r="D180" t="str">
            <v>单片铁架綳软膜</v>
          </cell>
          <cell r="E180" t="str">
            <v>-</v>
          </cell>
          <cell r="F180" t="str">
            <v>平米</v>
          </cell>
          <cell r="G180">
            <v>148.4</v>
          </cell>
        </row>
        <row r="181">
          <cell r="A181" t="str">
            <v>A#177</v>
          </cell>
          <cell r="B181" t="str">
            <v>制作</v>
          </cell>
          <cell r="C181" t="str">
            <v>布艺</v>
          </cell>
          <cell r="D181" t="str">
            <v>AV架弹力布0.4m*0.4m</v>
          </cell>
          <cell r="E181" t="str">
            <v>內遮光布+弾力布</v>
          </cell>
          <cell r="F181" t="str">
            <v>平米</v>
          </cell>
          <cell r="G181">
            <v>105</v>
          </cell>
        </row>
        <row r="182">
          <cell r="A182" t="str">
            <v>A#178</v>
          </cell>
          <cell r="B182" t="str">
            <v>制作</v>
          </cell>
          <cell r="C182" t="str">
            <v>布艺</v>
          </cell>
          <cell r="D182" t="str">
            <v>AV架弹力布0.6m*0.6m</v>
          </cell>
          <cell r="E182" t="str">
            <v>內遮光布+弾力布</v>
          </cell>
          <cell r="F182" t="str">
            <v>平米</v>
          </cell>
          <cell r="G182">
            <v>116.67</v>
          </cell>
        </row>
        <row r="183">
          <cell r="A183" t="str">
            <v>A#179</v>
          </cell>
          <cell r="B183" t="str">
            <v>制作</v>
          </cell>
          <cell r="C183" t="str">
            <v>布艺</v>
          </cell>
          <cell r="D183" t="str">
            <v>条幅布</v>
          </cell>
          <cell r="E183" t="str">
            <v>0.6-0.7米宽幅，无味（环保）油墨</v>
          </cell>
          <cell r="F183" t="str">
            <v>延米</v>
          </cell>
          <cell r="G183">
            <v>10.6</v>
          </cell>
        </row>
        <row r="184">
          <cell r="A184" t="str">
            <v>A#180</v>
          </cell>
          <cell r="B184" t="str">
            <v>制作</v>
          </cell>
          <cell r="C184" t="str">
            <v>布艺</v>
          </cell>
          <cell r="D184" t="str">
            <v>条幅布</v>
          </cell>
          <cell r="E184" t="str">
            <v>0.8-1米宽幅，无味（环保）油墨</v>
          </cell>
          <cell r="F184" t="str">
            <v>延米</v>
          </cell>
          <cell r="G184">
            <v>12.72</v>
          </cell>
        </row>
        <row r="185">
          <cell r="A185" t="str">
            <v>A#181</v>
          </cell>
          <cell r="B185" t="str">
            <v>制作</v>
          </cell>
          <cell r="C185" t="str">
            <v>布艺</v>
          </cell>
          <cell r="D185" t="str">
            <v>条幅布</v>
          </cell>
          <cell r="E185" t="str">
            <v>1.1-1.2米宽幅，无味（环保）油墨</v>
          </cell>
          <cell r="F185" t="str">
            <v>延米</v>
          </cell>
          <cell r="G185">
            <v>31.8</v>
          </cell>
        </row>
        <row r="186">
          <cell r="A186" t="str">
            <v>A#182</v>
          </cell>
          <cell r="B186" t="str">
            <v>制作</v>
          </cell>
          <cell r="C186" t="str">
            <v>布艺</v>
          </cell>
          <cell r="D186" t="str">
            <v>旗帜布</v>
          </cell>
          <cell r="E186" t="str">
            <v>0.6-0.7米宽幅，无味（环保）油墨</v>
          </cell>
          <cell r="F186" t="str">
            <v>延米</v>
          </cell>
          <cell r="G186">
            <v>24.38</v>
          </cell>
        </row>
        <row r="187">
          <cell r="A187" t="str">
            <v>A#183</v>
          </cell>
          <cell r="B187" t="str">
            <v>制作</v>
          </cell>
          <cell r="C187" t="str">
            <v>布艺</v>
          </cell>
          <cell r="D187" t="str">
            <v>旗帜布</v>
          </cell>
          <cell r="E187" t="str">
            <v>0.8-1米宽幅，无味（环保）油墨</v>
          </cell>
          <cell r="F187" t="str">
            <v>延米</v>
          </cell>
          <cell r="G187">
            <v>26.5</v>
          </cell>
        </row>
        <row r="188">
          <cell r="A188" t="str">
            <v>A#184</v>
          </cell>
          <cell r="B188" t="str">
            <v>制作</v>
          </cell>
          <cell r="C188" t="str">
            <v>布艺</v>
          </cell>
          <cell r="D188" t="str">
            <v>旗帜布</v>
          </cell>
          <cell r="E188" t="str">
            <v>1.1-1.2米宽幅，无味（环保）油墨</v>
          </cell>
          <cell r="F188" t="str">
            <v>延米</v>
          </cell>
          <cell r="G188">
            <v>37.1</v>
          </cell>
        </row>
        <row r="189">
          <cell r="A189" t="str">
            <v>A#185</v>
          </cell>
          <cell r="B189" t="str">
            <v>印刷</v>
          </cell>
          <cell r="C189" t="str">
            <v>喷绘灯布</v>
          </cell>
          <cell r="D189" t="str">
            <v>灯布</v>
          </cell>
          <cell r="E189" t="str">
            <v>3.2m宽幅，黑底材质+无味（环保）油墨</v>
          </cell>
          <cell r="F189" t="str">
            <v>平米</v>
          </cell>
          <cell r="G189">
            <v>53</v>
          </cell>
        </row>
        <row r="190">
          <cell r="A190" t="str">
            <v>A#186</v>
          </cell>
          <cell r="B190" t="str">
            <v>印刷</v>
          </cell>
          <cell r="C190" t="str">
            <v>喷绘灯布</v>
          </cell>
          <cell r="D190" t="str">
            <v>灯布</v>
          </cell>
          <cell r="E190" t="str">
            <v>5m宽幅，无味（环保）油墨</v>
          </cell>
          <cell r="F190" t="str">
            <v>平米</v>
          </cell>
          <cell r="G190">
            <v>80</v>
          </cell>
        </row>
        <row r="191">
          <cell r="A191" t="str">
            <v>A#187</v>
          </cell>
          <cell r="B191" t="str">
            <v>印刷</v>
          </cell>
          <cell r="C191" t="str">
            <v>喷绘宝丽布</v>
          </cell>
          <cell r="D191" t="str">
            <v>宝丽布</v>
          </cell>
          <cell r="E191" t="str">
            <v>3.2m宽幅，黑底材质+无味（环保）油墨</v>
          </cell>
          <cell r="F191" t="str">
            <v>平米</v>
          </cell>
          <cell r="G191">
            <v>46.67</v>
          </cell>
        </row>
        <row r="192">
          <cell r="A192" t="str">
            <v>A#188</v>
          </cell>
          <cell r="B192" t="str">
            <v>印刷</v>
          </cell>
          <cell r="C192" t="str">
            <v>喷绘宝丽布</v>
          </cell>
          <cell r="D192" t="str">
            <v>宝丽布</v>
          </cell>
          <cell r="E192" t="str">
            <v>5m宽幅，黑底材质+无味（环保）油墨</v>
          </cell>
          <cell r="F192" t="str">
            <v>平米</v>
          </cell>
          <cell r="G192">
            <v>63.33</v>
          </cell>
        </row>
        <row r="193">
          <cell r="A193" t="str">
            <v>A#189</v>
          </cell>
          <cell r="B193" t="str">
            <v>印刷</v>
          </cell>
          <cell r="C193" t="str">
            <v>喷绘宝丽布</v>
          </cell>
          <cell r="D193" t="str">
            <v>宝丽布</v>
          </cell>
          <cell r="E193" t="str">
            <v>喷绘UV，3.2m宽幅，黑底材质+无味（环保）油墨</v>
          </cell>
          <cell r="F193" t="str">
            <v>平米</v>
          </cell>
          <cell r="G193">
            <v>60</v>
          </cell>
        </row>
        <row r="194">
          <cell r="A194" t="str">
            <v>A#190</v>
          </cell>
          <cell r="B194" t="str">
            <v>印刷</v>
          </cell>
          <cell r="C194" t="str">
            <v>喷绘宝丽布</v>
          </cell>
          <cell r="D194" t="str">
            <v>宝丽布</v>
          </cell>
          <cell r="E194" t="str">
            <v>喷绘UV，5m宽幅，黑底材质+无味（环保）油墨</v>
          </cell>
          <cell r="F194" t="str">
            <v>平米</v>
          </cell>
          <cell r="G194">
            <v>93.33</v>
          </cell>
        </row>
        <row r="195">
          <cell r="A195" t="str">
            <v>A#191</v>
          </cell>
          <cell r="B195" t="str">
            <v>印刷</v>
          </cell>
          <cell r="C195" t="str">
            <v>写真网格布</v>
          </cell>
          <cell r="D195" t="str">
            <v>网格布</v>
          </cell>
          <cell r="E195" t="str">
            <v>喷绘UV，3.2m宽幅，白色材质+无味（环保）油墨</v>
          </cell>
          <cell r="F195" t="str">
            <v>平米</v>
          </cell>
          <cell r="G195">
            <v>53</v>
          </cell>
        </row>
        <row r="196">
          <cell r="A196" t="str">
            <v>A#192</v>
          </cell>
          <cell r="B196" t="str">
            <v>印刷</v>
          </cell>
          <cell r="C196" t="str">
            <v>写真网格布</v>
          </cell>
          <cell r="D196" t="str">
            <v>网格布</v>
          </cell>
          <cell r="E196" t="str">
            <v>喷绘UV，5m宽幅，白色材质+无味（环保）油墨</v>
          </cell>
          <cell r="F196" t="str">
            <v>平米</v>
          </cell>
          <cell r="G196">
            <v>79.67</v>
          </cell>
        </row>
        <row r="197">
          <cell r="A197" t="str">
            <v>A#193</v>
          </cell>
          <cell r="B197" t="str">
            <v>印刷</v>
          </cell>
          <cell r="C197" t="str">
            <v>写真刀刮布</v>
          </cell>
          <cell r="D197" t="str">
            <v>刀刮布</v>
          </cell>
          <cell r="E197" t="str">
            <v>喷绘UV，3.2m宽幅，刀刮布+无味（环保）油墨</v>
          </cell>
          <cell r="F197" t="str">
            <v>平米</v>
          </cell>
          <cell r="G197">
            <v>62.54</v>
          </cell>
        </row>
        <row r="198">
          <cell r="A198" t="str">
            <v>A#194</v>
          </cell>
          <cell r="B198" t="str">
            <v>印刷</v>
          </cell>
          <cell r="C198" t="str">
            <v>写真刀刮布</v>
          </cell>
          <cell r="D198" t="str">
            <v>刀刮布</v>
          </cell>
          <cell r="E198" t="str">
            <v>喷绘UV，5m宽幅，刀刮布+无味（环保）油墨</v>
          </cell>
          <cell r="F198" t="str">
            <v>平米</v>
          </cell>
          <cell r="G198">
            <v>89.04</v>
          </cell>
        </row>
        <row r="199">
          <cell r="A199" t="str">
            <v>A#195</v>
          </cell>
          <cell r="B199" t="str">
            <v>印刷</v>
          </cell>
          <cell r="C199" t="str">
            <v>写真油画布</v>
          </cell>
          <cell r="D199" t="str">
            <v>油画布</v>
          </cell>
          <cell r="E199" t="str">
            <v>1.5m宽幅，油画布+无味（环保）油墨</v>
          </cell>
          <cell r="F199" t="str">
            <v>平米</v>
          </cell>
          <cell r="G199">
            <v>73.33</v>
          </cell>
        </row>
        <row r="200">
          <cell r="A200" t="str">
            <v>A#196</v>
          </cell>
          <cell r="B200" t="str">
            <v>印刷</v>
          </cell>
          <cell r="C200" t="str">
            <v>软膜</v>
          </cell>
          <cell r="D200" t="str">
            <v>高清UV软膜喷绘</v>
          </cell>
          <cell r="E200" t="str">
            <v>单层模式</v>
          </cell>
          <cell r="F200" t="str">
            <v>平米</v>
          </cell>
          <cell r="G200">
            <v>95</v>
          </cell>
        </row>
        <row r="201">
          <cell r="A201" t="str">
            <v>A#197</v>
          </cell>
          <cell r="B201" t="str">
            <v>印刷</v>
          </cell>
          <cell r="C201" t="str">
            <v>软膜</v>
          </cell>
          <cell r="D201" t="str">
            <v>高清UV软膜喷绘</v>
          </cell>
          <cell r="E201" t="str">
            <v>双层模式</v>
          </cell>
          <cell r="F201" t="str">
            <v>平米</v>
          </cell>
          <cell r="G201">
            <v>74.2</v>
          </cell>
        </row>
        <row r="202">
          <cell r="A202" t="str">
            <v>A#198</v>
          </cell>
          <cell r="B202" t="str">
            <v>印刷</v>
          </cell>
          <cell r="C202" t="str">
            <v>软膜</v>
          </cell>
          <cell r="D202" t="str">
            <v>黑底空白软膜</v>
          </cell>
          <cell r="E202" t="str">
            <v>黑底，不透光</v>
          </cell>
          <cell r="F202" t="str">
            <v>平米</v>
          </cell>
          <cell r="G202">
            <v>63</v>
          </cell>
        </row>
        <row r="203">
          <cell r="A203" t="str">
            <v>A#199</v>
          </cell>
          <cell r="B203" t="str">
            <v>印刷</v>
          </cell>
          <cell r="C203" t="str">
            <v>热转印布</v>
          </cell>
          <cell r="D203" t="str">
            <v>热转印布</v>
          </cell>
          <cell r="E203" t="str">
            <v>3.2m宽幅，白底材质</v>
          </cell>
          <cell r="F203" t="str">
            <v>平米</v>
          </cell>
          <cell r="G203">
            <v>42.4</v>
          </cell>
        </row>
        <row r="204">
          <cell r="A204" t="str">
            <v>A#200</v>
          </cell>
          <cell r="B204" t="str">
            <v>印刷</v>
          </cell>
          <cell r="C204" t="str">
            <v>平板UV</v>
          </cell>
          <cell r="D204" t="str">
            <v>平板UV</v>
          </cell>
          <cell r="E204" t="str">
            <v>门幅2.4X1.2m</v>
          </cell>
          <cell r="F204" t="str">
            <v>平米</v>
          </cell>
          <cell r="G204">
            <v>198.33</v>
          </cell>
        </row>
        <row r="205">
          <cell r="A205" t="str">
            <v>A#201</v>
          </cell>
          <cell r="B205" t="str">
            <v>印刷</v>
          </cell>
          <cell r="C205" t="str">
            <v>写真</v>
          </cell>
          <cell r="D205" t="str">
            <v>背胶写真+覆膜+背胶</v>
          </cell>
          <cell r="E205" t="str">
            <v>125g</v>
          </cell>
          <cell r="F205" t="str">
            <v>平米</v>
          </cell>
          <cell r="G205">
            <v>37</v>
          </cell>
        </row>
        <row r="206">
          <cell r="A206" t="str">
            <v>A#202</v>
          </cell>
          <cell r="B206" t="str">
            <v>印刷</v>
          </cell>
          <cell r="C206" t="str">
            <v>写真</v>
          </cell>
          <cell r="D206" t="str">
            <v>可转移背胶+覆膜</v>
          </cell>
          <cell r="E206" t="str">
            <v>125g</v>
          </cell>
          <cell r="F206" t="str">
            <v>平米</v>
          </cell>
          <cell r="G206">
            <v>55</v>
          </cell>
        </row>
        <row r="207">
          <cell r="A207" t="str">
            <v>A#203</v>
          </cell>
          <cell r="B207" t="str">
            <v>印刷</v>
          </cell>
          <cell r="C207" t="str">
            <v>写真</v>
          </cell>
          <cell r="D207" t="str">
            <v>照相纸写真+覆膜+背胶</v>
          </cell>
          <cell r="E207" t="str">
            <v>125g</v>
          </cell>
          <cell r="F207" t="str">
            <v>平米</v>
          </cell>
          <cell r="G207">
            <v>63</v>
          </cell>
        </row>
        <row r="208">
          <cell r="A208" t="str">
            <v>A#204</v>
          </cell>
          <cell r="B208" t="str">
            <v>印刷</v>
          </cell>
          <cell r="C208" t="str">
            <v>写真</v>
          </cell>
          <cell r="D208" t="str">
            <v>车贴写真</v>
          </cell>
          <cell r="E208" t="str">
            <v>175g</v>
          </cell>
          <cell r="F208" t="str">
            <v>平米</v>
          </cell>
          <cell r="G208">
            <v>58.3</v>
          </cell>
        </row>
        <row r="209">
          <cell r="A209" t="str">
            <v>A#205</v>
          </cell>
          <cell r="B209" t="str">
            <v>印刷</v>
          </cell>
          <cell r="C209" t="str">
            <v>写真</v>
          </cell>
          <cell r="D209" t="str">
            <v>3M进口地贴</v>
          </cell>
          <cell r="E209" t="str">
            <v>3M进口加厚地贴</v>
          </cell>
          <cell r="F209" t="str">
            <v>平米</v>
          </cell>
          <cell r="G209">
            <v>56</v>
          </cell>
        </row>
        <row r="210">
          <cell r="A210" t="str">
            <v>A#206</v>
          </cell>
          <cell r="B210" t="str">
            <v>印刷</v>
          </cell>
          <cell r="C210" t="str">
            <v>单页</v>
          </cell>
          <cell r="D210" t="str">
            <v>A4彩色单面157克铜板纸</v>
          </cell>
          <cell r="E210" t="str">
            <v>数量(1-500)</v>
          </cell>
          <cell r="F210" t="str">
            <v>张</v>
          </cell>
          <cell r="G210">
            <v>1.3</v>
          </cell>
        </row>
        <row r="211">
          <cell r="A211" t="str">
            <v>A#207</v>
          </cell>
          <cell r="B211" t="str">
            <v>印刷</v>
          </cell>
          <cell r="C211" t="str">
            <v>单页</v>
          </cell>
          <cell r="D211" t="str">
            <v>A4彩色单面157克铜板纸</v>
          </cell>
          <cell r="E211" t="str">
            <v>数量(501-5000)</v>
          </cell>
          <cell r="F211" t="str">
            <v>张</v>
          </cell>
          <cell r="G211">
            <v>1</v>
          </cell>
        </row>
        <row r="212">
          <cell r="A212" t="str">
            <v>A#208</v>
          </cell>
          <cell r="B212" t="str">
            <v>印刷</v>
          </cell>
          <cell r="C212" t="str">
            <v>单页</v>
          </cell>
          <cell r="D212" t="str">
            <v>A4彩色单面200克铜板纸</v>
          </cell>
          <cell r="E212" t="str">
            <v>数量(1-500)</v>
          </cell>
          <cell r="F212" t="str">
            <v>张</v>
          </cell>
          <cell r="G212">
            <v>1.5</v>
          </cell>
        </row>
        <row r="213">
          <cell r="A213" t="str">
            <v>A#209</v>
          </cell>
          <cell r="B213" t="str">
            <v>印刷</v>
          </cell>
          <cell r="C213" t="str">
            <v>单页</v>
          </cell>
          <cell r="D213" t="str">
            <v>A4彩色单面200克铜板纸</v>
          </cell>
          <cell r="E213" t="str">
            <v>数量(501-5000)</v>
          </cell>
          <cell r="F213" t="str">
            <v>张</v>
          </cell>
          <cell r="G213">
            <v>1.22</v>
          </cell>
        </row>
        <row r="214">
          <cell r="A214" t="str">
            <v>A#210</v>
          </cell>
          <cell r="B214" t="str">
            <v>印刷</v>
          </cell>
          <cell r="C214" t="str">
            <v>单页</v>
          </cell>
          <cell r="D214" t="str">
            <v>A4彩色单面250克铜板纸</v>
          </cell>
          <cell r="E214" t="str">
            <v>数量(1-500)</v>
          </cell>
          <cell r="F214" t="str">
            <v>张</v>
          </cell>
          <cell r="G214">
            <v>1.91</v>
          </cell>
        </row>
        <row r="215">
          <cell r="A215" t="str">
            <v>A#211</v>
          </cell>
          <cell r="B215" t="str">
            <v>印刷</v>
          </cell>
          <cell r="C215" t="str">
            <v>单页</v>
          </cell>
          <cell r="D215" t="str">
            <v>A4彩色单面250克铜板纸</v>
          </cell>
          <cell r="E215" t="str">
            <v>数量(501-5000)</v>
          </cell>
          <cell r="F215" t="str">
            <v>张</v>
          </cell>
          <cell r="G215">
            <v>1.5</v>
          </cell>
        </row>
        <row r="216">
          <cell r="A216" t="str">
            <v>A#212</v>
          </cell>
          <cell r="B216" t="str">
            <v>印刷</v>
          </cell>
          <cell r="C216" t="str">
            <v>单页</v>
          </cell>
          <cell r="D216" t="str">
            <v>A4彩色双面157克铜板纸</v>
          </cell>
          <cell r="E216" t="str">
            <v>数量(1-500)</v>
          </cell>
          <cell r="F216" t="str">
            <v>张</v>
          </cell>
          <cell r="G216">
            <v>1.73</v>
          </cell>
        </row>
        <row r="217">
          <cell r="A217" t="str">
            <v>A#213</v>
          </cell>
          <cell r="B217" t="str">
            <v>印刷</v>
          </cell>
          <cell r="C217" t="str">
            <v>单页</v>
          </cell>
          <cell r="D217" t="str">
            <v>A4彩色双面157克铜板纸</v>
          </cell>
          <cell r="E217" t="str">
            <v>数量(501-5000)</v>
          </cell>
          <cell r="F217" t="str">
            <v>张</v>
          </cell>
          <cell r="G217">
            <v>1.6</v>
          </cell>
        </row>
        <row r="218">
          <cell r="A218" t="str">
            <v>A#214</v>
          </cell>
          <cell r="B218" t="str">
            <v>印刷</v>
          </cell>
          <cell r="C218" t="str">
            <v>单页</v>
          </cell>
          <cell r="D218" t="str">
            <v>A4彩色双面200克铜板纸</v>
          </cell>
          <cell r="E218" t="str">
            <v>数量(1-500)</v>
          </cell>
          <cell r="F218" t="str">
            <v>张</v>
          </cell>
          <cell r="G218">
            <v>2.12</v>
          </cell>
        </row>
        <row r="219">
          <cell r="A219" t="str">
            <v>A#215</v>
          </cell>
          <cell r="B219" t="str">
            <v>印刷</v>
          </cell>
          <cell r="C219" t="str">
            <v>单页</v>
          </cell>
          <cell r="D219" t="str">
            <v>A4彩色双面200克铜板纸</v>
          </cell>
          <cell r="E219" t="str">
            <v>数量(501-5000)</v>
          </cell>
          <cell r="F219" t="str">
            <v>张</v>
          </cell>
          <cell r="G219">
            <v>1.6</v>
          </cell>
        </row>
        <row r="220">
          <cell r="A220" t="str">
            <v>A#216</v>
          </cell>
          <cell r="B220" t="str">
            <v>印刷</v>
          </cell>
          <cell r="C220" t="str">
            <v>单页</v>
          </cell>
          <cell r="D220" t="str">
            <v>A4彩色双面250克铜板纸</v>
          </cell>
          <cell r="E220" t="str">
            <v>数量(1-500)</v>
          </cell>
          <cell r="F220" t="str">
            <v>张</v>
          </cell>
          <cell r="G220">
            <v>2.4300000000000002</v>
          </cell>
        </row>
        <row r="221">
          <cell r="A221" t="str">
            <v>A#217</v>
          </cell>
          <cell r="B221" t="str">
            <v>印刷</v>
          </cell>
          <cell r="C221" t="str">
            <v>单页</v>
          </cell>
          <cell r="D221" t="str">
            <v>A4彩色双面250克铜板纸</v>
          </cell>
          <cell r="E221" t="str">
            <v>数量(501-5000)</v>
          </cell>
          <cell r="F221" t="str">
            <v>张</v>
          </cell>
          <cell r="G221">
            <v>1.93</v>
          </cell>
        </row>
        <row r="222">
          <cell r="A222" t="str">
            <v>A#218</v>
          </cell>
          <cell r="B222" t="str">
            <v>印刷</v>
          </cell>
          <cell r="C222" t="str">
            <v>海报</v>
          </cell>
          <cell r="D222" t="str">
            <v>彩色单面印刷250克</v>
          </cell>
          <cell r="E222" t="str">
            <v>420mm X 570mm，数量(1-500)</v>
          </cell>
          <cell r="F222" t="str">
            <v>张</v>
          </cell>
          <cell r="G222">
            <v>5.83</v>
          </cell>
        </row>
        <row r="223">
          <cell r="A223" t="str">
            <v>A#219</v>
          </cell>
          <cell r="B223" t="str">
            <v>印刷</v>
          </cell>
          <cell r="C223" t="str">
            <v>桌卡</v>
          </cell>
          <cell r="D223" t="str">
            <v>200克铜版彩色打印三折页</v>
          </cell>
          <cell r="E223" t="str">
            <v>150mm X 210mm</v>
          </cell>
          <cell r="F223" t="str">
            <v>套</v>
          </cell>
          <cell r="G223">
            <v>4.5</v>
          </cell>
        </row>
        <row r="224">
          <cell r="A224" t="str">
            <v>A#220</v>
          </cell>
          <cell r="B224" t="str">
            <v>印刷</v>
          </cell>
          <cell r="C224" t="str">
            <v>证件</v>
          </cell>
          <cell r="D224" t="str">
            <v>200克铜版彩色打印内页+卡套+挂绳（含挂绳印刷）</v>
          </cell>
          <cell r="E224" t="str">
            <v>125mm X 95mm，挂绳1cm宽，尼龙，含单色logo印刷</v>
          </cell>
          <cell r="F224" t="str">
            <v>套</v>
          </cell>
          <cell r="G224">
            <v>10.6</v>
          </cell>
        </row>
        <row r="225">
          <cell r="A225" t="str">
            <v>A#221</v>
          </cell>
          <cell r="B225" t="str">
            <v>印刷</v>
          </cell>
          <cell r="C225" t="str">
            <v>证件</v>
          </cell>
          <cell r="D225" t="str">
            <v>PVC彩色印刷+挂绳（含挂绳印刷）</v>
          </cell>
          <cell r="E225" t="str">
            <v>125mm X 95mm，挂绳1cm宽，尼龙，含单色logo印刷</v>
          </cell>
          <cell r="F225" t="str">
            <v>套</v>
          </cell>
          <cell r="G225">
            <v>10.6</v>
          </cell>
        </row>
        <row r="226">
          <cell r="A226" t="str">
            <v>A#222</v>
          </cell>
          <cell r="B226" t="str">
            <v>印刷</v>
          </cell>
          <cell r="C226" t="str">
            <v>证件</v>
          </cell>
          <cell r="D226" t="str">
            <v>250G克铜版纸对裱+覆膜</v>
          </cell>
          <cell r="E226" t="str">
            <v>125mm X 95mm，挂绳1cm宽，尼龙，含单色logo印刷</v>
          </cell>
          <cell r="F226" t="str">
            <v>套</v>
          </cell>
          <cell r="G226">
            <v>6.36</v>
          </cell>
        </row>
        <row r="227">
          <cell r="A227" t="str">
            <v>A#223</v>
          </cell>
          <cell r="B227" t="str">
            <v>印刷</v>
          </cell>
          <cell r="C227" t="str">
            <v>麦克风套</v>
          </cell>
          <cell r="D227" t="str">
            <v>雪弗板裱写真</v>
          </cell>
          <cell r="E227" t="str">
            <v>80mm*50mm</v>
          </cell>
          <cell r="F227" t="str">
            <v>个</v>
          </cell>
          <cell r="G227">
            <v>21.2</v>
          </cell>
        </row>
        <row r="228">
          <cell r="A228" t="str">
            <v>A#224</v>
          </cell>
          <cell r="B228" t="str">
            <v>印刷</v>
          </cell>
          <cell r="C228" t="str">
            <v>椅背贴</v>
          </cell>
          <cell r="D228" t="str">
            <v>不干胶印刷</v>
          </cell>
          <cell r="E228" t="str">
            <v>150mm*100mm</v>
          </cell>
          <cell r="F228" t="str">
            <v>张</v>
          </cell>
          <cell r="G228">
            <v>2.12</v>
          </cell>
        </row>
        <row r="229">
          <cell r="A229" t="str">
            <v>A#225</v>
          </cell>
          <cell r="B229" t="str">
            <v>印刷</v>
          </cell>
          <cell r="C229" t="str">
            <v>主持人手卡</v>
          </cell>
          <cell r="D229" t="str">
            <v>彩色单面157克铜板纸</v>
          </cell>
          <cell r="E229" t="str">
            <v>150mm*100mm</v>
          </cell>
          <cell r="F229" t="str">
            <v>张</v>
          </cell>
          <cell r="G229">
            <v>0.95</v>
          </cell>
        </row>
        <row r="230">
          <cell r="A230" t="str">
            <v>A#226</v>
          </cell>
          <cell r="B230" t="str">
            <v>印刷</v>
          </cell>
          <cell r="C230" t="str">
            <v>臂贴</v>
          </cell>
          <cell r="D230" t="str">
            <v>不干胶印刷</v>
          </cell>
          <cell r="E230" t="str">
            <v>80mm圆</v>
          </cell>
          <cell r="F230" t="str">
            <v>张</v>
          </cell>
          <cell r="G230">
            <v>0.95</v>
          </cell>
        </row>
        <row r="231">
          <cell r="A231" t="str">
            <v>A#227</v>
          </cell>
          <cell r="B231" t="str">
            <v>印刷</v>
          </cell>
          <cell r="C231" t="str">
            <v>服装</v>
          </cell>
          <cell r="D231" t="str">
            <v>纯棉圆领T恤</v>
          </cell>
          <cell r="E231" t="str">
            <v>200g纯棉，丝印单色logo，热转印面积≤20*30cm，50件起订</v>
          </cell>
          <cell r="F231" t="str">
            <v>件</v>
          </cell>
          <cell r="G231">
            <v>50.88</v>
          </cell>
        </row>
        <row r="232">
          <cell r="A232" t="str">
            <v>A#228</v>
          </cell>
          <cell r="B232" t="str">
            <v>印刷</v>
          </cell>
          <cell r="C232" t="str">
            <v>服装</v>
          </cell>
          <cell r="D232" t="str">
            <v>纯棉polo</v>
          </cell>
          <cell r="E232" t="str">
            <v>200g纯棉，丝印单色logo，热转印面积≤20*30cm，50件起订</v>
          </cell>
          <cell r="F232" t="str">
            <v>件</v>
          </cell>
          <cell r="G232">
            <v>63.6</v>
          </cell>
        </row>
        <row r="233">
          <cell r="A233" t="str">
            <v>A#229</v>
          </cell>
          <cell r="B233" t="str">
            <v>印刷</v>
          </cell>
          <cell r="C233" t="str">
            <v>服装</v>
          </cell>
          <cell r="D233" t="str">
            <v>棒球帽</v>
          </cell>
          <cell r="E233" t="str">
            <v>优质面涤，丝印单色logo，热转印面积≤20*30cm，50件起订</v>
          </cell>
          <cell r="F233" t="str">
            <v>件</v>
          </cell>
          <cell r="G233">
            <v>31.8</v>
          </cell>
        </row>
        <row r="234">
          <cell r="A234" t="str">
            <v>A#230</v>
          </cell>
          <cell r="B234" t="str">
            <v>印刷</v>
          </cell>
          <cell r="C234" t="str">
            <v>服装</v>
          </cell>
          <cell r="D234" t="str">
            <v>卫衣</v>
          </cell>
          <cell r="E234" t="str">
            <v>400g纯棉，丝印单色logo，热转印面积≤20*30cm，50件起订</v>
          </cell>
          <cell r="F234" t="str">
            <v>件</v>
          </cell>
          <cell r="G234">
            <v>79.5</v>
          </cell>
        </row>
        <row r="235">
          <cell r="A235" t="str">
            <v>A#231</v>
          </cell>
          <cell r="B235" t="str">
            <v>印刷</v>
          </cell>
          <cell r="C235" t="str">
            <v>手提袋</v>
          </cell>
          <cell r="D235" t="str">
            <v>纸质快印</v>
          </cell>
          <cell r="E235" t="str">
            <v>350mm*250mm*100mm（1-500）</v>
          </cell>
          <cell r="F235" t="str">
            <v>个</v>
          </cell>
          <cell r="G235">
            <v>9.5399999999999991</v>
          </cell>
        </row>
        <row r="236">
          <cell r="A236" t="str">
            <v>A#232</v>
          </cell>
          <cell r="B236" t="str">
            <v>印刷</v>
          </cell>
          <cell r="C236" t="str">
            <v>手提袋</v>
          </cell>
          <cell r="D236" t="str">
            <v>纸质印刷</v>
          </cell>
          <cell r="E236" t="str">
            <v>350mm*250mm*100mm（500-5000）</v>
          </cell>
          <cell r="F236" t="str">
            <v>个</v>
          </cell>
          <cell r="G236">
            <v>5.3</v>
          </cell>
        </row>
        <row r="237">
          <cell r="A237" t="str">
            <v>A#233</v>
          </cell>
          <cell r="B237" t="str">
            <v>印刷</v>
          </cell>
          <cell r="C237" t="str">
            <v>手提袋</v>
          </cell>
          <cell r="D237" t="str">
            <v>无纺布</v>
          </cell>
          <cell r="E237" t="str">
            <v>350mm*250mm*100mm，含彩色logo印刷</v>
          </cell>
          <cell r="F237" t="str">
            <v>个</v>
          </cell>
          <cell r="G237">
            <v>8.48</v>
          </cell>
        </row>
        <row r="238">
          <cell r="A238" t="str">
            <v>A#234</v>
          </cell>
          <cell r="B238" t="str">
            <v>印刷</v>
          </cell>
          <cell r="C238" t="str">
            <v>手提袋</v>
          </cell>
          <cell r="D238" t="str">
            <v>帆布</v>
          </cell>
          <cell r="E238" t="str">
            <v>350mm*250mm*100mm，含彩色logo印刷</v>
          </cell>
          <cell r="F238" t="str">
            <v>个</v>
          </cell>
          <cell r="G238">
            <v>18.02</v>
          </cell>
        </row>
        <row r="239">
          <cell r="A239" t="str">
            <v>A#235</v>
          </cell>
          <cell r="B239" t="str">
            <v>展示灯具</v>
          </cell>
          <cell r="C239" t="str">
            <v>筒灯</v>
          </cell>
          <cell r="D239" t="str">
            <v>节能灯</v>
          </cell>
          <cell r="E239" t="str">
            <v>15W</v>
          </cell>
          <cell r="F239" t="str">
            <v>台</v>
          </cell>
          <cell r="G239">
            <v>27.56</v>
          </cell>
        </row>
        <row r="240">
          <cell r="A240" t="str">
            <v>A#236</v>
          </cell>
          <cell r="B240" t="str">
            <v>展示灯具</v>
          </cell>
          <cell r="C240" t="str">
            <v>射灯</v>
          </cell>
          <cell r="D240" t="str">
            <v>格栅射灯</v>
          </cell>
          <cell r="E240" t="str">
            <v>40W</v>
          </cell>
          <cell r="F240" t="str">
            <v>台</v>
          </cell>
          <cell r="G240">
            <v>50.88</v>
          </cell>
        </row>
        <row r="241">
          <cell r="A241" t="str">
            <v>A#237</v>
          </cell>
          <cell r="B241" t="str">
            <v>展示灯具</v>
          </cell>
          <cell r="C241" t="str">
            <v>射灯</v>
          </cell>
          <cell r="D241" t="str">
            <v>长臂射灯</v>
          </cell>
          <cell r="E241" t="str">
            <v>30W</v>
          </cell>
          <cell r="F241" t="str">
            <v>台</v>
          </cell>
          <cell r="G241">
            <v>46.64</v>
          </cell>
        </row>
        <row r="242">
          <cell r="A242" t="str">
            <v>A#238</v>
          </cell>
          <cell r="B242" t="str">
            <v>展示灯具</v>
          </cell>
          <cell r="C242" t="str">
            <v>射灯</v>
          </cell>
          <cell r="D242" t="str">
            <v>轨道射灯</v>
          </cell>
          <cell r="E242" t="str">
            <v>30W</v>
          </cell>
          <cell r="F242" t="str">
            <v>台</v>
          </cell>
          <cell r="G242">
            <v>53</v>
          </cell>
        </row>
        <row r="243">
          <cell r="A243" t="str">
            <v>A#239</v>
          </cell>
          <cell r="B243" t="str">
            <v>展示灯具</v>
          </cell>
          <cell r="C243" t="str">
            <v>射灯</v>
          </cell>
          <cell r="D243" t="str">
            <v>575车展灯</v>
          </cell>
          <cell r="E243" t="str">
            <v>150WLED 聚光</v>
          </cell>
          <cell r="F243" t="str">
            <v>台</v>
          </cell>
          <cell r="G243">
            <v>127.2</v>
          </cell>
        </row>
        <row r="244">
          <cell r="A244" t="str">
            <v>A#240</v>
          </cell>
          <cell r="B244" t="str">
            <v>家具及办公设备</v>
          </cell>
          <cell r="C244" t="str">
            <v>桌椅</v>
          </cell>
          <cell r="D244" t="str">
            <v>IBM长桌</v>
          </cell>
          <cell r="E244" t="str">
            <v>1800*450mm，租赁价，3天为1展期</v>
          </cell>
          <cell r="F244" t="str">
            <v>张</v>
          </cell>
          <cell r="G244">
            <v>86.67</v>
          </cell>
        </row>
        <row r="245">
          <cell r="A245" t="str">
            <v>A#241</v>
          </cell>
          <cell r="B245" t="str">
            <v>家具及办公设备</v>
          </cell>
          <cell r="C245" t="str">
            <v>桌椅</v>
          </cell>
          <cell r="D245" t="str">
            <v>IBM长桌</v>
          </cell>
          <cell r="E245" t="str">
            <v>1200*400，租赁价，3天为1展期</v>
          </cell>
          <cell r="F245" t="str">
            <v>张</v>
          </cell>
          <cell r="G245">
            <v>73.33</v>
          </cell>
        </row>
        <row r="246">
          <cell r="A246" t="str">
            <v>A#242</v>
          </cell>
          <cell r="B246" t="str">
            <v>家具及办公设备</v>
          </cell>
          <cell r="C246" t="str">
            <v>桌椅</v>
          </cell>
          <cell r="D246" t="str">
            <v>吧桌</v>
          </cell>
          <cell r="E246" t="str">
            <v>租赁价，3天为1展期</v>
          </cell>
          <cell r="F246" t="str">
            <v>张</v>
          </cell>
          <cell r="G246">
            <v>153.33000000000001</v>
          </cell>
        </row>
        <row r="247">
          <cell r="A247" t="str">
            <v>A#243</v>
          </cell>
          <cell r="B247" t="str">
            <v>家具及办公设备</v>
          </cell>
          <cell r="C247" t="str">
            <v>桌椅</v>
          </cell>
          <cell r="D247" t="str">
            <v>折叠椅</v>
          </cell>
          <cell r="E247" t="str">
            <v>租赁价，3天为1展期</v>
          </cell>
          <cell r="F247" t="str">
            <v>张</v>
          </cell>
          <cell r="G247">
            <v>25</v>
          </cell>
        </row>
        <row r="248">
          <cell r="A248" t="str">
            <v>A#244</v>
          </cell>
          <cell r="B248" t="str">
            <v>家具及办公设备</v>
          </cell>
          <cell r="C248" t="str">
            <v>桌椅</v>
          </cell>
          <cell r="D248" t="str">
            <v>办公椅</v>
          </cell>
          <cell r="E248" t="str">
            <v>租赁价，3天为1展期</v>
          </cell>
          <cell r="F248" t="str">
            <v>张</v>
          </cell>
          <cell r="G248">
            <v>106</v>
          </cell>
        </row>
        <row r="249">
          <cell r="A249" t="str">
            <v>A#245</v>
          </cell>
          <cell r="B249" t="str">
            <v>家具及办公设备</v>
          </cell>
          <cell r="C249" t="str">
            <v>桌椅</v>
          </cell>
          <cell r="D249" t="str">
            <v>宴会椅</v>
          </cell>
          <cell r="E249" t="str">
            <v>租赁价，3天为1展期</v>
          </cell>
          <cell r="F249" t="str">
            <v>张</v>
          </cell>
          <cell r="G249">
            <v>43.33</v>
          </cell>
        </row>
        <row r="250">
          <cell r="A250" t="str">
            <v>A#246</v>
          </cell>
          <cell r="B250" t="str">
            <v>家具及办公设备</v>
          </cell>
          <cell r="C250" t="str">
            <v>桌椅</v>
          </cell>
          <cell r="D250" t="str">
            <v>吧椅</v>
          </cell>
          <cell r="E250" t="str">
            <v>租赁价，3天为1展期</v>
          </cell>
          <cell r="F250" t="str">
            <v>张</v>
          </cell>
          <cell r="G250">
            <v>73.33</v>
          </cell>
        </row>
        <row r="251">
          <cell r="A251" t="str">
            <v>A#247</v>
          </cell>
          <cell r="B251" t="str">
            <v>家具及办公设备</v>
          </cell>
          <cell r="C251" t="str">
            <v>桌椅</v>
          </cell>
          <cell r="D251" t="str">
            <v>单人面包凳</v>
          </cell>
          <cell r="E251" t="str">
            <v>租赁价，3天为1展期</v>
          </cell>
          <cell r="F251" t="str">
            <v>张</v>
          </cell>
          <cell r="G251">
            <v>123.33</v>
          </cell>
        </row>
        <row r="252">
          <cell r="A252" t="str">
            <v>A#248</v>
          </cell>
          <cell r="B252" t="str">
            <v>家具及办公设备</v>
          </cell>
          <cell r="C252" t="str">
            <v>桌椅</v>
          </cell>
          <cell r="D252" t="str">
            <v>三人面包凳</v>
          </cell>
          <cell r="E252" t="str">
            <v>租赁价，3天为1展期</v>
          </cell>
          <cell r="F252" t="str">
            <v>张</v>
          </cell>
          <cell r="G252">
            <v>243.33</v>
          </cell>
        </row>
        <row r="253">
          <cell r="A253" t="str">
            <v>A#249</v>
          </cell>
          <cell r="B253" t="str">
            <v>家具及办公设备</v>
          </cell>
          <cell r="C253" t="str">
            <v>桌椅</v>
          </cell>
          <cell r="D253" t="str">
            <v>单人沙发</v>
          </cell>
          <cell r="E253" t="str">
            <v>布艺/皮质 简易沙发，租赁价，3天为1展期</v>
          </cell>
          <cell r="F253" t="str">
            <v>张</v>
          </cell>
          <cell r="G253">
            <v>340</v>
          </cell>
        </row>
        <row r="254">
          <cell r="A254" t="str">
            <v>A#250</v>
          </cell>
          <cell r="B254" t="str">
            <v>家具及办公设备</v>
          </cell>
          <cell r="C254" t="str">
            <v>桌椅</v>
          </cell>
          <cell r="D254" t="str">
            <v>双人沙发</v>
          </cell>
          <cell r="E254" t="str">
            <v>布艺/皮质 简易沙发，租赁价，3天为1展期</v>
          </cell>
          <cell r="F254" t="str">
            <v>张</v>
          </cell>
          <cell r="G254">
            <v>496.67</v>
          </cell>
        </row>
        <row r="255">
          <cell r="A255" t="str">
            <v>A#251</v>
          </cell>
          <cell r="B255" t="str">
            <v>家具及办公设备</v>
          </cell>
          <cell r="C255" t="str">
            <v>桌椅</v>
          </cell>
          <cell r="D255" t="str">
            <v>茶几</v>
          </cell>
          <cell r="E255" t="str">
            <v>简易茶几，租赁价，3天为1展期</v>
          </cell>
          <cell r="F255" t="str">
            <v>张</v>
          </cell>
          <cell r="G255">
            <v>53</v>
          </cell>
        </row>
        <row r="256">
          <cell r="A256" t="str">
            <v>A#252</v>
          </cell>
          <cell r="B256" t="str">
            <v>家具及办公设备</v>
          </cell>
          <cell r="C256" t="str">
            <v>桌椅</v>
          </cell>
          <cell r="D256" t="str">
            <v>普通洽谈桌椅</v>
          </cell>
          <cell r="E256" t="str">
            <v>一桌四椅，租赁价，3天为1展期</v>
          </cell>
          <cell r="F256" t="str">
            <v>套</v>
          </cell>
          <cell r="G256">
            <v>212</v>
          </cell>
        </row>
        <row r="257">
          <cell r="A257" t="str">
            <v>A#253</v>
          </cell>
          <cell r="B257" t="str">
            <v>家具及办公设备</v>
          </cell>
          <cell r="C257" t="str">
            <v>桌椅</v>
          </cell>
          <cell r="D257" t="str">
            <v>高档洽谈桌椅</v>
          </cell>
          <cell r="E257" t="str">
            <v>一桌四椅，租赁价，3天为1展期</v>
          </cell>
          <cell r="F257" t="str">
            <v>套</v>
          </cell>
          <cell r="G257">
            <v>400.68</v>
          </cell>
        </row>
        <row r="258">
          <cell r="A258" t="str">
            <v>A#254</v>
          </cell>
          <cell r="B258" t="str">
            <v>家具及办公设备</v>
          </cell>
          <cell r="C258" t="str">
            <v>其他</v>
          </cell>
          <cell r="D258" t="str">
            <v>安全出口指示灯</v>
          </cell>
          <cell r="E258" t="str">
            <v>含折旧维护费，租赁价，3天为1展期</v>
          </cell>
          <cell r="F258" t="str">
            <v>个</v>
          </cell>
          <cell r="G258">
            <v>63.6</v>
          </cell>
        </row>
        <row r="259">
          <cell r="A259" t="str">
            <v>A#255</v>
          </cell>
          <cell r="B259" t="str">
            <v>家具及办公设备</v>
          </cell>
          <cell r="C259" t="str">
            <v>其他</v>
          </cell>
          <cell r="D259" t="str">
            <v>挂衣龙门架</v>
          </cell>
          <cell r="E259" t="str">
            <v>含折旧维护费，租赁价，3天为1展期</v>
          </cell>
          <cell r="F259" t="str">
            <v>个</v>
          </cell>
          <cell r="G259">
            <v>63.6</v>
          </cell>
        </row>
        <row r="260">
          <cell r="A260" t="str">
            <v>A#256</v>
          </cell>
          <cell r="B260" t="str">
            <v>家具及办公设备</v>
          </cell>
          <cell r="C260" t="str">
            <v>其他</v>
          </cell>
          <cell r="D260" t="str">
            <v>化妆镜</v>
          </cell>
          <cell r="E260" t="str">
            <v>含折旧维护费，租赁价，3天为1展期</v>
          </cell>
          <cell r="F260" t="str">
            <v>个</v>
          </cell>
          <cell r="G260">
            <v>63.6</v>
          </cell>
        </row>
        <row r="261">
          <cell r="A261" t="str">
            <v>A#257</v>
          </cell>
          <cell r="B261" t="str">
            <v>家具及办公设备</v>
          </cell>
          <cell r="C261" t="str">
            <v>其他</v>
          </cell>
          <cell r="D261" t="str">
            <v>衣架</v>
          </cell>
          <cell r="E261" t="str">
            <v>含折旧维护费，租赁价，3天为1展期</v>
          </cell>
          <cell r="F261" t="str">
            <v>个</v>
          </cell>
          <cell r="G261">
            <v>2.54</v>
          </cell>
        </row>
        <row r="262">
          <cell r="A262" t="str">
            <v>A#258</v>
          </cell>
          <cell r="B262" t="str">
            <v>家具及办公设备</v>
          </cell>
          <cell r="C262" t="str">
            <v>其他</v>
          </cell>
          <cell r="D262" t="str">
            <v>穿衣镜（小）</v>
          </cell>
          <cell r="E262" t="str">
            <v>含折旧维护费，租赁价，3天为1展期</v>
          </cell>
          <cell r="F262" t="str">
            <v>个</v>
          </cell>
          <cell r="G262">
            <v>68.900000000000006</v>
          </cell>
        </row>
        <row r="263">
          <cell r="A263" t="str">
            <v>A#259</v>
          </cell>
          <cell r="B263" t="str">
            <v>家具及办公设备</v>
          </cell>
          <cell r="C263" t="str">
            <v>其他</v>
          </cell>
          <cell r="D263" t="str">
            <v>穿衣镜（大）</v>
          </cell>
          <cell r="E263" t="str">
            <v>含折旧维护费，租赁价，3天为1展期</v>
          </cell>
          <cell r="F263" t="str">
            <v>个</v>
          </cell>
          <cell r="G263">
            <v>63.6</v>
          </cell>
        </row>
        <row r="264">
          <cell r="A264" t="str">
            <v>A#260</v>
          </cell>
          <cell r="B264" t="str">
            <v>家具及办公设备</v>
          </cell>
          <cell r="C264" t="str">
            <v>其他</v>
          </cell>
          <cell r="D264" t="str">
            <v>灭火器</v>
          </cell>
          <cell r="E264" t="str">
            <v>含折旧维护费，租赁价，3天为1展期</v>
          </cell>
          <cell r="F264" t="str">
            <v>个</v>
          </cell>
          <cell r="G264">
            <v>26.5</v>
          </cell>
        </row>
        <row r="265">
          <cell r="A265" t="str">
            <v>A#261</v>
          </cell>
          <cell r="B265" t="str">
            <v>家具及办公设备</v>
          </cell>
          <cell r="C265" t="str">
            <v>其他</v>
          </cell>
          <cell r="D265" t="str">
            <v>冷热饮水机</v>
          </cell>
          <cell r="E265" t="str">
            <v>国产品牌，不含桶水，租赁价，3天为1展期</v>
          </cell>
          <cell r="F265" t="str">
            <v>台</v>
          </cell>
          <cell r="G265">
            <v>63.6</v>
          </cell>
        </row>
        <row r="266">
          <cell r="A266" t="str">
            <v>A#262</v>
          </cell>
          <cell r="B266" t="str">
            <v>家具及办公设备</v>
          </cell>
          <cell r="C266" t="str">
            <v>其他</v>
          </cell>
          <cell r="D266" t="str">
            <v>A4彩色喷墨一体机</v>
          </cell>
          <cell r="E266" t="str">
            <v>租赁价，3天为1展期</v>
          </cell>
          <cell r="F266" t="str">
            <v>台</v>
          </cell>
          <cell r="G266">
            <v>424</v>
          </cell>
        </row>
        <row r="267">
          <cell r="A267" t="str">
            <v>A#263</v>
          </cell>
          <cell r="B267" t="str">
            <v>家具及办公设备</v>
          </cell>
          <cell r="C267" t="str">
            <v>其他</v>
          </cell>
          <cell r="D267" t="str">
            <v>A4彩色激光打印机</v>
          </cell>
          <cell r="E267" t="str">
            <v>租赁价，3天为1展期</v>
          </cell>
          <cell r="F267" t="str">
            <v>台</v>
          </cell>
          <cell r="G267">
            <v>424</v>
          </cell>
        </row>
        <row r="268">
          <cell r="A268" t="str">
            <v>A#264</v>
          </cell>
          <cell r="B268" t="str">
            <v>家具及办公设备</v>
          </cell>
          <cell r="C268" t="str">
            <v>其他</v>
          </cell>
          <cell r="D268" t="str">
            <v>A3彩色激光一体机</v>
          </cell>
          <cell r="E268" t="str">
            <v>租赁价，3天为1展期</v>
          </cell>
          <cell r="F268" t="str">
            <v>台</v>
          </cell>
          <cell r="G268">
            <v>1590</v>
          </cell>
        </row>
        <row r="269">
          <cell r="A269" t="str">
            <v>A#265</v>
          </cell>
          <cell r="B269" t="str">
            <v>家具及办公设备</v>
          </cell>
          <cell r="C269" t="str">
            <v>其他</v>
          </cell>
          <cell r="D269" t="str">
            <v>无线路由器</v>
          </cell>
          <cell r="E269" t="str">
            <v>企业级千兆，租赁价</v>
          </cell>
          <cell r="F269" t="str">
            <v>个</v>
          </cell>
          <cell r="G269">
            <v>159</v>
          </cell>
        </row>
        <row r="270">
          <cell r="A270" t="str">
            <v>A#266</v>
          </cell>
          <cell r="B270" t="str">
            <v>家具及办公设备</v>
          </cell>
          <cell r="C270" t="str">
            <v>其他</v>
          </cell>
          <cell r="D270" t="str">
            <v>移动白板</v>
          </cell>
          <cell r="E270" t="str">
            <v>移动白板，1200*900mm</v>
          </cell>
          <cell r="F270" t="str">
            <v>个</v>
          </cell>
          <cell r="G270">
            <v>111.3</v>
          </cell>
        </row>
        <row r="271">
          <cell r="A271" t="str">
            <v>A#267</v>
          </cell>
          <cell r="B271" t="str">
            <v>家具及办公设备</v>
          </cell>
          <cell r="C271" t="str">
            <v>其他</v>
          </cell>
          <cell r="D271" t="str">
            <v>移动白板</v>
          </cell>
          <cell r="E271" t="str">
            <v>移动白板，1800*900mm</v>
          </cell>
          <cell r="F271" t="str">
            <v>个</v>
          </cell>
          <cell r="G271">
            <v>206.7</v>
          </cell>
        </row>
        <row r="272">
          <cell r="A272" t="str">
            <v>A#268</v>
          </cell>
          <cell r="B272" t="str">
            <v>家具及办公设备</v>
          </cell>
          <cell r="C272" t="str">
            <v>其他</v>
          </cell>
          <cell r="D272" t="str">
            <v>插线板</v>
          </cell>
          <cell r="E272" t="str">
            <v>3米，公牛</v>
          </cell>
          <cell r="F272" t="str">
            <v>个</v>
          </cell>
          <cell r="G272">
            <v>31.8</v>
          </cell>
        </row>
        <row r="273">
          <cell r="A273" t="str">
            <v>A#269</v>
          </cell>
          <cell r="B273" t="str">
            <v>家具及办公设备</v>
          </cell>
          <cell r="C273" t="str">
            <v>其他</v>
          </cell>
          <cell r="D273" t="str">
            <v>墨盒</v>
          </cell>
          <cell r="E273" t="str">
            <v>墨盒（黑、黄、红、蓝四色为一套）</v>
          </cell>
          <cell r="F273" t="str">
            <v>套</v>
          </cell>
          <cell r="G273">
            <v>58.3</v>
          </cell>
        </row>
        <row r="274">
          <cell r="A274" t="str">
            <v>A#270</v>
          </cell>
          <cell r="B274" t="str">
            <v>家具及办公设备</v>
          </cell>
          <cell r="C274" t="str">
            <v>其他</v>
          </cell>
          <cell r="D274" t="str">
            <v>硒鼓</v>
          </cell>
          <cell r="E274" t="str">
            <v>-</v>
          </cell>
          <cell r="F274" t="str">
            <v>套</v>
          </cell>
          <cell r="G274">
            <v>42.4</v>
          </cell>
        </row>
        <row r="275">
          <cell r="A275" t="str">
            <v>A#271</v>
          </cell>
          <cell r="B275" t="str">
            <v>家具及办公设备</v>
          </cell>
          <cell r="C275" t="str">
            <v>其他</v>
          </cell>
          <cell r="D275" t="str">
            <v>小型绿植</v>
          </cell>
          <cell r="E275" t="str">
            <v>小型盆栽（如多肉植物、小绿萝等）</v>
          </cell>
          <cell r="F275" t="str">
            <v>盆</v>
          </cell>
          <cell r="G275">
            <v>21.2</v>
          </cell>
        </row>
        <row r="276">
          <cell r="A276" t="str">
            <v>A#272</v>
          </cell>
          <cell r="B276" t="str">
            <v>家具及办公设备</v>
          </cell>
          <cell r="C276" t="str">
            <v>其他</v>
          </cell>
          <cell r="D276" t="str">
            <v>大型绿植</v>
          </cell>
          <cell r="E276" t="str">
            <v>大型景观绿植（如绿萝、散尾葵等）</v>
          </cell>
          <cell r="F276" t="str">
            <v>盆</v>
          </cell>
          <cell r="G276">
            <v>74.2</v>
          </cell>
        </row>
        <row r="277">
          <cell r="A277" t="str">
            <v>A#273</v>
          </cell>
          <cell r="B277" t="str">
            <v>家具及办公设备</v>
          </cell>
          <cell r="C277" t="str">
            <v>其他</v>
          </cell>
          <cell r="D277" t="str">
            <v>演讲台花</v>
          </cell>
          <cell r="E277" t="str">
            <v>鲜花</v>
          </cell>
          <cell r="F277" t="str">
            <v>个</v>
          </cell>
          <cell r="G277">
            <v>445.2</v>
          </cell>
        </row>
        <row r="278">
          <cell r="A278" t="str">
            <v>A#274</v>
          </cell>
          <cell r="B278" t="str">
            <v>家具及办公设备</v>
          </cell>
          <cell r="C278" t="str">
            <v>其他</v>
          </cell>
          <cell r="D278" t="str">
            <v>移动厕所租赁</v>
          </cell>
          <cell r="E278" t="str">
            <v>无冲水，泡沫封，塑料外壳</v>
          </cell>
          <cell r="F278" t="str">
            <v>每个每天</v>
          </cell>
        </row>
        <row r="279">
          <cell r="A279" t="str">
            <v>A#275</v>
          </cell>
          <cell r="B279" t="str">
            <v>家具及办公设备</v>
          </cell>
          <cell r="C279" t="str">
            <v>其他</v>
          </cell>
          <cell r="D279" t="str">
            <v>大型垃圾桶租赁</v>
          </cell>
          <cell r="E279" t="str">
            <v>240升，含垃圾袋，3天为一个展期</v>
          </cell>
          <cell r="F279" t="str">
            <v>个/展期</v>
          </cell>
        </row>
        <row r="280">
          <cell r="A280" t="str">
            <v>A#276</v>
          </cell>
          <cell r="B280" t="str">
            <v>家具及办公设备</v>
          </cell>
          <cell r="C280" t="str">
            <v>柱头牌</v>
          </cell>
          <cell r="D280" t="str">
            <v>A3柱头牌</v>
          </cell>
          <cell r="E280" t="str">
            <v>说明：铁质喷漆
 规格：A3大小</v>
          </cell>
          <cell r="F280" t="str">
            <v>个</v>
          </cell>
          <cell r="G280">
            <v>106</v>
          </cell>
        </row>
        <row r="281">
          <cell r="A281" t="str">
            <v>A#277</v>
          </cell>
          <cell r="B281" t="str">
            <v>家具及办公设备</v>
          </cell>
          <cell r="C281" t="str">
            <v>柱头牌</v>
          </cell>
          <cell r="D281" t="str">
            <v>A4柱头牌</v>
          </cell>
          <cell r="E281" t="str">
            <v>说明：铁质喷漆
 规格：A4大小</v>
          </cell>
          <cell r="F281" t="str">
            <v>个</v>
          </cell>
          <cell r="G281">
            <v>106</v>
          </cell>
        </row>
        <row r="282">
          <cell r="A282" t="str">
            <v>A#278</v>
          </cell>
          <cell r="B282" t="str">
            <v>隔离物</v>
          </cell>
          <cell r="C282" t="str">
            <v>隔离物</v>
          </cell>
          <cell r="D282" t="str">
            <v>一米栏</v>
          </cell>
          <cell r="E282" t="str">
            <v>租赁价，3天为1展期</v>
          </cell>
          <cell r="F282" t="str">
            <v>个</v>
          </cell>
          <cell r="G282">
            <v>32.86</v>
          </cell>
        </row>
        <row r="283">
          <cell r="A283" t="str">
            <v>A#279</v>
          </cell>
          <cell r="B283" t="str">
            <v>隔离物</v>
          </cell>
          <cell r="C283" t="str">
            <v>隔离物</v>
          </cell>
          <cell r="D283" t="str">
            <v>铁质护栏</v>
          </cell>
          <cell r="E283" t="str">
            <v>租赁价，3天为1展期</v>
          </cell>
          <cell r="F283" t="str">
            <v>个</v>
          </cell>
          <cell r="G283">
            <v>53</v>
          </cell>
        </row>
        <row r="284">
          <cell r="A284" t="str">
            <v>A#280</v>
          </cell>
          <cell r="B284" t="str">
            <v>隔离物</v>
          </cell>
          <cell r="C284" t="str">
            <v>隔离物</v>
          </cell>
          <cell r="D284" t="str">
            <v>防爆铁马</v>
          </cell>
          <cell r="E284" t="str">
            <v>租赁价，3天为1展期</v>
          </cell>
          <cell r="F284" t="str">
            <v>个</v>
          </cell>
          <cell r="G284">
            <v>106</v>
          </cell>
        </row>
        <row r="285">
          <cell r="A285" t="str">
            <v>A#281</v>
          </cell>
          <cell r="B285" t="str">
            <v>电器</v>
          </cell>
          <cell r="C285" t="str">
            <v>电器</v>
          </cell>
          <cell r="D285" t="str">
            <v>空调</v>
          </cell>
          <cell r="E285" t="str">
            <v>2匹，租赁价，3天为1展期</v>
          </cell>
          <cell r="F285" t="str">
            <v>台</v>
          </cell>
          <cell r="G285">
            <v>1400</v>
          </cell>
        </row>
        <row r="286">
          <cell r="A286" t="str">
            <v>A#282</v>
          </cell>
          <cell r="B286" t="str">
            <v>电器</v>
          </cell>
          <cell r="C286" t="str">
            <v>电器</v>
          </cell>
          <cell r="D286" t="str">
            <v>空调</v>
          </cell>
          <cell r="E286" t="str">
            <v>5匹，租赁价，3天为1展期</v>
          </cell>
          <cell r="F286" t="str">
            <v>台</v>
          </cell>
          <cell r="G286">
            <v>2433.33</v>
          </cell>
        </row>
        <row r="287">
          <cell r="A287" t="str">
            <v>A#283</v>
          </cell>
          <cell r="B287" t="str">
            <v>电器</v>
          </cell>
          <cell r="C287" t="str">
            <v>电器</v>
          </cell>
          <cell r="D287" t="str">
            <v>配电箱</v>
          </cell>
          <cell r="E287" t="str">
            <v>配电箱（单相，32 A ）</v>
          </cell>
          <cell r="F287" t="str">
            <v>台</v>
          </cell>
          <cell r="G287">
            <v>483.33</v>
          </cell>
        </row>
        <row r="288">
          <cell r="A288" t="str">
            <v>A#284</v>
          </cell>
          <cell r="B288" t="str">
            <v>隔断</v>
          </cell>
          <cell r="C288" t="str">
            <v>铝料间</v>
          </cell>
          <cell r="D288" t="str">
            <v>铝料间搭建</v>
          </cell>
          <cell r="E288" t="str">
            <v>工作间、休息室、物料间临时搭建。3天为1展期</v>
          </cell>
          <cell r="F288" t="str">
            <v>平米</v>
          </cell>
        </row>
        <row r="289">
          <cell r="A289" t="str">
            <v>A#285</v>
          </cell>
          <cell r="B289" t="str">
            <v>篷房</v>
          </cell>
          <cell r="C289" t="str">
            <v>篷房</v>
          </cell>
          <cell r="D289" t="str">
            <v>小篷房（玻璃墙面）</v>
          </cell>
          <cell r="E289" t="str">
            <v>德也或国产品牌同级，小于100平米。包含结构、地板、玻璃墙面及空调，租赁价，3天为1展期</v>
          </cell>
          <cell r="F289" t="str">
            <v>平米</v>
          </cell>
        </row>
        <row r="290">
          <cell r="A290" t="str">
            <v>A#286</v>
          </cell>
          <cell r="B290" t="str">
            <v>篷房</v>
          </cell>
          <cell r="C290" t="str">
            <v>篷房</v>
          </cell>
          <cell r="D290" t="str">
            <v>中篷房（玻璃墙面）</v>
          </cell>
          <cell r="E290" t="str">
            <v>德也或国产品牌同级，100-500平米区间。包含结构、地板、玻璃墙面及空调，租赁价，3天为1展期</v>
          </cell>
          <cell r="F290" t="str">
            <v>平米</v>
          </cell>
        </row>
        <row r="291">
          <cell r="A291" t="str">
            <v>A#287</v>
          </cell>
          <cell r="B291" t="str">
            <v>篷房</v>
          </cell>
          <cell r="C291" t="str">
            <v>篷房</v>
          </cell>
          <cell r="D291" t="str">
            <v>大篷房（玻璃墙面）</v>
          </cell>
          <cell r="E291" t="str">
            <v>德也或国产品牌同级，500平米以上面积。包含结构、地板、玻璃墙面及空调，租赁价，3天为1展期</v>
          </cell>
          <cell r="F291" t="str">
            <v>平米</v>
          </cell>
        </row>
        <row r="292">
          <cell r="A292" t="str">
            <v>A#288</v>
          </cell>
          <cell r="B292" t="str">
            <v>篷房</v>
          </cell>
          <cell r="C292" t="str">
            <v>篷房</v>
          </cell>
          <cell r="D292" t="str">
            <v>小篷房（篷布墙面）</v>
          </cell>
          <cell r="E292" t="str">
            <v>德也或国产品牌同级，小于100平米。包含结构、地板、篷布墙面及空调，租赁价，3天为1展期</v>
          </cell>
          <cell r="F292" t="str">
            <v>平米</v>
          </cell>
        </row>
        <row r="293">
          <cell r="A293" t="str">
            <v>A#289</v>
          </cell>
          <cell r="B293" t="str">
            <v>篷房</v>
          </cell>
          <cell r="C293" t="str">
            <v>篷房</v>
          </cell>
          <cell r="D293" t="str">
            <v>中篷房（篷布墙面）</v>
          </cell>
          <cell r="E293" t="str">
            <v>德也或国产品牌同级，100-500平米区间。包含结构、地板、篷布墙面及空调，租赁价，3天为1展期</v>
          </cell>
          <cell r="F293" t="str">
            <v>平米</v>
          </cell>
        </row>
        <row r="294">
          <cell r="A294" t="str">
            <v>A#290</v>
          </cell>
          <cell r="B294" t="str">
            <v>篷房</v>
          </cell>
          <cell r="C294" t="str">
            <v>篷房</v>
          </cell>
          <cell r="D294" t="str">
            <v>大篷房（篷布墙面）</v>
          </cell>
          <cell r="E294" t="str">
            <v>德也或国产品牌同级，500平米以上面积。包含结构、地板、篷布墙面及空调，租赁价，3天为1展期</v>
          </cell>
          <cell r="F294" t="str">
            <v>平米</v>
          </cell>
        </row>
        <row r="295">
          <cell r="A295" t="str">
            <v>A#291</v>
          </cell>
          <cell r="B295" t="str">
            <v>篷房</v>
          </cell>
          <cell r="C295" t="str">
            <v>篷房</v>
          </cell>
          <cell r="D295" t="str">
            <v>户外小帐篷</v>
          </cell>
          <cell r="E295" t="str">
            <v>3mL*3mW，租赁价，3天为1展期</v>
          </cell>
          <cell r="F295" t="str">
            <v>个</v>
          </cell>
        </row>
        <row r="296">
          <cell r="A296" t="str">
            <v>A#292</v>
          </cell>
          <cell r="B296" t="str">
            <v>篷房</v>
          </cell>
          <cell r="C296" t="str">
            <v>篷房</v>
          </cell>
          <cell r="D296" t="str">
            <v>户外中帐篷</v>
          </cell>
          <cell r="E296" t="str">
            <v>3mL*6mW，租赁价，3天为1展期</v>
          </cell>
          <cell r="F296" t="str">
            <v>个</v>
          </cell>
        </row>
        <row r="297">
          <cell r="A297" t="str">
            <v>A#293</v>
          </cell>
          <cell r="B297" t="str">
            <v>安装及运输</v>
          </cell>
          <cell r="C297" t="str">
            <v>安装设备</v>
          </cell>
          <cell r="D297" t="str">
            <v>升降机</v>
          </cell>
          <cell r="E297" t="str">
            <v>商业渠道租赁，不含场馆、酒店等指定渠道</v>
          </cell>
          <cell r="F297" t="str">
            <v>台</v>
          </cell>
        </row>
        <row r="298">
          <cell r="A298" t="str">
            <v>A#294</v>
          </cell>
          <cell r="B298" t="str">
            <v>安装及运输</v>
          </cell>
          <cell r="C298" t="str">
            <v>安装设备</v>
          </cell>
          <cell r="D298" t="str">
            <v>叉车</v>
          </cell>
          <cell r="E298" t="str">
            <v>普通3吨叉车</v>
          </cell>
          <cell r="F298" t="str">
            <v>台</v>
          </cell>
        </row>
        <row r="299">
          <cell r="A299" t="str">
            <v>A#295</v>
          </cell>
          <cell r="B299" t="str">
            <v>车辆</v>
          </cell>
          <cell r="C299" t="str">
            <v>车辆物流</v>
          </cell>
          <cell r="D299" t="str">
            <v>货车-市内运输</v>
          </cell>
          <cell r="E299" t="str">
            <v>金杯车运输，距离30km内</v>
          </cell>
          <cell r="F299" t="str">
            <v>车次</v>
          </cell>
          <cell r="G299">
            <v>486.67</v>
          </cell>
        </row>
        <row r="300">
          <cell r="A300" t="str">
            <v>A#296</v>
          </cell>
          <cell r="B300" t="str">
            <v>车辆</v>
          </cell>
          <cell r="C300" t="str">
            <v>车辆物流</v>
          </cell>
          <cell r="D300" t="str">
            <v>货车-市内运输</v>
          </cell>
          <cell r="E300" t="str">
            <v>4.2m 货车，距离30km内</v>
          </cell>
          <cell r="F300" t="str">
            <v>车次</v>
          </cell>
          <cell r="G300">
            <v>833.33</v>
          </cell>
        </row>
        <row r="301">
          <cell r="A301" t="str">
            <v>A#297</v>
          </cell>
          <cell r="B301" t="str">
            <v>车辆</v>
          </cell>
          <cell r="C301" t="str">
            <v>车辆物流</v>
          </cell>
          <cell r="D301" t="str">
            <v>货车-市内运输</v>
          </cell>
          <cell r="E301" t="str">
            <v>6.2m 货车，距离30km内</v>
          </cell>
          <cell r="F301" t="str">
            <v>车次</v>
          </cell>
          <cell r="G301">
            <v>1353.33</v>
          </cell>
        </row>
        <row r="302">
          <cell r="A302" t="str">
            <v>A#298</v>
          </cell>
          <cell r="B302" t="str">
            <v>车辆</v>
          </cell>
          <cell r="C302" t="str">
            <v>车辆物流</v>
          </cell>
          <cell r="D302" t="str">
            <v>货车-市内运输</v>
          </cell>
          <cell r="E302" t="str">
            <v>7.2m 货车，距离30km内</v>
          </cell>
          <cell r="F302" t="str">
            <v>车次</v>
          </cell>
          <cell r="G302">
            <v>1533.33</v>
          </cell>
        </row>
        <row r="303">
          <cell r="A303" t="str">
            <v>A#299</v>
          </cell>
          <cell r="B303" t="str">
            <v>车辆</v>
          </cell>
          <cell r="C303" t="str">
            <v>车辆物流</v>
          </cell>
          <cell r="D303" t="str">
            <v>货车-市内运输</v>
          </cell>
          <cell r="E303" t="str">
            <v>9.6m 货车，距离30km内</v>
          </cell>
          <cell r="F303" t="str">
            <v>车次</v>
          </cell>
          <cell r="G303">
            <v>1600</v>
          </cell>
        </row>
        <row r="304">
          <cell r="A304" t="str">
            <v>A#300</v>
          </cell>
          <cell r="B304" t="str">
            <v>车辆</v>
          </cell>
          <cell r="C304" t="str">
            <v>车辆物流</v>
          </cell>
          <cell r="D304" t="str">
            <v>货车-市内运输</v>
          </cell>
          <cell r="E304" t="str">
            <v>12.5m 货车，距离30km内</v>
          </cell>
          <cell r="F304" t="str">
            <v>车次</v>
          </cell>
          <cell r="G304">
            <v>2066.67</v>
          </cell>
        </row>
        <row r="305">
          <cell r="A305" t="str">
            <v>A#301</v>
          </cell>
          <cell r="B305" t="str">
            <v>车辆</v>
          </cell>
          <cell r="C305" t="str">
            <v>车辆物流</v>
          </cell>
          <cell r="D305" t="str">
            <v>货车-市内运输</v>
          </cell>
          <cell r="E305" t="str">
            <v>15m 货车，距离30km内</v>
          </cell>
          <cell r="F305" t="str">
            <v>车次</v>
          </cell>
          <cell r="G305">
            <v>2300</v>
          </cell>
        </row>
        <row r="306">
          <cell r="A306" t="str">
            <v>A#302</v>
          </cell>
          <cell r="B306" t="str">
            <v>车辆</v>
          </cell>
          <cell r="C306" t="str">
            <v>车辆物流</v>
          </cell>
          <cell r="D306" t="str">
            <v>货车-市内运输</v>
          </cell>
          <cell r="E306" t="str">
            <v>17.5m 货车，距离30km内</v>
          </cell>
          <cell r="F306" t="str">
            <v>车次</v>
          </cell>
          <cell r="G306">
            <v>2756</v>
          </cell>
        </row>
        <row r="307">
          <cell r="A307" t="str">
            <v>A#303</v>
          </cell>
          <cell r="B307" t="str">
            <v>车辆</v>
          </cell>
          <cell r="C307" t="str">
            <v>车辆物流</v>
          </cell>
          <cell r="D307" t="str">
            <v>货车-城际运输</v>
          </cell>
          <cell r="E307" t="str">
            <v>金杯车运输</v>
          </cell>
          <cell r="F307" t="str">
            <v>每车每公里</v>
          </cell>
          <cell r="G307">
            <v>7</v>
          </cell>
        </row>
        <row r="308">
          <cell r="A308" t="str">
            <v>A#304</v>
          </cell>
          <cell r="B308" t="str">
            <v>车辆</v>
          </cell>
          <cell r="C308" t="str">
            <v>车辆物流</v>
          </cell>
          <cell r="D308" t="str">
            <v>货车-城际运输</v>
          </cell>
          <cell r="E308" t="str">
            <v>4.2m 货车</v>
          </cell>
          <cell r="F308" t="str">
            <v>每车每公里</v>
          </cell>
          <cell r="G308">
            <v>8.48</v>
          </cell>
        </row>
        <row r="309">
          <cell r="A309" t="str">
            <v>A#305</v>
          </cell>
          <cell r="B309" t="str">
            <v>车辆</v>
          </cell>
          <cell r="C309" t="str">
            <v>车辆物流</v>
          </cell>
          <cell r="D309" t="str">
            <v>货车-城际运输</v>
          </cell>
          <cell r="E309" t="str">
            <v>6.2m 货车</v>
          </cell>
          <cell r="F309" t="str">
            <v>每车每公里</v>
          </cell>
          <cell r="G309">
            <v>9.5399999999999991</v>
          </cell>
        </row>
        <row r="310">
          <cell r="A310" t="str">
            <v>A#306</v>
          </cell>
          <cell r="B310" t="str">
            <v>车辆</v>
          </cell>
          <cell r="C310" t="str">
            <v>车辆物流</v>
          </cell>
          <cell r="D310" t="str">
            <v>货车-城际运输</v>
          </cell>
          <cell r="E310" t="str">
            <v>9.6m 货车</v>
          </cell>
          <cell r="F310" t="str">
            <v>每车每公里</v>
          </cell>
          <cell r="G310">
            <v>10</v>
          </cell>
        </row>
        <row r="311">
          <cell r="A311" t="str">
            <v>A#307</v>
          </cell>
          <cell r="B311" t="str">
            <v>车辆</v>
          </cell>
          <cell r="C311" t="str">
            <v>车辆物流</v>
          </cell>
          <cell r="D311" t="str">
            <v>货车-城际运输</v>
          </cell>
          <cell r="E311" t="str">
            <v>12.5m 货车</v>
          </cell>
          <cell r="F311" t="str">
            <v>每车每公里</v>
          </cell>
          <cell r="G311">
            <v>14</v>
          </cell>
        </row>
        <row r="312">
          <cell r="A312" t="str">
            <v>A#308</v>
          </cell>
          <cell r="B312" t="str">
            <v>车辆</v>
          </cell>
          <cell r="C312" t="str">
            <v>车辆物流</v>
          </cell>
          <cell r="D312" t="str">
            <v>货车-城际运输</v>
          </cell>
          <cell r="E312" t="str">
            <v>17.5m 货车</v>
          </cell>
          <cell r="F312" t="str">
            <v>每车每公里</v>
          </cell>
          <cell r="G312">
            <v>18.02</v>
          </cell>
        </row>
        <row r="313">
          <cell r="A313" t="str">
            <v>AVL设备类</v>
          </cell>
        </row>
        <row r="314">
          <cell r="A314" t="str">
            <v>B#001</v>
          </cell>
          <cell r="B314" t="str">
            <v>视频</v>
          </cell>
          <cell r="C314" t="str">
            <v>LED</v>
          </cell>
          <cell r="D314" t="str">
            <v>P1.8 LED Display Indoor Screen
 国产 P1.8 室内显示屏</v>
          </cell>
          <cell r="E314" t="str">
            <v>光翔、利亚德，每场为5天，每增加1天按0.5场核算</v>
          </cell>
          <cell r="F314" t="str">
            <v>平米</v>
          </cell>
          <cell r="G314">
            <v>1060</v>
          </cell>
        </row>
        <row r="315">
          <cell r="A315" t="str">
            <v>B#002</v>
          </cell>
          <cell r="B315" t="str">
            <v>视频</v>
          </cell>
          <cell r="C315" t="str">
            <v>LED</v>
          </cell>
          <cell r="D315" t="str">
            <v>P2 LED Display Indoor Screen
 国产 P2.5 室内显示屏</v>
          </cell>
          <cell r="E315" t="str">
            <v>光翔、利亚德，每场为5天，每增加1天按0.5场核算</v>
          </cell>
          <cell r="F315" t="str">
            <v>平米</v>
          </cell>
          <cell r="G315">
            <v>742</v>
          </cell>
        </row>
        <row r="316">
          <cell r="A316" t="str">
            <v>B#003</v>
          </cell>
          <cell r="B316" t="str">
            <v>视频</v>
          </cell>
          <cell r="C316" t="str">
            <v>LED</v>
          </cell>
          <cell r="D316" t="str">
            <v>P3 LED Display Indoor Screen
 国产 P3 室内显示屏</v>
          </cell>
          <cell r="E316" t="str">
            <v>光翔</v>
          </cell>
          <cell r="F316" t="str">
            <v>平米</v>
          </cell>
          <cell r="G316">
            <v>466.4</v>
          </cell>
        </row>
        <row r="317">
          <cell r="A317" t="str">
            <v>B#004</v>
          </cell>
          <cell r="B317" t="str">
            <v>视频</v>
          </cell>
          <cell r="C317" t="str">
            <v>LED</v>
          </cell>
          <cell r="D317" t="str">
            <v>P4 LED Display Indoor Screen
 国产 P4 室内显示屏</v>
          </cell>
          <cell r="E317" t="str">
            <v>光翔</v>
          </cell>
          <cell r="F317" t="str">
            <v>平米</v>
          </cell>
          <cell r="G317">
            <v>371</v>
          </cell>
        </row>
        <row r="318">
          <cell r="A318" t="str">
            <v>B#005</v>
          </cell>
          <cell r="B318" t="str">
            <v>视频</v>
          </cell>
          <cell r="C318" t="str">
            <v>LED</v>
          </cell>
          <cell r="D318" t="str">
            <v>P4 LED Display Outdoor Screen
 国产 P4 户外显示屏</v>
          </cell>
          <cell r="E318" t="str">
            <v>光翔</v>
          </cell>
          <cell r="F318" t="str">
            <v>平米</v>
          </cell>
          <cell r="G318">
            <v>400</v>
          </cell>
        </row>
        <row r="319">
          <cell r="A319" t="str">
            <v>B#006</v>
          </cell>
          <cell r="B319" t="str">
            <v>视频</v>
          </cell>
          <cell r="C319" t="str">
            <v>LED透明屏</v>
          </cell>
          <cell r="D319" t="str">
            <v>VTEAM 3.9mm Transparent Panel（500*1000mm）G3.9透明防水LED</v>
          </cell>
          <cell r="E319" t="str">
            <v>威特姆</v>
          </cell>
          <cell r="F319" t="str">
            <v>平米</v>
          </cell>
          <cell r="G319">
            <v>750</v>
          </cell>
        </row>
        <row r="320">
          <cell r="A320" t="str">
            <v>B#007</v>
          </cell>
          <cell r="B320" t="str">
            <v>视频</v>
          </cell>
          <cell r="C320" t="str">
            <v>LED透明屏</v>
          </cell>
          <cell r="D320" t="str">
            <v>（500*1000mm）G3.9透明防水LED（黑色）</v>
          </cell>
          <cell r="E320" t="str">
            <v>秀狐/光翔</v>
          </cell>
          <cell r="F320" t="str">
            <v>平米</v>
          </cell>
          <cell r="G320">
            <v>848</v>
          </cell>
        </row>
        <row r="321">
          <cell r="A321" t="str">
            <v>B#008</v>
          </cell>
          <cell r="B321" t="str">
            <v>视频</v>
          </cell>
          <cell r="C321" t="str">
            <v>LED地屏</v>
          </cell>
          <cell r="D321" t="str">
            <v>P3 floor LED Screen
 国产 P3 地屏</v>
          </cell>
          <cell r="E321" t="str">
            <v>光翔</v>
          </cell>
          <cell r="F321" t="str">
            <v>平米</v>
          </cell>
          <cell r="G321">
            <v>530</v>
          </cell>
        </row>
        <row r="322">
          <cell r="A322" t="str">
            <v>B#009</v>
          </cell>
          <cell r="B322" t="str">
            <v>视频</v>
          </cell>
          <cell r="C322" t="str">
            <v>LED地屏</v>
          </cell>
          <cell r="D322" t="str">
            <v>P4 floor LED Screen
 国产 P4 地屏</v>
          </cell>
          <cell r="E322" t="str">
            <v>光翔</v>
          </cell>
          <cell r="F322" t="str">
            <v>平米</v>
          </cell>
          <cell r="G322">
            <v>371</v>
          </cell>
        </row>
        <row r="323">
          <cell r="A323" t="str">
            <v>B#010</v>
          </cell>
          <cell r="B323" t="str">
            <v>视频</v>
          </cell>
          <cell r="C323" t="str">
            <v>LED地屏</v>
          </cell>
          <cell r="D323" t="str">
            <v>P6 floor LED Screen
 国产 P6 地屏</v>
          </cell>
          <cell r="E323" t="str">
            <v>光翔</v>
          </cell>
          <cell r="F323" t="str">
            <v>平米</v>
          </cell>
          <cell r="G323">
            <v>318</v>
          </cell>
        </row>
        <row r="324">
          <cell r="A324" t="str">
            <v>B#011</v>
          </cell>
          <cell r="B324" t="str">
            <v>视频</v>
          </cell>
          <cell r="C324" t="str">
            <v>LED柔性屏</v>
          </cell>
          <cell r="D324" t="str">
            <v>P2 LED Display Indoor Screen
 国产 P2.6 室内柔性屏</v>
          </cell>
          <cell r="E324" t="str">
            <v>光翔</v>
          </cell>
          <cell r="F324" t="str">
            <v>平米</v>
          </cell>
          <cell r="G324">
            <v>1060</v>
          </cell>
        </row>
        <row r="325">
          <cell r="A325" t="str">
            <v>B#012</v>
          </cell>
          <cell r="B325" t="str">
            <v>视频</v>
          </cell>
          <cell r="C325" t="str">
            <v>LED柔性屏</v>
          </cell>
          <cell r="D325" t="str">
            <v>P3 LED Display Indoor Screen
 国产 P3 柔性屏</v>
          </cell>
          <cell r="E325" t="str">
            <v>光翔</v>
          </cell>
          <cell r="F325" t="str">
            <v>平米</v>
          </cell>
          <cell r="G325">
            <v>848</v>
          </cell>
        </row>
        <row r="326">
          <cell r="A326" t="str">
            <v>B#013</v>
          </cell>
          <cell r="B326" t="str">
            <v>视频</v>
          </cell>
          <cell r="C326" t="str">
            <v>LED斜角屏</v>
          </cell>
          <cell r="D326" t="str">
            <v>P3 LED Display Indoor Screen
 国产 P3 斜角屏</v>
          </cell>
          <cell r="E326" t="str">
            <v>光翔</v>
          </cell>
          <cell r="F326" t="str">
            <v>平米</v>
          </cell>
          <cell r="G326">
            <v>530</v>
          </cell>
        </row>
        <row r="327">
          <cell r="A327" t="str">
            <v>B#014</v>
          </cell>
          <cell r="B327" t="str">
            <v>视频</v>
          </cell>
          <cell r="C327" t="str">
            <v>LED户外屏</v>
          </cell>
          <cell r="D327" t="str">
            <v>P3 LED Display Indoor Screen
 国产 P3 户外防水屏</v>
          </cell>
          <cell r="E327" t="str">
            <v>光翔</v>
          </cell>
          <cell r="F327" t="str">
            <v>平米</v>
          </cell>
          <cell r="G327">
            <v>424</v>
          </cell>
        </row>
        <row r="328">
          <cell r="A328" t="str">
            <v>B#015</v>
          </cell>
          <cell r="B328" t="str">
            <v>视频</v>
          </cell>
          <cell r="C328" t="str">
            <v>触控一体机</v>
          </cell>
          <cell r="D328" t="str">
            <v>智能触控一体机</v>
          </cell>
          <cell r="E328" t="str">
            <v>每场为3天，每增加一天按0.5场计费</v>
          </cell>
          <cell r="F328" t="str">
            <v>台</v>
          </cell>
          <cell r="G328">
            <v>1060</v>
          </cell>
        </row>
        <row r="329">
          <cell r="A329" t="str">
            <v>B#016</v>
          </cell>
          <cell r="B329" t="str">
            <v>视频</v>
          </cell>
          <cell r="C329" t="str">
            <v>进口投影</v>
          </cell>
          <cell r="D329" t="str">
            <v>进口 22000流明 4K</v>
          </cell>
          <cell r="E329" t="str">
            <v>Barco、Panasonic同等级高端4K激光投影机</v>
          </cell>
          <cell r="F329" t="str">
            <v>台</v>
          </cell>
        </row>
        <row r="330">
          <cell r="A330" t="str">
            <v>B#017</v>
          </cell>
          <cell r="B330" t="str">
            <v>视频</v>
          </cell>
          <cell r="C330" t="str">
            <v>进口投影</v>
          </cell>
          <cell r="D330" t="str">
            <v>进口 32000流明 4K</v>
          </cell>
          <cell r="E330" t="str">
            <v>Barco、Panasonic同等级高端4K激光投影机</v>
          </cell>
          <cell r="F330" t="str">
            <v>台</v>
          </cell>
        </row>
        <row r="331">
          <cell r="A331" t="str">
            <v>B#018</v>
          </cell>
          <cell r="B331" t="str">
            <v>视频</v>
          </cell>
          <cell r="C331" t="str">
            <v>进口投影</v>
          </cell>
          <cell r="D331" t="str">
            <v>激光投影机 12000流明以下</v>
          </cell>
          <cell r="E331" t="str">
            <v>Barco、Panasonic同等级高端激光投影机</v>
          </cell>
          <cell r="F331" t="str">
            <v>台</v>
          </cell>
          <cell r="G331">
            <v>8480</v>
          </cell>
        </row>
        <row r="332">
          <cell r="A332" t="str">
            <v>B#019</v>
          </cell>
          <cell r="B332" t="str">
            <v>视频</v>
          </cell>
          <cell r="C332" t="str">
            <v>进口投影</v>
          </cell>
          <cell r="D332" t="str">
            <v>激光投影机 22000流明</v>
          </cell>
          <cell r="E332" t="str">
            <v>Barco、Panasonic同等级高端激光投影机</v>
          </cell>
          <cell r="F332" t="str">
            <v>台</v>
          </cell>
          <cell r="G332">
            <v>10600</v>
          </cell>
        </row>
        <row r="333">
          <cell r="A333" t="str">
            <v>B#020</v>
          </cell>
          <cell r="B333" t="str">
            <v>视频</v>
          </cell>
          <cell r="C333" t="str">
            <v>进口投影</v>
          </cell>
          <cell r="D333" t="str">
            <v>激光投影机 32000流明</v>
          </cell>
          <cell r="E333" t="str">
            <v>Barco、Panasonic同等级高端激光投影机</v>
          </cell>
          <cell r="F333" t="str">
            <v>台</v>
          </cell>
        </row>
        <row r="334">
          <cell r="A334" t="str">
            <v>B#021</v>
          </cell>
          <cell r="B334" t="str">
            <v>视频</v>
          </cell>
          <cell r="C334" t="str">
            <v>进口投影</v>
          </cell>
          <cell r="D334" t="str">
            <v>激光投影机 35000流明</v>
          </cell>
          <cell r="E334" t="str">
            <v>Barco、Panasonic同等级高端激光投影机</v>
          </cell>
          <cell r="F334" t="str">
            <v>台</v>
          </cell>
        </row>
        <row r="335">
          <cell r="A335" t="str">
            <v>B#022</v>
          </cell>
          <cell r="B335" t="str">
            <v>视频</v>
          </cell>
          <cell r="C335" t="str">
            <v>进口投影</v>
          </cell>
          <cell r="D335" t="str">
            <v>激光投影机 40000流明</v>
          </cell>
          <cell r="E335" t="str">
            <v>Barco、Panasonic同等级高端激光投影机</v>
          </cell>
          <cell r="F335" t="str">
            <v>台</v>
          </cell>
        </row>
        <row r="336">
          <cell r="A336" t="str">
            <v>B#023</v>
          </cell>
          <cell r="B336" t="str">
            <v>视频</v>
          </cell>
          <cell r="C336" t="str">
            <v>进口投影</v>
          </cell>
          <cell r="D336" t="str">
            <v>激光投影机 52000流明</v>
          </cell>
          <cell r="E336" t="str">
            <v>Barco、Panasonic同等级高端激光投影机</v>
          </cell>
          <cell r="F336" t="str">
            <v>台</v>
          </cell>
        </row>
        <row r="337">
          <cell r="A337" t="str">
            <v>B#024</v>
          </cell>
          <cell r="B337" t="str">
            <v>视频</v>
          </cell>
          <cell r="C337" t="str">
            <v>国产投影</v>
          </cell>
          <cell r="D337" t="str">
            <v>12000流明</v>
          </cell>
          <cell r="E337" t="str">
            <v>SANYO PLC-XF4600C LCD Projector
 SANYO PLC-XF4600C LCD 三洋12000流明投影机</v>
          </cell>
          <cell r="F337" t="str">
            <v>台</v>
          </cell>
          <cell r="G337">
            <v>3816</v>
          </cell>
        </row>
        <row r="338">
          <cell r="A338" t="str">
            <v>B#025</v>
          </cell>
          <cell r="B338" t="str">
            <v>视频</v>
          </cell>
          <cell r="C338" t="str">
            <v>国产投影</v>
          </cell>
          <cell r="D338" t="str">
            <v>10000流明</v>
          </cell>
          <cell r="E338" t="str">
            <v>SANYO PLC-XF710C LCD Projector
 SANYO PLC-XF710C LCD 三洋10000流明投影机</v>
          </cell>
          <cell r="F338" t="str">
            <v>台</v>
          </cell>
          <cell r="G338">
            <v>3180</v>
          </cell>
        </row>
        <row r="339">
          <cell r="A339" t="str">
            <v>B#026</v>
          </cell>
          <cell r="B339" t="str">
            <v>视频</v>
          </cell>
          <cell r="C339" t="str">
            <v>国产投影</v>
          </cell>
          <cell r="D339" t="str">
            <v>6500流明</v>
          </cell>
          <cell r="E339" t="str">
            <v>SANYO PLC-XP1000C LCD Projector
 SANYO PLC-XP1000C LCD 三洋6500流明投影机</v>
          </cell>
          <cell r="F339" t="str">
            <v>台</v>
          </cell>
          <cell r="G339">
            <v>1590</v>
          </cell>
        </row>
        <row r="340">
          <cell r="A340" t="str">
            <v>B#027</v>
          </cell>
          <cell r="B340" t="str">
            <v>视频</v>
          </cell>
          <cell r="C340" t="str">
            <v>Lens 镜头</v>
          </cell>
          <cell r="D340" t="str">
            <v>进口超短焦镜头</v>
          </cell>
          <cell r="E340" t="str">
            <v>Barco TLD+ 0.37 Ultra Short throw lens
 Barco TLD+ 0.37 超短焦镜头</v>
          </cell>
          <cell r="F340" t="str">
            <v>台</v>
          </cell>
          <cell r="G340">
            <v>848</v>
          </cell>
        </row>
        <row r="341">
          <cell r="A341" t="str">
            <v>B#028</v>
          </cell>
          <cell r="B341" t="str">
            <v>视频</v>
          </cell>
          <cell r="C341" t="str">
            <v>Lens 镜头</v>
          </cell>
          <cell r="D341" t="str">
            <v>进口 定焦广角镜头</v>
          </cell>
          <cell r="E341" t="str">
            <v>Barco High Brightness TLD Short Focus Len
 Barco 定焦广角镜头</v>
          </cell>
          <cell r="F341" t="str">
            <v>只</v>
          </cell>
          <cell r="G341">
            <v>848</v>
          </cell>
        </row>
        <row r="342">
          <cell r="A342" t="str">
            <v>B#029</v>
          </cell>
          <cell r="B342" t="str">
            <v>视频</v>
          </cell>
          <cell r="C342" t="str">
            <v>Lens 镜头</v>
          </cell>
          <cell r="D342" t="str">
            <v>进口 变焦中长焦镜头</v>
          </cell>
          <cell r="E342" t="str">
            <v>Barco High Brightness TLD Zoom Len
 Barco 变焦中长焦镜头</v>
          </cell>
          <cell r="F342" t="str">
            <v>只</v>
          </cell>
          <cell r="G342">
            <v>848</v>
          </cell>
        </row>
        <row r="343">
          <cell r="A343" t="str">
            <v>B#030</v>
          </cell>
          <cell r="B343" t="str">
            <v>视频</v>
          </cell>
          <cell r="C343" t="str">
            <v>Lens 镜头</v>
          </cell>
          <cell r="D343" t="str">
            <v>进口 超长焦镜头</v>
          </cell>
          <cell r="E343" t="str">
            <v>Barco High Brightness TLD Long Focus Len
 Barco 超长焦镜头</v>
          </cell>
          <cell r="F343" t="str">
            <v>只</v>
          </cell>
          <cell r="G343">
            <v>848</v>
          </cell>
        </row>
        <row r="344">
          <cell r="A344" t="str">
            <v>B#031</v>
          </cell>
          <cell r="B344" t="str">
            <v>视频</v>
          </cell>
          <cell r="C344" t="str">
            <v>Screen 投影幕</v>
          </cell>
          <cell r="D344" t="str">
            <v>300″Front/Rear Fast-fold Screen
 300 寸正/背折叠投影幕</v>
          </cell>
          <cell r="E344" t="str">
            <v>-</v>
          </cell>
          <cell r="F344" t="str">
            <v>块</v>
          </cell>
          <cell r="G344">
            <v>848</v>
          </cell>
        </row>
        <row r="345">
          <cell r="A345" t="str">
            <v>B#032</v>
          </cell>
          <cell r="B345" t="str">
            <v>视频</v>
          </cell>
          <cell r="C345" t="str">
            <v>Screen 投影幕</v>
          </cell>
          <cell r="D345" t="str">
            <v>250″Front/Rear Fast-fold Screen
 250 寸正/背折叠投影幕</v>
          </cell>
          <cell r="E345" t="str">
            <v>-</v>
          </cell>
          <cell r="F345" t="str">
            <v>块</v>
          </cell>
          <cell r="G345">
            <v>636</v>
          </cell>
        </row>
        <row r="346">
          <cell r="A346" t="str">
            <v>B#033</v>
          </cell>
          <cell r="B346" t="str">
            <v>视频</v>
          </cell>
          <cell r="C346" t="str">
            <v>Screen 投影幕</v>
          </cell>
          <cell r="D346" t="str">
            <v>200″Front/Rear Fast-fold Screen
 200 寸正/背投影幕</v>
          </cell>
          <cell r="E346" t="str">
            <v>-</v>
          </cell>
          <cell r="F346" t="str">
            <v>块</v>
          </cell>
          <cell r="G346">
            <v>530</v>
          </cell>
        </row>
        <row r="347">
          <cell r="A347" t="str">
            <v>B#034</v>
          </cell>
          <cell r="B347" t="str">
            <v>视频</v>
          </cell>
          <cell r="C347" t="str">
            <v>Screen 投影幕</v>
          </cell>
          <cell r="D347" t="str">
            <v>180″Front/Rear Fast-fold Screen
 180 寸正/背折叠投影幕</v>
          </cell>
          <cell r="E347" t="str">
            <v>-</v>
          </cell>
          <cell r="F347" t="str">
            <v>块</v>
          </cell>
          <cell r="G347">
            <v>424</v>
          </cell>
        </row>
        <row r="348">
          <cell r="A348" t="str">
            <v>B#035</v>
          </cell>
          <cell r="B348" t="str">
            <v>视频</v>
          </cell>
          <cell r="C348" t="str">
            <v>Screen 投影幕</v>
          </cell>
          <cell r="D348" t="str">
            <v>150″Front/Rear Fast-fold Screen
 150 寸正/背折叠投影幕</v>
          </cell>
          <cell r="E348" t="str">
            <v>-</v>
          </cell>
          <cell r="F348" t="str">
            <v>块</v>
          </cell>
          <cell r="G348">
            <v>318</v>
          </cell>
        </row>
        <row r="349">
          <cell r="A349" t="str">
            <v>B#036</v>
          </cell>
          <cell r="B349" t="str">
            <v>视频</v>
          </cell>
          <cell r="C349" t="str">
            <v>Screen 投影幕</v>
          </cell>
          <cell r="D349" t="str">
            <v>120″ Front/Rear Fast-fold Screen
 120 寸正/背投影幕</v>
          </cell>
          <cell r="E349" t="str">
            <v>-</v>
          </cell>
          <cell r="F349" t="str">
            <v>块</v>
          </cell>
          <cell r="G349">
            <v>212</v>
          </cell>
        </row>
        <row r="350">
          <cell r="A350" t="str">
            <v>B#037</v>
          </cell>
          <cell r="B350" t="str">
            <v>视频</v>
          </cell>
          <cell r="C350" t="str">
            <v>显示器</v>
          </cell>
          <cell r="D350" t="str">
            <v>100寸等离子</v>
          </cell>
          <cell r="E350" t="str">
            <v>小米/夏普100吋等离子电视</v>
          </cell>
          <cell r="F350" t="str">
            <v>台</v>
          </cell>
          <cell r="G350">
            <v>4333.33</v>
          </cell>
        </row>
        <row r="351">
          <cell r="A351" t="str">
            <v>B#038</v>
          </cell>
          <cell r="B351" t="str">
            <v>视频</v>
          </cell>
          <cell r="C351" t="str">
            <v>显示器</v>
          </cell>
          <cell r="D351" t="str">
            <v>70寸等离子显示器</v>
          </cell>
          <cell r="E351" t="str">
            <v>夏普70液晶电视 70SU665A</v>
          </cell>
          <cell r="F351" t="str">
            <v>台</v>
          </cell>
          <cell r="G351">
            <v>1853.67</v>
          </cell>
        </row>
        <row r="352">
          <cell r="A352" t="str">
            <v>B#039</v>
          </cell>
          <cell r="B352" t="str">
            <v>视频</v>
          </cell>
          <cell r="C352" t="str">
            <v>显示器</v>
          </cell>
          <cell r="D352" t="str">
            <v>65 寸等离子显示器</v>
          </cell>
          <cell r="E352" t="str">
            <v>Panasonic TH-65PF10CK 65″HDTV Plasma Display
 松下65 寸等离子显示器（70“）</v>
          </cell>
          <cell r="F352" t="str">
            <v>台</v>
          </cell>
          <cell r="G352">
            <v>1590</v>
          </cell>
        </row>
        <row r="353">
          <cell r="A353" t="str">
            <v>B#040</v>
          </cell>
          <cell r="B353" t="str">
            <v>视频</v>
          </cell>
          <cell r="C353" t="str">
            <v>显示器</v>
          </cell>
          <cell r="D353" t="str">
            <v>60 寸等离子显示器</v>
          </cell>
          <cell r="E353" t="str">
            <v>LG 60LG63CJ-CA 等离子电视</v>
          </cell>
          <cell r="F353" t="str">
            <v>台</v>
          </cell>
          <cell r="G353">
            <v>636</v>
          </cell>
        </row>
        <row r="354">
          <cell r="A354" t="str">
            <v>B#041</v>
          </cell>
          <cell r="B354" t="str">
            <v>视频</v>
          </cell>
          <cell r="C354" t="str">
            <v>显示器</v>
          </cell>
          <cell r="D354" t="str">
            <v>55寸等离子</v>
          </cell>
          <cell r="E354" t="str">
            <v>小米/夏普55吋等离子 电视</v>
          </cell>
          <cell r="F354" t="str">
            <v xml:space="preserve"> 台 </v>
          </cell>
          <cell r="G354">
            <v>1272</v>
          </cell>
        </row>
        <row r="355">
          <cell r="A355" t="str">
            <v>B#042</v>
          </cell>
          <cell r="B355" t="str">
            <v>视频</v>
          </cell>
          <cell r="C355" t="str">
            <v>显示器</v>
          </cell>
          <cell r="D355" t="str">
            <v>50 寸等离子显示器</v>
          </cell>
          <cell r="E355" t="str">
            <v>Panasonic TH-50PF12CK 50″HDTV Plasma Display
 松下50 寸等离子显示器</v>
          </cell>
          <cell r="F355" t="str">
            <v>台</v>
          </cell>
          <cell r="G355">
            <v>825.74</v>
          </cell>
        </row>
        <row r="356">
          <cell r="A356" t="str">
            <v>B#043</v>
          </cell>
          <cell r="B356" t="str">
            <v>视频</v>
          </cell>
          <cell r="C356" t="str">
            <v>显示器</v>
          </cell>
          <cell r="D356" t="str">
            <v>42 寸等离子显示器</v>
          </cell>
          <cell r="E356" t="str">
            <v>Panasonic TH-42PWD 42″ Plasma Display
 松下42 寸等离子显示器</v>
          </cell>
          <cell r="F356" t="str">
            <v>台</v>
          </cell>
          <cell r="G356">
            <v>521.52</v>
          </cell>
        </row>
        <row r="357">
          <cell r="A357" t="str">
            <v>B#044</v>
          </cell>
          <cell r="B357" t="str">
            <v>视频</v>
          </cell>
          <cell r="C357" t="str">
            <v>显示器</v>
          </cell>
          <cell r="D357" t="str">
            <v>32″ LCD HDTV
 32 寸高清液晶电视</v>
          </cell>
          <cell r="E357" t="str">
            <v>-</v>
          </cell>
          <cell r="F357" t="str">
            <v>台</v>
          </cell>
          <cell r="G357">
            <v>246.98</v>
          </cell>
        </row>
        <row r="358">
          <cell r="A358" t="str">
            <v>B#045</v>
          </cell>
          <cell r="B358" t="str">
            <v>视频</v>
          </cell>
          <cell r="C358" t="str">
            <v>显示器</v>
          </cell>
          <cell r="D358" t="str">
            <v>19-22″ LCD Display
 19-22 寸液晶显示器</v>
          </cell>
          <cell r="E358" t="str">
            <v>-</v>
          </cell>
          <cell r="F358" t="str">
            <v>台</v>
          </cell>
          <cell r="G358">
            <v>161.12</v>
          </cell>
        </row>
        <row r="359">
          <cell r="A359" t="str">
            <v>B#046</v>
          </cell>
          <cell r="B359" t="str">
            <v>视频</v>
          </cell>
          <cell r="C359" t="str">
            <v>Video Control System 
 操作系统--视频处理器</v>
          </cell>
          <cell r="D359" t="str">
            <v>Barco Folsom Encore E2
 Barco Folsom Encore 高清视频处理器</v>
          </cell>
          <cell r="E359" t="str">
            <v>品牌：Barco，型号：E2</v>
          </cell>
          <cell r="F359" t="str">
            <v>台</v>
          </cell>
          <cell r="G359">
            <v>12500</v>
          </cell>
        </row>
        <row r="360">
          <cell r="A360" t="str">
            <v>B#047</v>
          </cell>
          <cell r="B360" t="str">
            <v>视频</v>
          </cell>
          <cell r="C360" t="str">
            <v>Video Control System 
 操作系统--视频处理器</v>
          </cell>
          <cell r="D360" t="str">
            <v>V6服务器-高清视频处理器</v>
          </cell>
          <cell r="E360" t="str">
            <v>MAGNIMAGA V6服务器</v>
          </cell>
          <cell r="F360" t="str">
            <v>台</v>
          </cell>
          <cell r="G360">
            <v>5300</v>
          </cell>
        </row>
        <row r="361">
          <cell r="A361" t="str">
            <v>B#048</v>
          </cell>
          <cell r="B361" t="str">
            <v>视频</v>
          </cell>
          <cell r="C361" t="str">
            <v>Video Control System 
 操作系统--视频处理器</v>
          </cell>
          <cell r="D361" t="str">
            <v>V8服务器-高清视频处理器</v>
          </cell>
          <cell r="E361" t="str">
            <v>MAGNIMAGA V8服务器兼容大中小活动场景</v>
          </cell>
          <cell r="F361" t="str">
            <v>台</v>
          </cell>
          <cell r="G361">
            <v>5733.33</v>
          </cell>
        </row>
        <row r="362">
          <cell r="A362" t="str">
            <v>B#049</v>
          </cell>
          <cell r="B362" t="str">
            <v>视频</v>
          </cell>
          <cell r="C362" t="str">
            <v>Video Control System 
 操作系统--视频处理器</v>
          </cell>
          <cell r="D362" t="str">
            <v>D12-高清视频处理器</v>
          </cell>
          <cell r="E362" t="str">
            <v>NOVASTAR-D12服务器兼容大中小活动场景</v>
          </cell>
          <cell r="F362" t="str">
            <v>台</v>
          </cell>
          <cell r="G362">
            <v>6000</v>
          </cell>
        </row>
        <row r="363">
          <cell r="A363" t="str">
            <v>B#050</v>
          </cell>
          <cell r="B363" t="str">
            <v>视频</v>
          </cell>
          <cell r="C363" t="str">
            <v>Video Control System 
 操作系统--视频处理器</v>
          </cell>
          <cell r="D363" t="str">
            <v>Barco Folsom Encore
 E2 Gen 2 BTO
 Barco Folsom Encore barco高清视频处理器</v>
          </cell>
          <cell r="E363" t="str">
            <v>品牌：Barco，型号：
 E2 Gen 2 BTO处理器-兼容大中小活动使用</v>
          </cell>
          <cell r="F363" t="str">
            <v>台</v>
          </cell>
          <cell r="G363">
            <v>14310</v>
          </cell>
        </row>
        <row r="364">
          <cell r="A364" t="str">
            <v>B#051</v>
          </cell>
          <cell r="B364" t="str">
            <v>视频</v>
          </cell>
          <cell r="C364" t="str">
            <v>Video Control System 
 操作系统--视频处理器</v>
          </cell>
          <cell r="D364" t="str">
            <v>Barco Folsom Encore HD VP 3ME
 Barco Folsom Encore 高清视频处理器</v>
          </cell>
          <cell r="E364" t="str">
            <v>品牌：Barco，型号：VP 3ME</v>
          </cell>
          <cell r="F364" t="str">
            <v>台</v>
          </cell>
          <cell r="G364">
            <v>2120</v>
          </cell>
        </row>
        <row r="365">
          <cell r="A365" t="str">
            <v>B#052</v>
          </cell>
          <cell r="B365" t="str">
            <v>视频</v>
          </cell>
          <cell r="C365" t="str">
            <v>Video Control System 
 操作系统-视频处理器</v>
          </cell>
          <cell r="D365" t="str">
            <v>MAGNIMAGE MIG-V3 2K视频处理器</v>
          </cell>
          <cell r="E365" t="str">
            <v>-</v>
          </cell>
          <cell r="F365" t="str">
            <v>台</v>
          </cell>
          <cell r="G365">
            <v>2544</v>
          </cell>
        </row>
        <row r="366">
          <cell r="A366" t="str">
            <v>B#053</v>
          </cell>
          <cell r="B366" t="str">
            <v>视频</v>
          </cell>
          <cell r="C366" t="str">
            <v>Video Control System 
 操作系统-视频转换器</v>
          </cell>
          <cell r="D366" t="str">
            <v xml:space="preserve">MAGNIMAGE MIG-590 转换器 </v>
          </cell>
          <cell r="E366" t="str">
            <v>-</v>
          </cell>
          <cell r="F366" t="str">
            <v>台</v>
          </cell>
          <cell r="G366">
            <v>900</v>
          </cell>
        </row>
        <row r="367">
          <cell r="A367" t="str">
            <v>B#054</v>
          </cell>
          <cell r="B367" t="str">
            <v>视频</v>
          </cell>
          <cell r="C367" t="str">
            <v>LED处理器</v>
          </cell>
          <cell r="D367" t="str">
            <v>LED/LEC Processor
 国产 LED/LEC 处理器</v>
          </cell>
          <cell r="E367" t="str">
            <v>-</v>
          </cell>
          <cell r="F367" t="str">
            <v>台</v>
          </cell>
          <cell r="G367">
            <v>633.33000000000004</v>
          </cell>
        </row>
        <row r="368">
          <cell r="A368" t="str">
            <v>B#055</v>
          </cell>
          <cell r="B368" t="str">
            <v>视频</v>
          </cell>
          <cell r="C368" t="str">
            <v>Video Control System 
 操作系统-控台</v>
          </cell>
          <cell r="D368" t="str">
            <v>MAGNIMAGE MIG-H1 控制台</v>
          </cell>
          <cell r="E368" t="str">
            <v>-</v>
          </cell>
          <cell r="F368" t="str">
            <v>台</v>
          </cell>
          <cell r="G368">
            <v>2120</v>
          </cell>
        </row>
        <row r="369">
          <cell r="A369" t="str">
            <v>B#056</v>
          </cell>
          <cell r="B369" t="str">
            <v>视频</v>
          </cell>
          <cell r="C369" t="str">
            <v>Video Control System 
 操作系统-控台</v>
          </cell>
          <cell r="D369" t="str">
            <v>BARCO EC40 控制台</v>
          </cell>
          <cell r="E369" t="str">
            <v>Barco 控台，搭配barcoE2/E2lite使用-兼容中小活动场景</v>
          </cell>
          <cell r="F369" t="str">
            <v>台</v>
          </cell>
        </row>
        <row r="370">
          <cell r="A370" t="str">
            <v>B#057</v>
          </cell>
          <cell r="B370" t="str">
            <v>视频</v>
          </cell>
          <cell r="C370" t="str">
            <v>Video Control System 
 操作系统-控台</v>
          </cell>
          <cell r="D370" t="str">
            <v>EC-210 控制台-barco大型新款控台</v>
          </cell>
          <cell r="E370" t="str">
            <v>Barco EC-210 控台兼容大中小活动场景</v>
          </cell>
          <cell r="F370" t="str">
            <v>台</v>
          </cell>
        </row>
        <row r="371">
          <cell r="A371" t="str">
            <v>B#058</v>
          </cell>
          <cell r="B371" t="str">
            <v>视频</v>
          </cell>
          <cell r="C371" t="str">
            <v>Video Control System 
 操作系统-控台</v>
          </cell>
          <cell r="D371" t="str">
            <v>淡入淡出切换器</v>
          </cell>
          <cell r="E371" t="str">
            <v>MAGNIMAGA-640淡入淡出切换器</v>
          </cell>
          <cell r="F371" t="str">
            <v>台</v>
          </cell>
          <cell r="G371">
            <v>2066.67</v>
          </cell>
        </row>
        <row r="372">
          <cell r="A372" t="str">
            <v>B#059</v>
          </cell>
          <cell r="B372" t="str">
            <v>视频</v>
          </cell>
          <cell r="C372" t="str">
            <v>Video Control System 
 操作系统-控台</v>
          </cell>
          <cell r="D372" t="str">
            <v>C3控制器-中大型控台</v>
          </cell>
          <cell r="E372" t="str">
            <v>NOVASTAR-C3控制器 控制台 控台中大型活动使用</v>
          </cell>
          <cell r="F372" t="str">
            <v>台</v>
          </cell>
        </row>
        <row r="373">
          <cell r="A373" t="str">
            <v>B#060</v>
          </cell>
          <cell r="B373" t="str">
            <v>视频</v>
          </cell>
          <cell r="C373" t="str">
            <v>Video Control System 
 操作系统-控台</v>
          </cell>
          <cell r="D373" t="str">
            <v>H8视频控制器-中大型控台</v>
          </cell>
          <cell r="E373" t="str">
            <v>MAGNIMAGA H6 Event Controller 中大型视频控制器控台</v>
          </cell>
          <cell r="F373" t="str">
            <v>台</v>
          </cell>
        </row>
        <row r="374">
          <cell r="A374" t="str">
            <v>B#061</v>
          </cell>
          <cell r="B374" t="str">
            <v>视频</v>
          </cell>
          <cell r="C374" t="str">
            <v>Video Control System 
 操作系统-控台</v>
          </cell>
          <cell r="D374" t="str">
            <v>H6视频控制器-中小型控台</v>
          </cell>
          <cell r="E374" t="str">
            <v>MAGNIMAGA H6 Event Controller 小型视频控制器控台</v>
          </cell>
          <cell r="F374" t="str">
            <v>台</v>
          </cell>
          <cell r="G374">
            <v>2833.33</v>
          </cell>
        </row>
        <row r="375">
          <cell r="A375" t="str">
            <v>B#062</v>
          </cell>
          <cell r="B375" t="str">
            <v>视频</v>
          </cell>
          <cell r="C375" t="str">
            <v>Video Control System 
 操作系统-控台</v>
          </cell>
          <cell r="D375" t="str">
            <v>BARCO EC200 控制台</v>
          </cell>
          <cell r="E375" t="str">
            <v>Barco</v>
          </cell>
          <cell r="F375" t="str">
            <v>台</v>
          </cell>
        </row>
        <row r="376">
          <cell r="A376" t="str">
            <v>B#063</v>
          </cell>
          <cell r="B376" t="str">
            <v>视频</v>
          </cell>
          <cell r="C376" t="str">
            <v>Video Control System 
 操作系统--视频播放器</v>
          </cell>
          <cell r="D376" t="str">
            <v>WATCHOUT Programming
 WATCHOUT 主机（含编程、解密单元、显示服务器、拼接同步器）</v>
          </cell>
          <cell r="E376" t="str">
            <v>-</v>
          </cell>
          <cell r="F376" t="str">
            <v>次</v>
          </cell>
          <cell r="G376">
            <v>2900</v>
          </cell>
        </row>
        <row r="377">
          <cell r="A377" t="str">
            <v>B#064</v>
          </cell>
          <cell r="B377" t="str">
            <v>视频</v>
          </cell>
          <cell r="C377" t="str">
            <v>Video Control System 
 操作系统--视频播放器</v>
          </cell>
          <cell r="D377" t="str">
            <v>WATCHOUT VP</v>
          </cell>
          <cell r="E377" t="str">
            <v>-</v>
          </cell>
          <cell r="F377" t="str">
            <v>通道</v>
          </cell>
          <cell r="G377">
            <v>1900</v>
          </cell>
        </row>
        <row r="378">
          <cell r="A378" t="str">
            <v>B#065</v>
          </cell>
          <cell r="B378" t="str">
            <v>视频</v>
          </cell>
          <cell r="C378" t="str">
            <v>Video Control System 
 操作系统--视频播放器</v>
          </cell>
          <cell r="D378" t="str">
            <v>hirender - S3-</v>
          </cell>
          <cell r="E378" t="str">
            <v>品牌：hirender 媒体播控服务器</v>
          </cell>
          <cell r="F378" t="str">
            <v>台</v>
          </cell>
          <cell r="G378">
            <v>1833.33</v>
          </cell>
        </row>
        <row r="379">
          <cell r="A379" t="str">
            <v>B#066</v>
          </cell>
          <cell r="B379" t="str">
            <v>视频</v>
          </cell>
          <cell r="C379" t="str">
            <v>Other Video Auxiliary Equipment 
 其它视频辅助设备</v>
          </cell>
          <cell r="D379" t="str">
            <v>触摸屏</v>
          </cell>
          <cell r="E379" t="str">
            <v>65’</v>
          </cell>
          <cell r="F379" t="str">
            <v>台</v>
          </cell>
          <cell r="G379">
            <v>1666.67</v>
          </cell>
        </row>
        <row r="380">
          <cell r="A380" t="str">
            <v>B#067</v>
          </cell>
          <cell r="B380" t="str">
            <v>视频</v>
          </cell>
          <cell r="C380" t="str">
            <v>Other Video Auxiliary Equipment 
 其它视频辅助设备</v>
          </cell>
          <cell r="D380" t="str">
            <v>触摸屏</v>
          </cell>
          <cell r="E380" t="str">
            <v>55’</v>
          </cell>
          <cell r="F380" t="str">
            <v>台</v>
          </cell>
          <cell r="G380">
            <v>1187.2</v>
          </cell>
        </row>
        <row r="381">
          <cell r="A381" t="str">
            <v>B#068</v>
          </cell>
          <cell r="B381" t="str">
            <v>视频</v>
          </cell>
          <cell r="C381" t="str">
            <v>Other Video Auxiliary Equipment 
 其它视频辅助设备</v>
          </cell>
          <cell r="D381" t="str">
            <v>触摸屏</v>
          </cell>
          <cell r="E381" t="str">
            <v>42’</v>
          </cell>
          <cell r="F381" t="str">
            <v>台</v>
          </cell>
          <cell r="G381">
            <v>890.4</v>
          </cell>
        </row>
        <row r="382">
          <cell r="A382" t="str">
            <v>B#069</v>
          </cell>
          <cell r="B382" t="str">
            <v>视频</v>
          </cell>
          <cell r="C382" t="str">
            <v>Other Video Auxiliary Equipment 
 其它视频辅助设备</v>
          </cell>
          <cell r="D382" t="str">
            <v>视频分配器</v>
          </cell>
          <cell r="E382" t="str">
            <v>EXTRON VGA DA1:4 DISTRIBUTION AMPLIFIER</v>
          </cell>
          <cell r="F382" t="str">
            <v>台</v>
          </cell>
          <cell r="G382">
            <v>212</v>
          </cell>
        </row>
        <row r="383">
          <cell r="A383" t="str">
            <v>B#070</v>
          </cell>
          <cell r="B383" t="str">
            <v>视频</v>
          </cell>
          <cell r="C383" t="str">
            <v>Other Video Auxiliary Equipment 
 其它视频辅助设备</v>
          </cell>
          <cell r="D383" t="str">
            <v>Apple Notebook
 Apple 笔记本电脑</v>
          </cell>
          <cell r="E383" t="str">
            <v>近两年款机型</v>
          </cell>
          <cell r="F383" t="str">
            <v>台</v>
          </cell>
          <cell r="G383">
            <v>400</v>
          </cell>
        </row>
        <row r="384">
          <cell r="A384" t="str">
            <v>B#071</v>
          </cell>
          <cell r="B384" t="str">
            <v>视频</v>
          </cell>
          <cell r="C384" t="str">
            <v>Other Video Auxiliary Equipment 
 其它视频辅助设备</v>
          </cell>
          <cell r="D384" t="str">
            <v>Apple iMac
 Apple 一体机电脑</v>
          </cell>
          <cell r="E384" t="str">
            <v>近两年款机型（设备租赁）</v>
          </cell>
          <cell r="F384" t="str">
            <v>台</v>
          </cell>
          <cell r="G384">
            <v>700</v>
          </cell>
        </row>
        <row r="385">
          <cell r="A385" t="str">
            <v>B#072</v>
          </cell>
          <cell r="B385" t="str">
            <v>视频</v>
          </cell>
          <cell r="C385" t="str">
            <v>Other Video Auxiliary Equipment 
 其它视频辅助设备</v>
          </cell>
          <cell r="D385" t="str">
            <v>Apple Mac Pro
 Apple 台式电脑</v>
          </cell>
          <cell r="E385" t="str">
            <v>近两年款机型</v>
          </cell>
          <cell r="F385" t="str">
            <v>台</v>
          </cell>
          <cell r="G385">
            <v>400</v>
          </cell>
        </row>
        <row r="386">
          <cell r="A386" t="str">
            <v>B#073</v>
          </cell>
          <cell r="B386" t="str">
            <v>视频</v>
          </cell>
          <cell r="C386" t="str">
            <v>Other Video Auxiliary Equipment 
 其它视频辅助设备</v>
          </cell>
          <cell r="D386" t="str">
            <v>苹果工作站</v>
          </cell>
          <cell r="E386" t="str">
            <v>近 Apple Mac Pro专业级台式工作站（设备租赁）</v>
          </cell>
          <cell r="F386" t="str">
            <v>台</v>
          </cell>
          <cell r="G386">
            <v>848</v>
          </cell>
        </row>
        <row r="387">
          <cell r="A387" t="str">
            <v>B#074</v>
          </cell>
          <cell r="B387" t="str">
            <v>视频</v>
          </cell>
          <cell r="C387" t="str">
            <v>Other Video Auxiliary Equipment 
 其它视频辅助设备</v>
          </cell>
          <cell r="D387" t="str">
            <v>D′San Cue lights PC-433-mini
 D′San PC-433-mini 无线长距离翻页提示器</v>
          </cell>
          <cell r="E387" t="str">
            <v>-</v>
          </cell>
          <cell r="F387" t="str">
            <v>个</v>
          </cell>
          <cell r="G387">
            <v>344.5</v>
          </cell>
        </row>
        <row r="388">
          <cell r="A388" t="str">
            <v>B#075</v>
          </cell>
          <cell r="B388" t="str">
            <v>视频</v>
          </cell>
          <cell r="C388" t="str">
            <v>Other Video Auxiliary Equipment 
 其它视频辅助设备</v>
          </cell>
          <cell r="D388" t="str">
            <v>专业提示翻页器（一托二）</v>
          </cell>
          <cell r="E388" t="str">
            <v>PerfectCue</v>
          </cell>
          <cell r="F388" t="str">
            <v>套</v>
          </cell>
          <cell r="G388">
            <v>371</v>
          </cell>
        </row>
        <row r="389">
          <cell r="A389" t="str">
            <v>B#076</v>
          </cell>
          <cell r="B389" t="str">
            <v>视频</v>
          </cell>
          <cell r="C389" t="str">
            <v>Other Video Auxiliary Equipment 
 其它视频辅助设备</v>
          </cell>
          <cell r="D389" t="str">
            <v>专业提示翻页器（一托四）</v>
          </cell>
          <cell r="E389" t="str">
            <v>PerfectCue</v>
          </cell>
          <cell r="F389" t="str">
            <v>套</v>
          </cell>
          <cell r="G389">
            <v>702</v>
          </cell>
        </row>
        <row r="390">
          <cell r="A390" t="str">
            <v>B#077</v>
          </cell>
          <cell r="B390" t="str">
            <v>视频</v>
          </cell>
          <cell r="C390" t="str">
            <v>Other Video Auxiliary Equipment 
 其它视频辅助设备</v>
          </cell>
          <cell r="D390" t="str">
            <v>专业提示翻页器（一托八）</v>
          </cell>
          <cell r="E390" t="str">
            <v>PerfectCue</v>
          </cell>
          <cell r="F390" t="str">
            <v>套</v>
          </cell>
          <cell r="G390">
            <v>1272</v>
          </cell>
        </row>
        <row r="391">
          <cell r="A391" t="str">
            <v>B#078</v>
          </cell>
          <cell r="B391" t="str">
            <v>视频</v>
          </cell>
          <cell r="C391" t="str">
            <v>Other Video Auxiliary Equipment 
 其它视频辅助设备</v>
          </cell>
          <cell r="D391" t="str">
            <v>Prompter
 普通翻页提示器</v>
          </cell>
          <cell r="E391" t="str">
            <v>-</v>
          </cell>
          <cell r="F391" t="str">
            <v>个</v>
          </cell>
          <cell r="G391">
            <v>95.4</v>
          </cell>
        </row>
        <row r="392">
          <cell r="A392" t="str">
            <v>B#079</v>
          </cell>
          <cell r="B392" t="str">
            <v>视频</v>
          </cell>
          <cell r="C392" t="str">
            <v>Other Video Auxiliary Equipment 
 其它视频辅助设备</v>
          </cell>
          <cell r="D392" t="str">
            <v>光纤线</v>
          </cell>
          <cell r="E392" t="str">
            <v>Optical Filber System（100m/条，100米内部不计费
 大于100米按每条计费）</v>
          </cell>
          <cell r="F392" t="str">
            <v>条</v>
          </cell>
          <cell r="G392">
            <v>440</v>
          </cell>
        </row>
        <row r="393">
          <cell r="A393" t="str">
            <v>B#080</v>
          </cell>
          <cell r="B393" t="str">
            <v>视频</v>
          </cell>
          <cell r="C393" t="str">
            <v>Other Video Auxiliary Equipment 
 其它视频辅助设备</v>
          </cell>
          <cell r="D393" t="str">
            <v>光纤传输处理器</v>
          </cell>
          <cell r="E393" t="str">
            <v>Optic fiber cables between all dispaly and playback</v>
          </cell>
          <cell r="F393" t="str">
            <v>台</v>
          </cell>
          <cell r="G393">
            <v>493.33</v>
          </cell>
        </row>
        <row r="394">
          <cell r="A394" t="str">
            <v>B#081</v>
          </cell>
          <cell r="B394" t="str">
            <v>视频</v>
          </cell>
          <cell r="C394" t="str">
            <v>Other Video Auxiliary Equipment 
 其它视频辅助设备</v>
          </cell>
          <cell r="D394" t="str">
            <v>千兆交换机</v>
          </cell>
          <cell r="E394" t="str">
            <v>1000baseT Switch &amp; Cat5 Ethernet Cable</v>
          </cell>
          <cell r="F394" t="str">
            <v>台</v>
          </cell>
          <cell r="G394">
            <v>371</v>
          </cell>
        </row>
        <row r="395">
          <cell r="A395" t="str">
            <v>B#082</v>
          </cell>
          <cell r="B395" t="str">
            <v>音频</v>
          </cell>
          <cell r="C395" t="str">
            <v>Loudspeaker
 高档音箱</v>
          </cell>
          <cell r="D395" t="str">
            <v>线阵音箱</v>
          </cell>
          <cell r="E395" t="str">
            <v>L-acoustics、D&amp;B、EAW、Meyersound、C-MARK</v>
          </cell>
          <cell r="F395" t="str">
            <v>台</v>
          </cell>
          <cell r="G395">
            <v>848</v>
          </cell>
        </row>
        <row r="396">
          <cell r="A396" t="str">
            <v>B#083</v>
          </cell>
          <cell r="B396" t="str">
            <v>音频</v>
          </cell>
          <cell r="C396" t="str">
            <v>Loudspeaker
 高档音箱</v>
          </cell>
          <cell r="D396" t="str">
            <v>线阵超低音音箱</v>
          </cell>
          <cell r="E396" t="str">
            <v>L-acoustics、D&amp;B、EAW、Meyersound、C-MARK</v>
          </cell>
          <cell r="F396" t="str">
            <v>台</v>
          </cell>
          <cell r="G396">
            <v>1060</v>
          </cell>
        </row>
        <row r="397">
          <cell r="A397" t="str">
            <v>B#084</v>
          </cell>
          <cell r="B397" t="str">
            <v>音频</v>
          </cell>
          <cell r="C397" t="str">
            <v>Loudspeaker
 高档音箱</v>
          </cell>
          <cell r="D397" t="str">
            <v>线阵低音音箱</v>
          </cell>
          <cell r="E397" t="str">
            <v>L-acoustics、D&amp;B、EAW、Meyersound、C-MARK</v>
          </cell>
          <cell r="F397" t="str">
            <v>台</v>
          </cell>
          <cell r="G397">
            <v>583.33000000000004</v>
          </cell>
        </row>
        <row r="398">
          <cell r="A398" t="str">
            <v>B#085</v>
          </cell>
          <cell r="B398" t="str">
            <v>音频</v>
          </cell>
          <cell r="C398" t="str">
            <v>Loudspeaker
 高档音箱</v>
          </cell>
          <cell r="D398" t="str">
            <v>线阵反送</v>
          </cell>
          <cell r="E398" t="str">
            <v>L-acoustics、D&amp;B、EAW、Meyersound、C-MARK</v>
          </cell>
          <cell r="F398" t="str">
            <v>台</v>
          </cell>
          <cell r="G398">
            <v>689</v>
          </cell>
        </row>
        <row r="399">
          <cell r="A399" t="str">
            <v>B#086</v>
          </cell>
          <cell r="B399" t="str">
            <v>音频</v>
          </cell>
          <cell r="C399" t="str">
            <v>Loudspeaker
 高档音箱</v>
          </cell>
          <cell r="D399" t="str">
            <v>全频音箱</v>
          </cell>
          <cell r="E399" t="str">
            <v>JBL、EAW、Meyersound、D&amp;B</v>
          </cell>
          <cell r="F399" t="str">
            <v>台</v>
          </cell>
          <cell r="G399">
            <v>763.2</v>
          </cell>
        </row>
        <row r="400">
          <cell r="A400" t="str">
            <v>B#087</v>
          </cell>
          <cell r="B400" t="str">
            <v>音频</v>
          </cell>
          <cell r="C400" t="str">
            <v>Loudspeaker
 高档音箱</v>
          </cell>
          <cell r="D400" t="str">
            <v>全频低音音箱</v>
          </cell>
          <cell r="E400" t="str">
            <v>JBL、EAW、Meyersound、D&amp;B</v>
          </cell>
          <cell r="F400" t="str">
            <v>台</v>
          </cell>
          <cell r="G400">
            <v>763.2</v>
          </cell>
        </row>
        <row r="401">
          <cell r="A401" t="str">
            <v>B#088</v>
          </cell>
          <cell r="B401" t="str">
            <v>音频</v>
          </cell>
          <cell r="C401" t="str">
            <v>Loudspeaker
 高档音箱</v>
          </cell>
          <cell r="D401" t="str">
            <v>全频反送</v>
          </cell>
          <cell r="E401" t="str">
            <v>JBL、EAW、Meyersound、D&amp;B</v>
          </cell>
          <cell r="F401" t="str">
            <v>台</v>
          </cell>
          <cell r="G401">
            <v>614.79999999999995</v>
          </cell>
        </row>
        <row r="402">
          <cell r="A402" t="str">
            <v>B#089</v>
          </cell>
          <cell r="B402" t="str">
            <v>音频</v>
          </cell>
          <cell r="C402" t="str">
            <v>Loudspeaker
 中档音箱</v>
          </cell>
          <cell r="D402" t="str">
            <v>线阵音箱</v>
          </cell>
          <cell r="E402" t="str">
            <v>JBL、Hivi、JVC、Peavey Electronics</v>
          </cell>
          <cell r="F402" t="str">
            <v>台</v>
          </cell>
          <cell r="G402">
            <v>636</v>
          </cell>
        </row>
        <row r="403">
          <cell r="A403" t="str">
            <v>B#090</v>
          </cell>
          <cell r="B403" t="str">
            <v>音频</v>
          </cell>
          <cell r="C403" t="str">
            <v>Loudspeaker
 中档音箱</v>
          </cell>
          <cell r="D403" t="str">
            <v>线阵超低音音箱</v>
          </cell>
          <cell r="E403" t="str">
            <v>JBL、Hivi、JVC、Peavey Electronics</v>
          </cell>
          <cell r="F403" t="str">
            <v>台</v>
          </cell>
          <cell r="G403">
            <v>636</v>
          </cell>
        </row>
        <row r="404">
          <cell r="A404" t="str">
            <v>B#091</v>
          </cell>
          <cell r="B404" t="str">
            <v>音频</v>
          </cell>
          <cell r="C404" t="str">
            <v>Loudspeaker
 中档音箱</v>
          </cell>
          <cell r="D404" t="str">
            <v>线阵低音音箱</v>
          </cell>
          <cell r="E404" t="str">
            <v>JBL、Hivi、JVC、Peavey Electronics</v>
          </cell>
          <cell r="F404" t="str">
            <v>台</v>
          </cell>
          <cell r="G404">
            <v>636</v>
          </cell>
        </row>
        <row r="405">
          <cell r="A405" t="str">
            <v>B#092</v>
          </cell>
          <cell r="B405" t="str">
            <v>音频</v>
          </cell>
          <cell r="C405" t="str">
            <v>Loudspeaker
 中档音箱</v>
          </cell>
          <cell r="D405" t="str">
            <v>线阵反送</v>
          </cell>
          <cell r="E405" t="str">
            <v>JBL、Hivi、JVC、Peavey Electronics</v>
          </cell>
          <cell r="F405" t="str">
            <v>台</v>
          </cell>
          <cell r="G405">
            <v>636</v>
          </cell>
        </row>
        <row r="406">
          <cell r="A406" t="str">
            <v>B#093</v>
          </cell>
          <cell r="B406" t="str">
            <v>音频</v>
          </cell>
          <cell r="C406" t="str">
            <v>Loudspeaker
 中档音箱</v>
          </cell>
          <cell r="D406" t="str">
            <v>全频音箱</v>
          </cell>
          <cell r="E406" t="str">
            <v>力素(NEXO)、JBL、JVC</v>
          </cell>
          <cell r="F406" t="str">
            <v>台</v>
          </cell>
          <cell r="G406">
            <v>560</v>
          </cell>
        </row>
        <row r="407">
          <cell r="A407" t="str">
            <v>B#094</v>
          </cell>
          <cell r="B407" t="str">
            <v>音频</v>
          </cell>
          <cell r="C407" t="str">
            <v>Loudspeaker
 中档音箱</v>
          </cell>
          <cell r="D407" t="str">
            <v>全频低音音箱</v>
          </cell>
          <cell r="E407" t="str">
            <v>力素(NEXO)、JBL、JVC</v>
          </cell>
          <cell r="F407" t="str">
            <v>台</v>
          </cell>
          <cell r="G407">
            <v>583</v>
          </cell>
        </row>
        <row r="408">
          <cell r="A408" t="str">
            <v>B#095</v>
          </cell>
          <cell r="B408" t="str">
            <v>音频</v>
          </cell>
          <cell r="C408" t="str">
            <v>Loudspeaker
 中档音箱</v>
          </cell>
          <cell r="D408" t="str">
            <v>全频反送</v>
          </cell>
          <cell r="E408" t="str">
            <v>力素(NEXO)、JBL、JVC</v>
          </cell>
          <cell r="F408" t="str">
            <v>台</v>
          </cell>
          <cell r="G408">
            <v>499</v>
          </cell>
        </row>
        <row r="409">
          <cell r="A409" t="str">
            <v>B#096</v>
          </cell>
          <cell r="B409" t="str">
            <v>音频</v>
          </cell>
          <cell r="C409" t="str">
            <v>音箱</v>
          </cell>
          <cell r="D409" t="str">
            <v>小音箱</v>
          </cell>
          <cell r="E409" t="str">
            <v>雅马哈（YAMAHA）NX-N500</v>
          </cell>
          <cell r="F409" t="str">
            <v>对</v>
          </cell>
          <cell r="G409">
            <v>318</v>
          </cell>
        </row>
        <row r="410">
          <cell r="A410" t="str">
            <v>B#097</v>
          </cell>
          <cell r="B410" t="str">
            <v>音频</v>
          </cell>
          <cell r="C410" t="str">
            <v>AMP
 功放</v>
          </cell>
          <cell r="D410" t="str">
            <v>数字功放</v>
          </cell>
          <cell r="E410" t="str">
            <v>Nexo、D&amp;B、Crown</v>
          </cell>
          <cell r="F410" t="str">
            <v>台</v>
          </cell>
          <cell r="G410">
            <v>416.67</v>
          </cell>
        </row>
        <row r="411">
          <cell r="A411" t="str">
            <v>B#098</v>
          </cell>
          <cell r="B411" t="str">
            <v>音频</v>
          </cell>
          <cell r="C411" t="str">
            <v>Mixer
 调音台</v>
          </cell>
          <cell r="D411" t="str">
            <v>YAMAHA CL5 Digital Mixer (72ch)
 YAMAHA CL5 数字调音台（72 路）</v>
          </cell>
          <cell r="E411" t="str">
            <v>YAMAHA</v>
          </cell>
          <cell r="F411" t="str">
            <v>台</v>
          </cell>
          <cell r="G411">
            <v>2650</v>
          </cell>
        </row>
        <row r="412">
          <cell r="A412" t="str">
            <v>B#099</v>
          </cell>
          <cell r="B412" t="str">
            <v>音频</v>
          </cell>
          <cell r="C412" t="str">
            <v>Mixer
 调音台</v>
          </cell>
          <cell r="D412" t="str">
            <v>YAMAHA M7CL Digital Mixer (48ch)
 YAMAHA M7CL 数字调音台（48 路）</v>
          </cell>
          <cell r="E412" t="str">
            <v>YAMAHA</v>
          </cell>
          <cell r="F412" t="str">
            <v>台</v>
          </cell>
          <cell r="G412">
            <v>1266.67</v>
          </cell>
        </row>
        <row r="413">
          <cell r="A413" t="str">
            <v>B#100</v>
          </cell>
          <cell r="B413" t="str">
            <v>音频</v>
          </cell>
          <cell r="C413" t="str">
            <v>Mixer
 调音台</v>
          </cell>
          <cell r="D413" t="str">
            <v>YAMAHA LS9-32 Digital Mixer (32ch)
 YAMAHA LS9-32 数字调音台（32 路）</v>
          </cell>
          <cell r="E413" t="str">
            <v>YAMAHA</v>
          </cell>
          <cell r="F413" t="str">
            <v>台</v>
          </cell>
          <cell r="G413">
            <v>2200</v>
          </cell>
        </row>
        <row r="414">
          <cell r="A414" t="str">
            <v>B#101</v>
          </cell>
          <cell r="B414" t="str">
            <v>音频</v>
          </cell>
          <cell r="C414" t="str">
            <v>Mixer
 调音台</v>
          </cell>
          <cell r="D414" t="str">
            <v>YAMAHA 01V96 Digital Mixer (16 ch)
 YAMAHA 01V96 数字调音台（16 路）</v>
          </cell>
          <cell r="E414" t="str">
            <v>YAMAHA</v>
          </cell>
          <cell r="F414" t="str">
            <v>台</v>
          </cell>
          <cell r="G414">
            <v>1200</v>
          </cell>
        </row>
        <row r="415">
          <cell r="A415" t="str">
            <v>B#102</v>
          </cell>
          <cell r="B415" t="str">
            <v>音频</v>
          </cell>
          <cell r="C415" t="str">
            <v>Mixer
 调音台</v>
          </cell>
          <cell r="D415" t="str">
            <v>MIDAS M32 （32路数字调音台）</v>
          </cell>
          <cell r="E415" t="str">
            <v>MIDAS</v>
          </cell>
          <cell r="F415" t="str">
            <v>台</v>
          </cell>
          <cell r="G415">
            <v>2374.4</v>
          </cell>
        </row>
        <row r="416">
          <cell r="A416" t="str">
            <v>B#103</v>
          </cell>
          <cell r="B416" t="str">
            <v>音频</v>
          </cell>
          <cell r="C416" t="str">
            <v>Mixer
 调音台</v>
          </cell>
          <cell r="D416" t="str">
            <v>Digico SD5 Digital Sound Console 数字调音台</v>
          </cell>
          <cell r="E416" t="str">
            <v>Digico</v>
          </cell>
          <cell r="F416" t="str">
            <v>台</v>
          </cell>
          <cell r="G416">
            <v>2968</v>
          </cell>
        </row>
        <row r="417">
          <cell r="A417" t="str">
            <v>B#104</v>
          </cell>
          <cell r="B417" t="str">
            <v>音频</v>
          </cell>
          <cell r="C417" t="str">
            <v>Mixer
 调音台</v>
          </cell>
          <cell r="D417" t="str">
            <v>Digico SD8 Digital Sound Console 数字调音台</v>
          </cell>
          <cell r="E417" t="str">
            <v>Digico</v>
          </cell>
          <cell r="F417" t="str">
            <v>台</v>
          </cell>
          <cell r="G417">
            <v>2968</v>
          </cell>
        </row>
        <row r="418">
          <cell r="A418" t="str">
            <v>B#105</v>
          </cell>
          <cell r="B418" t="str">
            <v>音频</v>
          </cell>
          <cell r="C418" t="str">
            <v>Mixer
 调音台</v>
          </cell>
          <cell r="D418" t="str">
            <v>Digico SD11 Digital Sound Console 数字调音台</v>
          </cell>
          <cell r="E418" t="str">
            <v>Digico</v>
          </cell>
          <cell r="F418" t="str">
            <v>台</v>
          </cell>
          <cell r="G418">
            <v>3180</v>
          </cell>
        </row>
        <row r="419">
          <cell r="A419" t="str">
            <v>B#115</v>
          </cell>
          <cell r="B419" t="str">
            <v>音频</v>
          </cell>
          <cell r="C419" t="str">
            <v>Microphone
 话筒</v>
          </cell>
          <cell r="D419" t="str">
            <v>SHURE BETA53 Headset Mic
 SHURE BETA53 无线头戴话筒</v>
          </cell>
          <cell r="E419" t="str">
            <v>SHURE</v>
          </cell>
          <cell r="F419" t="str">
            <v>只</v>
          </cell>
          <cell r="G419">
            <v>159</v>
          </cell>
        </row>
        <row r="420">
          <cell r="A420" t="str">
            <v>B#116</v>
          </cell>
          <cell r="B420" t="str">
            <v>音频</v>
          </cell>
          <cell r="C420" t="str">
            <v>Microphone
 话筒</v>
          </cell>
          <cell r="D420" t="str">
            <v>SHURE UHF Wireless Lapel Mic WL183
 SHURE WL183 无线领夹话筒</v>
          </cell>
          <cell r="E420" t="str">
            <v>SHURE</v>
          </cell>
          <cell r="F420" t="str">
            <v>只</v>
          </cell>
          <cell r="G420">
            <v>159</v>
          </cell>
        </row>
        <row r="421">
          <cell r="A421" t="str">
            <v>B#117</v>
          </cell>
          <cell r="B421" t="str">
            <v>音频</v>
          </cell>
          <cell r="C421" t="str">
            <v>Microphone
 话筒</v>
          </cell>
          <cell r="D421" t="str">
            <v>SHURE U2 Wireless BETA58A Hand-hold Mic (Q10A)
 SHURE U2 BETA58A（Q10A）无线手持话筒</v>
          </cell>
          <cell r="E421" t="str">
            <v>SHURE</v>
          </cell>
          <cell r="F421" t="str">
            <v>只</v>
          </cell>
          <cell r="G421">
            <v>169.6</v>
          </cell>
        </row>
        <row r="422">
          <cell r="A422" t="str">
            <v>B#118</v>
          </cell>
          <cell r="B422" t="str">
            <v>音频</v>
          </cell>
          <cell r="C422" t="str">
            <v>Microphone
 话筒</v>
          </cell>
          <cell r="D422" t="str">
            <v>Audio Technica AT859/8615 Lectern Mic
 铁三角AT859/8615 有线讲台鹅颈话筒</v>
          </cell>
          <cell r="E422" t="str">
            <v>铁三角</v>
          </cell>
          <cell r="F422" t="str">
            <v>只</v>
          </cell>
          <cell r="G422">
            <v>185.5</v>
          </cell>
        </row>
        <row r="423">
          <cell r="A423" t="str">
            <v>B#119</v>
          </cell>
          <cell r="B423" t="str">
            <v>音频</v>
          </cell>
          <cell r="C423" t="str">
            <v>Microphone
 话筒</v>
          </cell>
          <cell r="D423" t="str">
            <v>SHURE UHF Wireless Tables Mic/SXL14- WH 30 JB)
 SHURE SXL14- WH 30 JB 无线鹅颈讲台话筒</v>
          </cell>
          <cell r="E423" t="str">
            <v>SHURE</v>
          </cell>
          <cell r="F423" t="str">
            <v>只</v>
          </cell>
          <cell r="G423">
            <v>183.33</v>
          </cell>
        </row>
        <row r="424">
          <cell r="A424" t="str">
            <v>B#120</v>
          </cell>
          <cell r="B424" t="str">
            <v>音频</v>
          </cell>
          <cell r="C424" t="str">
            <v>Microphone
 话筒</v>
          </cell>
          <cell r="D424" t="str">
            <v>SHURE UR4D (Q10A) Receiver
 SHURE UR4D (Q10A) 无线话筒接收机（含天线分配器、通州中继、天线分配混合器）</v>
          </cell>
          <cell r="E424" t="str">
            <v>SHURE</v>
          </cell>
          <cell r="F424" t="str">
            <v>台</v>
          </cell>
          <cell r="G424">
            <v>424</v>
          </cell>
        </row>
        <row r="425">
          <cell r="A425" t="str">
            <v>B#121</v>
          </cell>
          <cell r="B425" t="str">
            <v>音频</v>
          </cell>
          <cell r="C425" t="str">
            <v>小蜜蜂</v>
          </cell>
          <cell r="D425" t="str">
            <v>SHURE UHF Wireless Lapel Mic WL184
 SHURE WL184 无线领夹话筒</v>
          </cell>
          <cell r="E425" t="str">
            <v>SHURE</v>
          </cell>
          <cell r="F425" t="str">
            <v>台</v>
          </cell>
          <cell r="G425">
            <v>159</v>
          </cell>
        </row>
        <row r="426">
          <cell r="A426" t="str">
            <v>B#122</v>
          </cell>
          <cell r="B426" t="str">
            <v>音频</v>
          </cell>
          <cell r="C426" t="str">
            <v>Other Audio Auxiliary Equipment 
 其它音频辅助设备</v>
          </cell>
          <cell r="D426" t="str">
            <v>TELEX BTR800 Wireless Intercom Master
 TELEX BTR800 无线对讲主机</v>
          </cell>
          <cell r="E426" t="str">
            <v>TELEX</v>
          </cell>
          <cell r="F426" t="str">
            <v>台</v>
          </cell>
          <cell r="G426">
            <v>1060</v>
          </cell>
        </row>
        <row r="427">
          <cell r="A427" t="str">
            <v>B#123</v>
          </cell>
          <cell r="B427" t="str">
            <v>音频</v>
          </cell>
          <cell r="C427" t="str">
            <v>Other Audio Auxiliary Equipment 
 其它音频辅助设备</v>
          </cell>
          <cell r="D427" t="str">
            <v>TELEX TR800 Wireless Intercom Belt Pack C/W Headset
 TELEX TR800 无线对讲耳机/腰包</v>
          </cell>
          <cell r="E427" t="str">
            <v>TELEX</v>
          </cell>
          <cell r="F427" t="str">
            <v>只</v>
          </cell>
          <cell r="G427">
            <v>318</v>
          </cell>
        </row>
        <row r="428">
          <cell r="A428" t="str">
            <v>B#124</v>
          </cell>
          <cell r="B428" t="str">
            <v>音频</v>
          </cell>
          <cell r="C428" t="str">
            <v>Other Audio Auxiliary Equipment 
 其它音频辅助设备</v>
          </cell>
          <cell r="D428" t="str">
            <v>5G无线数字内通，LT750 主机</v>
          </cell>
          <cell r="E428" t="str">
            <v>LAON</v>
          </cell>
          <cell r="F428" t="str">
            <v>台</v>
          </cell>
          <cell r="G428">
            <v>1219</v>
          </cell>
        </row>
        <row r="429">
          <cell r="A429" t="str">
            <v>B#125</v>
          </cell>
          <cell r="B429" t="str">
            <v>音频</v>
          </cell>
          <cell r="C429" t="str">
            <v>Other Audio Auxiliary Equipment 
 其它音频辅助设备</v>
          </cell>
          <cell r="D429" t="str">
            <v>5G无线数字内通，LT750 子机+耳机</v>
          </cell>
          <cell r="E429" t="str">
            <v>LAON</v>
          </cell>
          <cell r="F429" t="str">
            <v>台</v>
          </cell>
          <cell r="G429">
            <v>212</v>
          </cell>
        </row>
        <row r="430">
          <cell r="A430" t="str">
            <v>B#126</v>
          </cell>
          <cell r="B430" t="str">
            <v>音频</v>
          </cell>
          <cell r="C430" t="str">
            <v>Other Audio Auxiliary Equipment 
 其它音频辅助设备</v>
          </cell>
          <cell r="D430" t="str">
            <v>5G无线数字内通，LT750 5G 信号放大器</v>
          </cell>
          <cell r="E430" t="str">
            <v>LAON</v>
          </cell>
          <cell r="F430" t="str">
            <v>台</v>
          </cell>
          <cell r="G430">
            <v>318</v>
          </cell>
        </row>
        <row r="431">
          <cell r="A431" t="str">
            <v>B#127</v>
          </cell>
          <cell r="B431" t="str">
            <v>音频</v>
          </cell>
          <cell r="C431" t="str">
            <v>Other Audio Auxiliary Equipment 
 其它音频辅助设备</v>
          </cell>
          <cell r="D431" t="str">
            <v>EAR MONITOR SENNHEISER IEM300-G3 无线监听系统</v>
          </cell>
          <cell r="E431" t="str">
            <v>SENNHEISER</v>
          </cell>
          <cell r="F431" t="str">
            <v>台</v>
          </cell>
          <cell r="G431">
            <v>212</v>
          </cell>
        </row>
        <row r="432">
          <cell r="A432" t="str">
            <v>B#128</v>
          </cell>
          <cell r="B432" t="str">
            <v>音频</v>
          </cell>
          <cell r="C432" t="str">
            <v>Other Audio Auxiliary Equipment 
 其它音频辅助设备</v>
          </cell>
          <cell r="D432" t="str">
            <v>EAR MONITOR SENNHEISER IEM300-G2 无线监听系统</v>
          </cell>
          <cell r="E432" t="str">
            <v>SENNHEISER</v>
          </cell>
          <cell r="F432" t="str">
            <v>台</v>
          </cell>
          <cell r="G432">
            <v>318</v>
          </cell>
        </row>
        <row r="433">
          <cell r="A433" t="str">
            <v>B#129</v>
          </cell>
          <cell r="B433" t="str">
            <v>音频</v>
          </cell>
          <cell r="C433" t="str">
            <v>Other Audio Auxiliary Equipment 
 其它音频辅助设备</v>
          </cell>
          <cell r="D433" t="str">
            <v>Walking-Talkie
 无线对讲机</v>
          </cell>
          <cell r="E433" t="str">
            <v>-</v>
          </cell>
          <cell r="F433" t="str">
            <v>台</v>
          </cell>
          <cell r="G433">
            <v>42.4</v>
          </cell>
        </row>
        <row r="434">
          <cell r="A434" t="str">
            <v>B#130</v>
          </cell>
          <cell r="B434" t="str">
            <v>音频</v>
          </cell>
          <cell r="C434" t="str">
            <v>Other Audio Auxiliary Equipment 
 其它音频辅助设备</v>
          </cell>
          <cell r="D434" t="str">
            <v>处理器</v>
          </cell>
          <cell r="E434" t="str">
            <v>Crossover/Controller PS 15 TD</v>
          </cell>
          <cell r="F434" t="str">
            <v>台</v>
          </cell>
          <cell r="G434">
            <v>212</v>
          </cell>
        </row>
        <row r="435">
          <cell r="A435" t="str">
            <v>B#131</v>
          </cell>
          <cell r="B435" t="str">
            <v>灯光</v>
          </cell>
          <cell r="C435" t="str">
            <v>电脑灯</v>
          </cell>
          <cell r="D435" t="str">
            <v>多色LOGO 片</v>
          </cell>
          <cell r="E435" t="str">
            <v>含可做多色LOGO灯片</v>
          </cell>
          <cell r="F435" t="str">
            <v>片</v>
          </cell>
          <cell r="G435">
            <v>180.2</v>
          </cell>
        </row>
        <row r="436">
          <cell r="A436" t="str">
            <v>B#132</v>
          </cell>
          <cell r="B436" t="str">
            <v>灯光</v>
          </cell>
          <cell r="C436" t="str">
            <v>电脑灯</v>
          </cell>
          <cell r="D436" t="str">
            <v>单色LOGO 片</v>
          </cell>
          <cell r="E436" t="str">
            <v>单色LOGO灯片</v>
          </cell>
          <cell r="F436" t="str">
            <v>片</v>
          </cell>
          <cell r="G436">
            <v>95.4</v>
          </cell>
        </row>
        <row r="437">
          <cell r="A437" t="str">
            <v>B#133</v>
          </cell>
          <cell r="B437" t="str">
            <v>灯光</v>
          </cell>
          <cell r="C437" t="str">
            <v>电脑灯</v>
          </cell>
          <cell r="D437" t="str">
            <v>电脑染色灯1500W WASH</v>
          </cell>
          <cell r="E437" t="str">
            <v>JOLLY COLOR 1500 /TERBLY V2000W-1500</v>
          </cell>
          <cell r="F437" t="str">
            <v>台</v>
          </cell>
          <cell r="G437">
            <v>530</v>
          </cell>
        </row>
        <row r="438">
          <cell r="A438" t="str">
            <v>B#134</v>
          </cell>
          <cell r="B438" t="str">
            <v>灯光</v>
          </cell>
          <cell r="C438" t="str">
            <v>电脑灯</v>
          </cell>
          <cell r="D438" t="str">
            <v>电脑染色灯2000W WASH</v>
          </cell>
          <cell r="E438" t="str">
            <v>FINEART WASH /MAC 2000XB</v>
          </cell>
          <cell r="F438" t="str">
            <v>台</v>
          </cell>
          <cell r="G438">
            <v>689</v>
          </cell>
        </row>
        <row r="439">
          <cell r="A439" t="str">
            <v>B#135</v>
          </cell>
          <cell r="B439" t="str">
            <v>灯光</v>
          </cell>
          <cell r="C439" t="str">
            <v>电脑灯</v>
          </cell>
          <cell r="D439" t="str">
            <v>电脑图案灯1200W SPOT</v>
          </cell>
          <cell r="E439" t="str">
            <v>ROBE SPOT 1200 /FINE 2000</v>
          </cell>
          <cell r="F439" t="str">
            <v>台</v>
          </cell>
          <cell r="G439">
            <v>424</v>
          </cell>
        </row>
        <row r="440">
          <cell r="A440" t="str">
            <v>B#136</v>
          </cell>
          <cell r="B440" t="str">
            <v>灯光</v>
          </cell>
          <cell r="C440" t="str">
            <v>电脑灯</v>
          </cell>
          <cell r="D440" t="str">
            <v>电脑图案灯1500W SPOT</v>
          </cell>
          <cell r="E440" t="str">
            <v>ROBE SPOT 1500 /TERBLY V2500S-1500</v>
          </cell>
          <cell r="F440" t="str">
            <v>台</v>
          </cell>
          <cell r="G440">
            <v>530</v>
          </cell>
        </row>
        <row r="441">
          <cell r="A441" t="str">
            <v>B#137</v>
          </cell>
          <cell r="B441" t="str">
            <v>灯光</v>
          </cell>
          <cell r="C441" t="str">
            <v>电脑灯</v>
          </cell>
          <cell r="D441" t="str">
            <v>电脑图案灯2000W SPOT</v>
          </cell>
          <cell r="E441" t="str">
            <v>FINEART SPOT 1000E</v>
          </cell>
          <cell r="F441" t="str">
            <v>台</v>
          </cell>
          <cell r="G441">
            <v>742</v>
          </cell>
        </row>
        <row r="442">
          <cell r="A442" t="str">
            <v>B#138</v>
          </cell>
          <cell r="B442" t="str">
            <v>灯光</v>
          </cell>
          <cell r="C442" t="str">
            <v>电脑灯</v>
          </cell>
          <cell r="D442" t="str">
            <v>电脑光束灯230W BEAM</v>
          </cell>
          <cell r="E442" t="str">
            <v>GTD-230 /LEES 230 /MRT -230 /</v>
          </cell>
          <cell r="F442" t="str">
            <v>台</v>
          </cell>
          <cell r="G442">
            <v>296</v>
          </cell>
        </row>
        <row r="443">
          <cell r="A443" t="str">
            <v>B#139</v>
          </cell>
          <cell r="B443" t="str">
            <v>灯光</v>
          </cell>
          <cell r="C443" t="str">
            <v>电脑灯</v>
          </cell>
          <cell r="D443" t="str">
            <v>电脑光束灯330W BEAM</v>
          </cell>
          <cell r="E443" t="str">
            <v>JOLLY COUPE X-5 /GTD-330</v>
          </cell>
          <cell r="F443" t="str">
            <v>台</v>
          </cell>
          <cell r="G443">
            <v>371</v>
          </cell>
        </row>
        <row r="444">
          <cell r="A444" t="str">
            <v>B#140</v>
          </cell>
          <cell r="B444" t="str">
            <v>灯光</v>
          </cell>
          <cell r="C444" t="str">
            <v>电脑灯</v>
          </cell>
          <cell r="D444" t="str">
            <v>电脑光束灯1500W BEAM</v>
          </cell>
          <cell r="E444" t="str">
            <v>FINE1500</v>
          </cell>
          <cell r="F444" t="str">
            <v>台</v>
          </cell>
          <cell r="G444">
            <v>498.2</v>
          </cell>
        </row>
        <row r="445">
          <cell r="A445" t="str">
            <v>B#141</v>
          </cell>
          <cell r="B445" t="str">
            <v>灯光</v>
          </cell>
          <cell r="C445" t="str">
            <v>电脑灯</v>
          </cell>
          <cell r="D445" t="str">
            <v>电脑图案切割灯（SPOT切割系列）</v>
          </cell>
          <cell r="E445" t="str">
            <v>TERBLY GL-6 /GTD-1500 /PR-5000 /FINE 1000E PERF</v>
          </cell>
          <cell r="F445" t="str">
            <v>台</v>
          </cell>
          <cell r="G445">
            <v>689</v>
          </cell>
        </row>
        <row r="446">
          <cell r="A446" t="str">
            <v>B#142</v>
          </cell>
          <cell r="B446" t="str">
            <v>灯光</v>
          </cell>
          <cell r="C446" t="str">
            <v>电脑灯</v>
          </cell>
          <cell r="D446" t="str">
            <v>电脑三合一光束灯</v>
          </cell>
          <cell r="E446" t="str">
            <v>JOLLY COUPE X-3 /ACME 380 /FINEART 470</v>
          </cell>
          <cell r="F446" t="str">
            <v>台</v>
          </cell>
          <cell r="G446">
            <v>366.67</v>
          </cell>
        </row>
        <row r="447">
          <cell r="A447" t="str">
            <v>B#143</v>
          </cell>
          <cell r="B447" t="str">
            <v>灯光</v>
          </cell>
          <cell r="C447" t="str">
            <v>电脑灯</v>
          </cell>
          <cell r="D447" t="str">
            <v>摇头LED染色灯</v>
          </cell>
          <cell r="E447" t="str">
            <v>TERBLY OK190Z- ZOOM MOVING /FINEART 1519</v>
          </cell>
          <cell r="F447" t="str">
            <v>台</v>
          </cell>
          <cell r="G447">
            <v>302.10000000000002</v>
          </cell>
        </row>
        <row r="448">
          <cell r="A448" t="str">
            <v>B#144</v>
          </cell>
          <cell r="B448" t="str">
            <v>灯光</v>
          </cell>
          <cell r="C448" t="str">
            <v>电脑灯</v>
          </cell>
          <cell r="D448" t="str">
            <v>电脑摇头灯</v>
          </cell>
          <cell r="E448" t="str">
            <v>ACME 560 Z</v>
          </cell>
          <cell r="F448" t="str">
            <v>台</v>
          </cell>
          <cell r="G448">
            <v>302.10000000000002</v>
          </cell>
        </row>
        <row r="449">
          <cell r="A449" t="str">
            <v>B#145</v>
          </cell>
          <cell r="B449" t="str">
            <v>灯光</v>
          </cell>
          <cell r="C449" t="str">
            <v>Fixture 
 常规灯具</v>
          </cell>
          <cell r="D449" t="str">
            <v>Moving LED Par
 摇头LED PAR 灯</v>
          </cell>
          <cell r="E449" t="str">
            <v>ACME CM系列/EK 系列</v>
          </cell>
          <cell r="F449" t="str">
            <v>台</v>
          </cell>
          <cell r="G449">
            <v>253.33</v>
          </cell>
        </row>
        <row r="450">
          <cell r="A450" t="str">
            <v>B#146</v>
          </cell>
          <cell r="B450" t="str">
            <v>灯光</v>
          </cell>
          <cell r="C450" t="str">
            <v>Fixture 
 常规灯具</v>
          </cell>
          <cell r="D450" t="str">
            <v>LED Wallwash -3W*18 1 Meter
 LED 洗墙换色灯</v>
          </cell>
          <cell r="E450" t="str">
            <v>-</v>
          </cell>
          <cell r="F450" t="str">
            <v>台</v>
          </cell>
          <cell r="G450">
            <v>183.33</v>
          </cell>
        </row>
        <row r="451">
          <cell r="A451" t="str">
            <v>B#147</v>
          </cell>
          <cell r="B451" t="str">
            <v>灯光</v>
          </cell>
          <cell r="C451" t="str">
            <v>Fixture 
 常规灯具</v>
          </cell>
          <cell r="D451" t="str">
            <v>ETC Source Four Profile spotlight( 26°,19°,50°,36°)
 ETC Source Four 造型灯( 26°,19°,50°,36°)</v>
          </cell>
          <cell r="E451" t="str">
            <v>-</v>
          </cell>
          <cell r="F451" t="str">
            <v>只</v>
          </cell>
          <cell r="G451">
            <v>176.67</v>
          </cell>
        </row>
        <row r="452">
          <cell r="A452" t="str">
            <v>B#148</v>
          </cell>
          <cell r="B452" t="str">
            <v>灯光</v>
          </cell>
          <cell r="C452" t="str">
            <v>Fixture 
 常规灯具</v>
          </cell>
          <cell r="D452" t="str">
            <v>4 Bulb Floodlight
 四头灯</v>
          </cell>
          <cell r="E452" t="str">
            <v>-</v>
          </cell>
          <cell r="F452" t="str">
            <v>只</v>
          </cell>
          <cell r="G452">
            <v>190.8</v>
          </cell>
        </row>
        <row r="453">
          <cell r="A453" t="str">
            <v>B#149</v>
          </cell>
          <cell r="B453" t="str">
            <v>灯光</v>
          </cell>
          <cell r="C453" t="str">
            <v>Fixture 
 常规灯具</v>
          </cell>
          <cell r="D453" t="str">
            <v>8 Bulb Floodlight
 八头灯</v>
          </cell>
          <cell r="E453" t="str">
            <v>-</v>
          </cell>
          <cell r="F453" t="str">
            <v>只</v>
          </cell>
          <cell r="G453">
            <v>402.8</v>
          </cell>
        </row>
        <row r="454">
          <cell r="A454" t="str">
            <v>B#150</v>
          </cell>
          <cell r="B454" t="str">
            <v>灯光</v>
          </cell>
          <cell r="C454" t="str">
            <v>Fixture 
 常规灯具</v>
          </cell>
          <cell r="D454" t="str">
            <v>Follow Spot (1200w)
 追光灯</v>
          </cell>
          <cell r="E454" t="str">
            <v>-</v>
          </cell>
          <cell r="F454" t="str">
            <v>台</v>
          </cell>
          <cell r="G454">
            <v>381.6</v>
          </cell>
        </row>
        <row r="455">
          <cell r="A455" t="str">
            <v>B#151</v>
          </cell>
          <cell r="B455" t="str">
            <v>灯光</v>
          </cell>
          <cell r="C455" t="str">
            <v>Fixture 
 常规灯具</v>
          </cell>
          <cell r="D455" t="str">
            <v>Follow Spot (2500w)
 追光灯</v>
          </cell>
          <cell r="E455" t="str">
            <v>-</v>
          </cell>
          <cell r="F455" t="str">
            <v>台</v>
          </cell>
          <cell r="G455">
            <v>699.6</v>
          </cell>
        </row>
        <row r="456">
          <cell r="A456" t="str">
            <v>B#152</v>
          </cell>
          <cell r="B456" t="str">
            <v>灯光</v>
          </cell>
          <cell r="C456" t="str">
            <v>Fixture 
 常规灯具</v>
          </cell>
          <cell r="D456" t="str">
            <v>Follow Spot (4000w)
 追光灯</v>
          </cell>
          <cell r="E456" t="str">
            <v>HMI-4000W /XE-4000Z</v>
          </cell>
          <cell r="F456" t="str">
            <v>台</v>
          </cell>
          <cell r="G456">
            <v>636</v>
          </cell>
        </row>
        <row r="457">
          <cell r="A457" t="str">
            <v>B#153</v>
          </cell>
          <cell r="B457" t="str">
            <v>灯光</v>
          </cell>
          <cell r="C457" t="str">
            <v>Fixture 
 常规灯具</v>
          </cell>
          <cell r="D457" t="str">
            <v>多功能面光灯</v>
          </cell>
          <cell r="E457" t="str">
            <v>ETC EA PAR 700W</v>
          </cell>
          <cell r="F457" t="str">
            <v>台</v>
          </cell>
          <cell r="G457">
            <v>127.2</v>
          </cell>
        </row>
        <row r="458">
          <cell r="A458" t="str">
            <v>B#154</v>
          </cell>
          <cell r="B458" t="str">
            <v>灯光</v>
          </cell>
          <cell r="C458" t="str">
            <v>Fixture 
 常规灯具</v>
          </cell>
          <cell r="D458" t="str">
            <v>LED矩阵灯</v>
          </cell>
          <cell r="E458" t="str">
            <v>-</v>
          </cell>
          <cell r="F458" t="str">
            <v>台</v>
          </cell>
          <cell r="G458">
            <v>127.2</v>
          </cell>
        </row>
        <row r="459">
          <cell r="A459" t="str">
            <v>B#155</v>
          </cell>
          <cell r="B459" t="str">
            <v>灯光</v>
          </cell>
          <cell r="C459" t="str">
            <v>Effect Lights 
 效果灯</v>
          </cell>
          <cell r="D459" t="str">
            <v>LED条形灯，光束</v>
          </cell>
          <cell r="E459" t="str">
            <v>ACME TB 1230QW</v>
          </cell>
          <cell r="F459" t="str">
            <v>台</v>
          </cell>
          <cell r="G459">
            <v>212</v>
          </cell>
        </row>
        <row r="460">
          <cell r="A460" t="str">
            <v>B#156</v>
          </cell>
          <cell r="B460" t="str">
            <v>灯光</v>
          </cell>
          <cell r="C460" t="str">
            <v>Effect Lights 
 效果灯</v>
          </cell>
          <cell r="D460" t="str">
            <v>LED条形灯，大颗粒灯珠</v>
          </cell>
          <cell r="E460" t="str">
            <v>ACME TB 1060</v>
          </cell>
          <cell r="F460" t="str">
            <v>台</v>
          </cell>
          <cell r="G460">
            <v>508.8</v>
          </cell>
        </row>
        <row r="461">
          <cell r="A461" t="str">
            <v>B#157</v>
          </cell>
          <cell r="B461" t="str">
            <v>灯光</v>
          </cell>
          <cell r="C461" t="str">
            <v>Effect Lights 
 效果灯</v>
          </cell>
          <cell r="D461" t="str">
            <v>LED条形灯，小颗粒LED灯珠</v>
          </cell>
          <cell r="E461" t="str">
            <v>ACME STROBE 3 IP</v>
          </cell>
          <cell r="F461" t="str">
            <v>台</v>
          </cell>
          <cell r="G461">
            <v>212</v>
          </cell>
        </row>
        <row r="462">
          <cell r="A462" t="str">
            <v>B#158</v>
          </cell>
          <cell r="B462" t="str">
            <v>灯光</v>
          </cell>
          <cell r="C462" t="str">
            <v>Effect Lights 
 效果灯</v>
          </cell>
          <cell r="D462" t="str">
            <v>LED频闪,5头,光束,染色,像素控制以及无极旋转功能于一体</v>
          </cell>
          <cell r="E462" t="str">
            <v>ACME CM560Z</v>
          </cell>
          <cell r="F462" t="str">
            <v>台</v>
          </cell>
          <cell r="G462">
            <v>318</v>
          </cell>
        </row>
        <row r="463">
          <cell r="A463" t="str">
            <v>B#159</v>
          </cell>
          <cell r="B463" t="str">
            <v>灯光</v>
          </cell>
          <cell r="C463" t="str">
            <v>Effect Lights 
 效果灯</v>
          </cell>
          <cell r="D463" t="str">
            <v>LED频闪,36头,染色、像素效果、星空背景、月花光束等多效果功能于一体，随机频闪和脉冲</v>
          </cell>
          <cell r="E463" t="str">
            <v>ACME S6</v>
          </cell>
          <cell r="F463" t="str">
            <v>台</v>
          </cell>
          <cell r="G463">
            <v>424</v>
          </cell>
        </row>
        <row r="464">
          <cell r="A464" t="str">
            <v>B#160</v>
          </cell>
          <cell r="B464" t="str">
            <v>灯光</v>
          </cell>
          <cell r="C464" t="str">
            <v>Effect Lights 
 效果灯</v>
          </cell>
          <cell r="D464" t="str">
            <v>LED集频闪、光束、染色效果于一体的多功能频闪灯</v>
          </cell>
          <cell r="E464" t="str">
            <v>ACME STROBE 5 IP</v>
          </cell>
          <cell r="F464" t="str">
            <v>台</v>
          </cell>
          <cell r="G464">
            <v>424</v>
          </cell>
        </row>
        <row r="465">
          <cell r="A465" t="str">
            <v>B#161</v>
          </cell>
          <cell r="B465" t="str">
            <v>灯光</v>
          </cell>
          <cell r="C465" t="str">
            <v>Effect Lights 
 效果灯</v>
          </cell>
          <cell r="D465" t="str">
            <v>LED集频闪、光束、染色效果于一体的多功能频闪灯</v>
          </cell>
          <cell r="E465" t="str">
            <v>ACME BL1000</v>
          </cell>
          <cell r="F465" t="str">
            <v>台</v>
          </cell>
          <cell r="G465">
            <v>416.67</v>
          </cell>
        </row>
        <row r="466">
          <cell r="A466" t="str">
            <v>B#162</v>
          </cell>
          <cell r="B466" t="str">
            <v>灯光</v>
          </cell>
          <cell r="C466" t="str">
            <v>Effect Lights 
 效果灯</v>
          </cell>
          <cell r="D466" t="str">
            <v>摇头光束频闪染色灯</v>
          </cell>
          <cell r="E466" t="str">
            <v>EK 短吻鳄</v>
          </cell>
          <cell r="F466" t="str">
            <v>台</v>
          </cell>
          <cell r="G466">
            <v>466.67</v>
          </cell>
        </row>
        <row r="467">
          <cell r="A467" t="str">
            <v>B#163</v>
          </cell>
          <cell r="B467" t="str">
            <v>灯光</v>
          </cell>
          <cell r="C467" t="str">
            <v>Effect Lights 
 效果灯</v>
          </cell>
          <cell r="D467" t="str">
            <v>LED光束染色频闪多功能条灯</v>
          </cell>
          <cell r="E467" t="str">
            <v>EK 响尾蛇</v>
          </cell>
          <cell r="F467" t="str">
            <v>台</v>
          </cell>
          <cell r="G467">
            <v>466.67</v>
          </cell>
        </row>
        <row r="468">
          <cell r="A468" t="str">
            <v>B#164</v>
          </cell>
          <cell r="B468" t="str">
            <v>灯光</v>
          </cell>
          <cell r="C468" t="str">
            <v>Effect Lights 
 效果灯</v>
          </cell>
          <cell r="D468" t="str">
            <v>防水LED全彩频闪条灯</v>
          </cell>
          <cell r="E468" t="str">
            <v>EK COLLIDER-BAR-IP</v>
          </cell>
          <cell r="F468" t="str">
            <v>台</v>
          </cell>
          <cell r="G468">
            <v>233</v>
          </cell>
        </row>
        <row r="469">
          <cell r="A469" t="str">
            <v>B#165</v>
          </cell>
          <cell r="B469" t="str">
            <v>灯光</v>
          </cell>
          <cell r="C469" t="str">
            <v>Laser 
 激光</v>
          </cell>
          <cell r="D469" t="str">
            <v>Full Color Laser Light 30W
 全彩激光灯30W</v>
          </cell>
          <cell r="E469" t="str">
            <v>-</v>
          </cell>
          <cell r="F469" t="str">
            <v>台</v>
          </cell>
        </row>
        <row r="470">
          <cell r="A470" t="str">
            <v>B#166</v>
          </cell>
          <cell r="B470" t="str">
            <v>灯光</v>
          </cell>
          <cell r="C470" t="str">
            <v>Laser 
 激光</v>
          </cell>
          <cell r="D470" t="str">
            <v>Full Color Laser Light 20W
 全彩激光灯20W</v>
          </cell>
          <cell r="E470" t="str">
            <v>-</v>
          </cell>
          <cell r="F470" t="str">
            <v>台</v>
          </cell>
        </row>
        <row r="471">
          <cell r="A471" t="str">
            <v>B#167</v>
          </cell>
          <cell r="B471" t="str">
            <v>灯光</v>
          </cell>
          <cell r="C471" t="str">
            <v>Laser 
 激光</v>
          </cell>
          <cell r="D471" t="str">
            <v>Full Color Laser Light 10W
 全彩激光灯10W</v>
          </cell>
          <cell r="E471" t="str">
            <v>-</v>
          </cell>
          <cell r="F471" t="str">
            <v>台</v>
          </cell>
        </row>
        <row r="472">
          <cell r="A472" t="str">
            <v>B#168</v>
          </cell>
          <cell r="B472" t="str">
            <v>灯光</v>
          </cell>
          <cell r="C472" t="str">
            <v>Laser 
 激光</v>
          </cell>
          <cell r="D472" t="str">
            <v>Full Color Laser Light 7W
 全彩激光灯7W</v>
          </cell>
          <cell r="E472" t="str">
            <v>-</v>
          </cell>
          <cell r="F472" t="str">
            <v>台</v>
          </cell>
        </row>
        <row r="473">
          <cell r="A473" t="str">
            <v>B#169</v>
          </cell>
          <cell r="B473" t="str">
            <v>灯光</v>
          </cell>
          <cell r="C473" t="str">
            <v>Laser 
 激光</v>
          </cell>
          <cell r="D473" t="str">
            <v>Full Color Laser Light 5W
 全彩激光灯5W</v>
          </cell>
          <cell r="E473" t="str">
            <v>-</v>
          </cell>
          <cell r="F473" t="str">
            <v>台</v>
          </cell>
        </row>
        <row r="474">
          <cell r="A474" t="str">
            <v>B#170</v>
          </cell>
          <cell r="B474" t="str">
            <v>灯光</v>
          </cell>
          <cell r="C474" t="str">
            <v>Laser 
 激光</v>
          </cell>
          <cell r="D474" t="str">
            <v>Monochromic Laser Light 5W
 单色激光灯5W</v>
          </cell>
          <cell r="E474" t="str">
            <v>-</v>
          </cell>
          <cell r="F474" t="str">
            <v>台</v>
          </cell>
        </row>
        <row r="475">
          <cell r="A475" t="str">
            <v>B#171</v>
          </cell>
          <cell r="B475" t="str">
            <v>灯光</v>
          </cell>
          <cell r="C475" t="str">
            <v>Laser 
 激光</v>
          </cell>
          <cell r="D475" t="str">
            <v>Monochromic Laser Light 3W
 单色激光灯3W</v>
          </cell>
          <cell r="E475" t="str">
            <v>-</v>
          </cell>
          <cell r="F475" t="str">
            <v>台</v>
          </cell>
        </row>
        <row r="476">
          <cell r="A476" t="str">
            <v>B#172</v>
          </cell>
          <cell r="B476" t="str">
            <v>灯光</v>
          </cell>
          <cell r="C476" t="str">
            <v>Lighting Control System 
 灯光控制系统-灯光控台</v>
          </cell>
          <cell r="D476" t="str">
            <v>数字调光台</v>
          </cell>
          <cell r="E476" t="str">
            <v>GRAND MA Controller
 GRAND MA 调光台</v>
          </cell>
          <cell r="F476" t="str">
            <v>台</v>
          </cell>
          <cell r="G476">
            <v>1700</v>
          </cell>
        </row>
        <row r="477">
          <cell r="A477" t="str">
            <v>B#173</v>
          </cell>
          <cell r="B477" t="str">
            <v>灯光</v>
          </cell>
          <cell r="C477" t="str">
            <v>Lighting Control System 
 灯光控制系统-灯光控台</v>
          </cell>
          <cell r="D477" t="str">
            <v>数字调光台</v>
          </cell>
          <cell r="E477" t="str">
            <v>GRAND MA II Controller
 GRAND MA II 调光台</v>
          </cell>
          <cell r="F477" t="str">
            <v>台</v>
          </cell>
          <cell r="G477">
            <v>1833.33</v>
          </cell>
        </row>
        <row r="478">
          <cell r="A478" t="str">
            <v>B#174</v>
          </cell>
          <cell r="B478" t="str">
            <v>灯光</v>
          </cell>
          <cell r="C478" t="str">
            <v>Lighting Control System 
 灯光控制系统-灯光控台</v>
          </cell>
          <cell r="D478" t="str">
            <v>Isolated DMX512 Splitter
 信号放大器</v>
          </cell>
          <cell r="E478" t="str">
            <v>-</v>
          </cell>
          <cell r="F478" t="str">
            <v>台</v>
          </cell>
          <cell r="G478">
            <v>106</v>
          </cell>
        </row>
        <row r="479">
          <cell r="A479" t="str">
            <v>B#175</v>
          </cell>
          <cell r="B479" t="str">
            <v>灯光</v>
          </cell>
          <cell r="C479" t="str">
            <v>Lighting Control System 
 灯光控制系统-灯光控台</v>
          </cell>
          <cell r="D479" t="str">
            <v>MA信号处理器</v>
          </cell>
          <cell r="E479" t="str">
            <v>MA NPU</v>
          </cell>
          <cell r="F479" t="str">
            <v>台</v>
          </cell>
          <cell r="G479">
            <v>212</v>
          </cell>
        </row>
        <row r="480">
          <cell r="A480" t="str">
            <v>B#176</v>
          </cell>
          <cell r="B480" t="str">
            <v>灯光</v>
          </cell>
          <cell r="C480" t="str">
            <v>Lighting Control System 
 灯光控制系统-灯光控台</v>
          </cell>
          <cell r="D480" t="str">
            <v>灯光信号分配器</v>
          </cell>
          <cell r="E480" t="str">
            <v>Lighting DA</v>
          </cell>
          <cell r="F480" t="str">
            <v>台</v>
          </cell>
          <cell r="G480">
            <v>148.4</v>
          </cell>
        </row>
        <row r="481">
          <cell r="A481" t="str">
            <v>B#177</v>
          </cell>
          <cell r="B481" t="str">
            <v>结构</v>
          </cell>
          <cell r="C481" t="str">
            <v>Truss Syste
 Truss 结构</v>
          </cell>
          <cell r="D481" t="str">
            <v>Layer 
 雷亚架</v>
          </cell>
          <cell r="E481" t="str">
            <v>-</v>
          </cell>
          <cell r="F481" t="str">
            <v>根</v>
          </cell>
          <cell r="G481">
            <v>12.72</v>
          </cell>
        </row>
        <row r="482">
          <cell r="A482" t="str">
            <v>B#178</v>
          </cell>
          <cell r="B482" t="str">
            <v>结构</v>
          </cell>
          <cell r="C482" t="str">
            <v>Truss Syste
 Truss 结构</v>
          </cell>
          <cell r="D482" t="str">
            <v>TRUSS (520 x 760 mm)
 灯光吊架(520 x 760 毫米)</v>
          </cell>
          <cell r="E482" t="str">
            <v>-</v>
          </cell>
          <cell r="F482" t="str">
            <v>米</v>
          </cell>
          <cell r="G482">
            <v>128.26</v>
          </cell>
        </row>
        <row r="483">
          <cell r="A483" t="str">
            <v>B#179</v>
          </cell>
          <cell r="B483" t="str">
            <v>结构</v>
          </cell>
          <cell r="C483" t="str">
            <v>Truss Syste
 Truss 结构</v>
          </cell>
          <cell r="D483" t="str">
            <v>TRUSS (400 x 600 mm)
 灯光吊架(400 x 600 毫米)</v>
          </cell>
          <cell r="E483" t="str">
            <v>-</v>
          </cell>
          <cell r="F483" t="str">
            <v>米</v>
          </cell>
          <cell r="G483">
            <v>97.33</v>
          </cell>
        </row>
        <row r="484">
          <cell r="A484" t="str">
            <v>B#180</v>
          </cell>
          <cell r="B484" t="str">
            <v>结构</v>
          </cell>
          <cell r="C484" t="str">
            <v>Truss Syste
 Truss 结构</v>
          </cell>
          <cell r="D484" t="str">
            <v>TRUSS (400 x 400mm)
 灯光吊架(400 x 400 毫米)</v>
          </cell>
          <cell r="E484" t="str">
            <v>-</v>
          </cell>
          <cell r="F484" t="str">
            <v>米</v>
          </cell>
          <cell r="G484">
            <v>74.2</v>
          </cell>
        </row>
        <row r="485">
          <cell r="A485" t="str">
            <v>B#181</v>
          </cell>
          <cell r="B485" t="str">
            <v>结构</v>
          </cell>
          <cell r="C485" t="str">
            <v>Truss Syste
 Truss 结构</v>
          </cell>
          <cell r="D485" t="str">
            <v>TRUSS (678 x 1018mm)
 灯光吊架(678 x 1018 毫米)</v>
          </cell>
          <cell r="E485" t="str">
            <v>-</v>
          </cell>
          <cell r="F485" t="str">
            <v>米</v>
          </cell>
          <cell r="G485">
            <v>183.33</v>
          </cell>
        </row>
        <row r="486">
          <cell r="A486" t="str">
            <v>B#182</v>
          </cell>
          <cell r="B486" t="str">
            <v>结构</v>
          </cell>
          <cell r="C486" t="str">
            <v>Truss Syste
 Truss 结构</v>
          </cell>
          <cell r="D486" t="str">
            <v>TRUSS (600 x 1200mm)
 灯光吊架(600 x 1200 毫米)</v>
          </cell>
          <cell r="E486" t="str">
            <v>-</v>
          </cell>
          <cell r="F486" t="str">
            <v>米</v>
          </cell>
          <cell r="G486">
            <v>216.67</v>
          </cell>
        </row>
        <row r="487">
          <cell r="A487" t="str">
            <v>B#183</v>
          </cell>
          <cell r="B487" t="str">
            <v>结构</v>
          </cell>
          <cell r="C487" t="str">
            <v>Truss Syste
 Truss 结构</v>
          </cell>
          <cell r="D487" t="str">
            <v>TRUSS (1000 x 1600mm)
 灯光吊架(1000 x 1600 毫米)</v>
          </cell>
          <cell r="E487" t="str">
            <v>-</v>
          </cell>
          <cell r="F487" t="str">
            <v>米</v>
          </cell>
          <cell r="G487">
            <v>293.33</v>
          </cell>
        </row>
        <row r="488">
          <cell r="A488" t="str">
            <v>B#184</v>
          </cell>
          <cell r="B488" t="str">
            <v>结构</v>
          </cell>
          <cell r="C488" t="str">
            <v>Truss Syste
 Truss 结构</v>
          </cell>
          <cell r="D488" t="str">
            <v>4m直径圆Truss</v>
          </cell>
          <cell r="E488" t="str">
            <v>-</v>
          </cell>
          <cell r="F488" t="str">
            <v>个</v>
          </cell>
          <cell r="G488">
            <v>159</v>
          </cell>
        </row>
        <row r="489">
          <cell r="A489" t="str">
            <v>B#185</v>
          </cell>
          <cell r="B489" t="str">
            <v>结构</v>
          </cell>
          <cell r="C489" t="str">
            <v>Truss Syste
 Truss 结构</v>
          </cell>
          <cell r="D489" t="str">
            <v>6m直径圆Truss</v>
          </cell>
          <cell r="E489" t="str">
            <v>-</v>
          </cell>
          <cell r="F489" t="str">
            <v>个</v>
          </cell>
          <cell r="G489">
            <v>159</v>
          </cell>
        </row>
        <row r="490">
          <cell r="A490" t="str">
            <v>B#186</v>
          </cell>
          <cell r="B490" t="str">
            <v>结构</v>
          </cell>
          <cell r="C490" t="str">
            <v>Truss Syste
 Truss 结构</v>
          </cell>
          <cell r="D490" t="str">
            <v>8m直径圆Truss</v>
          </cell>
          <cell r="E490" t="str">
            <v>-</v>
          </cell>
          <cell r="F490" t="str">
            <v>个</v>
          </cell>
          <cell r="G490">
            <v>159</v>
          </cell>
        </row>
        <row r="491">
          <cell r="A491" t="str">
            <v>B#187</v>
          </cell>
          <cell r="B491" t="str">
            <v>结构</v>
          </cell>
          <cell r="C491" t="str">
            <v>Truss Syste
 Truss 结构</v>
          </cell>
          <cell r="D491" t="str">
            <v>10m直径圆Truss</v>
          </cell>
          <cell r="E491" t="str">
            <v>-</v>
          </cell>
          <cell r="F491" t="str">
            <v>个</v>
          </cell>
          <cell r="G491">
            <v>159</v>
          </cell>
        </row>
        <row r="492">
          <cell r="A492" t="str">
            <v>B#188</v>
          </cell>
          <cell r="B492" t="str">
            <v>结构</v>
          </cell>
          <cell r="C492" t="str">
            <v>Truss Syste
 Truss 结构</v>
          </cell>
          <cell r="D492" t="str">
            <v>12m直径圆Truss</v>
          </cell>
          <cell r="E492" t="str">
            <v>-</v>
          </cell>
          <cell r="F492" t="str">
            <v>个</v>
          </cell>
          <cell r="G492">
            <v>159</v>
          </cell>
        </row>
        <row r="493">
          <cell r="A493" t="str">
            <v>B#189</v>
          </cell>
          <cell r="B493" t="str">
            <v>结构</v>
          </cell>
          <cell r="C493" t="str">
            <v>Windlass 
 葫芦</v>
          </cell>
          <cell r="D493" t="str">
            <v>Imported CM Brand Electric Windlass 2 Ton
 进口CM 电动葫芦2 吨</v>
          </cell>
          <cell r="E493" t="str">
            <v>-</v>
          </cell>
          <cell r="F493" t="str">
            <v>台</v>
          </cell>
          <cell r="G493">
            <v>434.6</v>
          </cell>
        </row>
        <row r="494">
          <cell r="A494" t="str">
            <v>B#190</v>
          </cell>
          <cell r="B494" t="str">
            <v>结构</v>
          </cell>
          <cell r="C494" t="str">
            <v>Windlass 
 葫芦</v>
          </cell>
          <cell r="D494" t="str">
            <v>Imported CM Brand Electric Windlass 1 Ton
 进口CM 电动葫芦1 吨</v>
          </cell>
          <cell r="E494" t="str">
            <v>-</v>
          </cell>
          <cell r="F494" t="str">
            <v>台</v>
          </cell>
          <cell r="G494">
            <v>316.67</v>
          </cell>
        </row>
        <row r="495">
          <cell r="A495" t="str">
            <v>B#191</v>
          </cell>
          <cell r="B495" t="str">
            <v>结构</v>
          </cell>
          <cell r="C495" t="str">
            <v>Windlass 
 葫芦</v>
          </cell>
          <cell r="D495" t="str">
            <v>Local Electric Windlass 2 Ton
 国产电动葫芦2 吨</v>
          </cell>
          <cell r="E495" t="str">
            <v>-</v>
          </cell>
          <cell r="F495" t="str">
            <v>台</v>
          </cell>
          <cell r="G495">
            <v>212</v>
          </cell>
        </row>
        <row r="496">
          <cell r="A496" t="str">
            <v>B#192</v>
          </cell>
          <cell r="B496" t="str">
            <v>结构</v>
          </cell>
          <cell r="C496" t="str">
            <v>Windlass 
 葫芦</v>
          </cell>
          <cell r="D496" t="str">
            <v>Local Electric Windlass 1 Ton
 国产电动葫芦1 吨</v>
          </cell>
          <cell r="E496" t="str">
            <v>-</v>
          </cell>
          <cell r="F496" t="str">
            <v>台</v>
          </cell>
          <cell r="G496">
            <v>180.2</v>
          </cell>
        </row>
        <row r="497">
          <cell r="A497" t="str">
            <v>B#193</v>
          </cell>
          <cell r="B497" t="str">
            <v>结构</v>
          </cell>
          <cell r="C497" t="str">
            <v>Windlass 
 葫芦</v>
          </cell>
          <cell r="D497" t="str">
            <v>Electric Windlass controller
 电动葫芦控制器</v>
          </cell>
          <cell r="E497" t="str">
            <v>-</v>
          </cell>
          <cell r="F497" t="str">
            <v>台</v>
          </cell>
          <cell r="G497">
            <v>328.6</v>
          </cell>
        </row>
        <row r="498">
          <cell r="A498" t="str">
            <v>B#194</v>
          </cell>
          <cell r="B498" t="str">
            <v>结构</v>
          </cell>
          <cell r="C498" t="str">
            <v>Windlass 
 葫芦</v>
          </cell>
          <cell r="D498" t="str">
            <v>Manual Windlass
 手拉葫芦</v>
          </cell>
          <cell r="E498" t="str">
            <v>-</v>
          </cell>
          <cell r="F498" t="str">
            <v>只</v>
          </cell>
          <cell r="G498">
            <v>103.88</v>
          </cell>
        </row>
        <row r="499">
          <cell r="A499" t="str">
            <v>B#195</v>
          </cell>
          <cell r="B499" t="str">
            <v>供电</v>
          </cell>
          <cell r="C499" t="str">
            <v>Electrical Power System 
 电源系统</v>
          </cell>
          <cell r="D499" t="str">
            <v>Generator Car
 发电车400KW</v>
          </cell>
          <cell r="E499" t="str">
            <v>不含油</v>
          </cell>
          <cell r="F499" t="str">
            <v>8小时/台</v>
          </cell>
        </row>
        <row r="500">
          <cell r="A500" t="str">
            <v>B#196</v>
          </cell>
          <cell r="B500" t="str">
            <v>供电</v>
          </cell>
          <cell r="C500" t="str">
            <v>Electrical Power System 
 电源系统</v>
          </cell>
          <cell r="D500" t="str">
            <v>Generator Car
 发电车200KW</v>
          </cell>
          <cell r="E500" t="str">
            <v>不含油</v>
          </cell>
          <cell r="F500" t="str">
            <v>8小时/台</v>
          </cell>
        </row>
        <row r="501">
          <cell r="A501" t="str">
            <v>B#197</v>
          </cell>
          <cell r="B501" t="str">
            <v>供电</v>
          </cell>
          <cell r="C501" t="str">
            <v>Electrical Power System 
 电源系统</v>
          </cell>
          <cell r="D501" t="str">
            <v>Generator Car
 发电车100KW</v>
          </cell>
          <cell r="E501" t="str">
            <v>不含油</v>
          </cell>
          <cell r="F501" t="str">
            <v>8小时/台</v>
          </cell>
        </row>
        <row r="502">
          <cell r="A502" t="str">
            <v>B#198</v>
          </cell>
          <cell r="B502" t="str">
            <v>供电</v>
          </cell>
          <cell r="C502" t="str">
            <v>Electrical Power System 
 电源系统</v>
          </cell>
          <cell r="D502" t="str">
            <v>Generator Car
 发电车800KW</v>
          </cell>
          <cell r="E502" t="str">
            <v>不含油</v>
          </cell>
          <cell r="F502" t="str">
            <v>8小时/台</v>
          </cell>
        </row>
        <row r="503">
          <cell r="A503" t="str">
            <v>B#199</v>
          </cell>
          <cell r="B503" t="str">
            <v>供电</v>
          </cell>
          <cell r="C503" t="str">
            <v>Electrical Power System 
 电源系统</v>
          </cell>
          <cell r="D503" t="str">
            <v>Generator Car
 发电车1000KW</v>
          </cell>
          <cell r="E503" t="str">
            <v>不含油</v>
          </cell>
          <cell r="F503" t="str">
            <v>8小时/台</v>
          </cell>
        </row>
        <row r="504">
          <cell r="A504" t="str">
            <v>B#200</v>
          </cell>
          <cell r="B504" t="str">
            <v>供电</v>
          </cell>
          <cell r="C504" t="str">
            <v>Electrical Power System 
 电源系统</v>
          </cell>
          <cell r="D504" t="str">
            <v>Generator Car
 发电车1500KW</v>
          </cell>
          <cell r="E504" t="str">
            <v>不含油</v>
          </cell>
          <cell r="F504" t="str">
            <v>8小时/台</v>
          </cell>
        </row>
        <row r="505">
          <cell r="A505" t="str">
            <v>B#201</v>
          </cell>
          <cell r="B505" t="str">
            <v>供电</v>
          </cell>
          <cell r="C505" t="str">
            <v>Electrical Power System 
 电源系统</v>
          </cell>
          <cell r="D505" t="str">
            <v>Generator Car
 发电车2000KW</v>
          </cell>
          <cell r="E505" t="str">
            <v>不含油</v>
          </cell>
          <cell r="F505" t="str">
            <v>8小时/台</v>
          </cell>
        </row>
        <row r="506">
          <cell r="A506" t="str">
            <v>B#202</v>
          </cell>
          <cell r="B506" t="str">
            <v>供电</v>
          </cell>
          <cell r="C506" t="str">
            <v>Electrical Power System 
 电源系统</v>
          </cell>
          <cell r="D506" t="str">
            <v>RGB Power Distributor
 RGB 电源柜（19 芯x8ch）</v>
          </cell>
          <cell r="E506" t="str">
            <v>-</v>
          </cell>
          <cell r="F506" t="str">
            <v>个</v>
          </cell>
        </row>
        <row r="507">
          <cell r="A507" t="str">
            <v>B#203</v>
          </cell>
          <cell r="B507" t="str">
            <v>供电</v>
          </cell>
          <cell r="C507" t="str">
            <v>Transformer System 
 变压系统</v>
          </cell>
          <cell r="D507" t="str">
            <v>Uninterruptible Power Supply
 不间断电源</v>
          </cell>
          <cell r="E507" t="str">
            <v>-</v>
          </cell>
          <cell r="F507" t="str">
            <v>台</v>
          </cell>
        </row>
        <row r="508">
          <cell r="A508" t="str">
            <v>B#204</v>
          </cell>
          <cell r="B508" t="str">
            <v>供电</v>
          </cell>
          <cell r="C508" t="str">
            <v>Cable 
 电缆</v>
          </cell>
          <cell r="D508" t="str">
            <v>Cable 70mm
 电缆直径70mm
 100米内部不计费
 大于100米按每米计费</v>
          </cell>
          <cell r="E508" t="str">
            <v>-</v>
          </cell>
          <cell r="F508" t="str">
            <v>米</v>
          </cell>
        </row>
        <row r="509">
          <cell r="A509" t="str">
            <v>B#205</v>
          </cell>
          <cell r="B509" t="str">
            <v>供电</v>
          </cell>
          <cell r="C509" t="str">
            <v>Cable 
 电缆</v>
          </cell>
          <cell r="D509" t="str">
            <v>Cable 50mm
 电缆直径50mm
 100米内部不计费
 大于100米按每米计费</v>
          </cell>
          <cell r="E509" t="str">
            <v>-</v>
          </cell>
          <cell r="F509" t="str">
            <v>米</v>
          </cell>
        </row>
        <row r="510">
          <cell r="A510" t="str">
            <v>B#206</v>
          </cell>
          <cell r="B510" t="str">
            <v>供电</v>
          </cell>
          <cell r="C510" t="str">
            <v>Cable 
 电缆</v>
          </cell>
          <cell r="D510" t="str">
            <v>Cable 35/25/16/10mm
 电缆直径 35/25/16/10mm
 100米内部不计费
 大于100米按每米计费</v>
          </cell>
          <cell r="E510" t="str">
            <v>-</v>
          </cell>
          <cell r="F510" t="str">
            <v>米</v>
          </cell>
        </row>
        <row r="511">
          <cell r="A511" t="str">
            <v>B#207</v>
          </cell>
          <cell r="B511" t="str">
            <v>特效</v>
          </cell>
          <cell r="C511" t="str">
            <v>烟雾、水雾油化物</v>
          </cell>
          <cell r="D511" t="str">
            <v>Dry Ice Machine
 数控干冰机（含20kg干冰）</v>
          </cell>
          <cell r="E511" t="str">
            <v>-</v>
          </cell>
          <cell r="F511" t="str">
            <v>台</v>
          </cell>
        </row>
        <row r="512">
          <cell r="A512" t="str">
            <v>B#208</v>
          </cell>
          <cell r="B512" t="str">
            <v>特效</v>
          </cell>
          <cell r="C512" t="str">
            <v>烟雾、水雾油化物</v>
          </cell>
          <cell r="D512" t="str">
            <v>干冰</v>
          </cell>
          <cell r="E512" t="str">
            <v>-</v>
          </cell>
          <cell r="F512" t="str">
            <v>公斤</v>
          </cell>
        </row>
        <row r="513">
          <cell r="A513" t="str">
            <v>B#209</v>
          </cell>
          <cell r="B513" t="str">
            <v>特效</v>
          </cell>
          <cell r="C513" t="str">
            <v>烟雾、水雾油化物</v>
          </cell>
          <cell r="D513" t="str">
            <v>Snow Flake Machine
 雪花机</v>
          </cell>
          <cell r="E513" t="str">
            <v>1200w</v>
          </cell>
          <cell r="F513" t="str">
            <v>台</v>
          </cell>
        </row>
        <row r="514">
          <cell r="A514" t="str">
            <v>B#210</v>
          </cell>
          <cell r="B514" t="str">
            <v>特效</v>
          </cell>
          <cell r="C514" t="str">
            <v>烟雾、水雾油化物</v>
          </cell>
          <cell r="D514" t="str">
            <v>Jet Spins CO2
 气柱</v>
          </cell>
          <cell r="E514" t="str">
            <v>-</v>
          </cell>
          <cell r="F514" t="str">
            <v>点</v>
          </cell>
        </row>
        <row r="515">
          <cell r="A515" t="str">
            <v>B#211</v>
          </cell>
          <cell r="B515" t="str">
            <v>特效</v>
          </cell>
          <cell r="C515" t="str">
            <v>烟雾、水雾油化物</v>
          </cell>
          <cell r="D515" t="str">
            <v>Fog Machine
 烟机、雾机</v>
          </cell>
          <cell r="E515" t="str">
            <v>-</v>
          </cell>
          <cell r="F515" t="str">
            <v>台</v>
          </cell>
          <cell r="G515">
            <v>265</v>
          </cell>
        </row>
        <row r="516">
          <cell r="A516" t="str">
            <v>B#212</v>
          </cell>
          <cell r="B516" t="str">
            <v>特效</v>
          </cell>
          <cell r="C516" t="str">
            <v>烟雾、水雾油化物</v>
          </cell>
          <cell r="D516" t="str">
            <v>彩虹机</v>
          </cell>
          <cell r="E516" t="str">
            <v>-</v>
          </cell>
          <cell r="F516" t="str">
            <v>台</v>
          </cell>
          <cell r="G516">
            <v>477</v>
          </cell>
        </row>
        <row r="517">
          <cell r="A517" t="str">
            <v>B#213</v>
          </cell>
          <cell r="B517" t="str">
            <v>特效</v>
          </cell>
          <cell r="C517" t="str">
            <v>烟雾、水雾油化物</v>
          </cell>
          <cell r="D517" t="str">
            <v>大功率彩虹机</v>
          </cell>
          <cell r="E517" t="str">
            <v>-</v>
          </cell>
          <cell r="F517" t="str">
            <v>台</v>
          </cell>
          <cell r="G517">
            <v>1166</v>
          </cell>
        </row>
        <row r="518">
          <cell r="A518" t="str">
            <v>B#214</v>
          </cell>
          <cell r="B518" t="str">
            <v>特效</v>
          </cell>
          <cell r="C518" t="str">
            <v>烟雾、水雾油化物</v>
          </cell>
          <cell r="D518" t="str">
            <v>泡泡机</v>
          </cell>
          <cell r="E518" t="str">
            <v>-</v>
          </cell>
          <cell r="F518" t="str">
            <v>台</v>
          </cell>
          <cell r="G518">
            <v>233.2</v>
          </cell>
        </row>
        <row r="519">
          <cell r="A519" t="str">
            <v>B#215</v>
          </cell>
          <cell r="B519" t="str">
            <v>特效</v>
          </cell>
          <cell r="C519" t="str">
            <v>烟雾、水雾油化物</v>
          </cell>
          <cell r="D519" t="str">
            <v>吹纸机</v>
          </cell>
          <cell r="E519" t="str">
            <v>-</v>
          </cell>
          <cell r="F519" t="str">
            <v>台</v>
          </cell>
          <cell r="G519">
            <v>530</v>
          </cell>
        </row>
        <row r="520">
          <cell r="A520" t="str">
            <v>B#216</v>
          </cell>
          <cell r="B520" t="str">
            <v>特效</v>
          </cell>
          <cell r="C520" t="str">
            <v>布纱类</v>
          </cell>
          <cell r="D520" t="str">
            <v>电磁阀</v>
          </cell>
          <cell r="E520" t="str">
            <v>-</v>
          </cell>
          <cell r="F520" t="str">
            <v>个</v>
          </cell>
        </row>
        <row r="521">
          <cell r="A521" t="str">
            <v>B#217</v>
          </cell>
          <cell r="B521" t="str">
            <v>特效</v>
          </cell>
          <cell r="C521" t="str">
            <v>布纱类</v>
          </cell>
          <cell r="D521" t="str">
            <v>幕布</v>
          </cell>
          <cell r="E521" t="str">
            <v>-</v>
          </cell>
          <cell r="F521" t="str">
            <v>平米</v>
          </cell>
        </row>
        <row r="522">
          <cell r="A522" t="str">
            <v>B#218</v>
          </cell>
          <cell r="B522" t="str">
            <v>特效</v>
          </cell>
          <cell r="C522" t="str">
            <v>电子烟花</v>
          </cell>
          <cell r="D522" t="str">
            <v>电子烟花机</v>
          </cell>
          <cell r="E522" t="str">
            <v>-</v>
          </cell>
          <cell r="F522" t="str">
            <v>台</v>
          </cell>
        </row>
        <row r="523">
          <cell r="A523" t="str">
            <v>B#219</v>
          </cell>
          <cell r="B523" t="str">
            <v>直播</v>
          </cell>
          <cell r="C523" t="str">
            <v>导播讯道设备</v>
          </cell>
          <cell r="D523" t="str">
            <v>高清摄像机</v>
          </cell>
          <cell r="E523" t="str">
            <v>Panasonic P2HXP-600MC或相同档次（广播级摄像机，可做单机使用，假讯）</v>
          </cell>
          <cell r="F523" t="str">
            <v>每台每天</v>
          </cell>
        </row>
        <row r="524">
          <cell r="A524" t="str">
            <v>B#220</v>
          </cell>
          <cell r="B524" t="str">
            <v>直播</v>
          </cell>
          <cell r="C524" t="str">
            <v>导播讯道设备（4讯起）</v>
          </cell>
          <cell r="D524" t="str">
            <v>高清摄像机</v>
          </cell>
          <cell r="E524" t="str">
            <v>Sony2580或相同档次（广播级讯道设备，不可做单机使用，真讯）</v>
          </cell>
          <cell r="F524" t="str">
            <v>每台每天</v>
          </cell>
        </row>
        <row r="525">
          <cell r="A525" t="str">
            <v>B#221</v>
          </cell>
          <cell r="B525" t="str">
            <v>直播</v>
          </cell>
          <cell r="C525" t="str">
            <v>导播讯道设备（4讯起）</v>
          </cell>
          <cell r="D525" t="str">
            <v>4K摄像机</v>
          </cell>
          <cell r="E525" t="str">
            <v>Sony4300或相同档次（广播级讯道设备，不可做单机使用，真讯）</v>
          </cell>
          <cell r="F525" t="str">
            <v>每台每天</v>
          </cell>
        </row>
        <row r="526">
          <cell r="A526" t="str">
            <v>B#222</v>
          </cell>
          <cell r="B526" t="str">
            <v>直播</v>
          </cell>
          <cell r="C526" t="str">
            <v>导播讯道设备（4讯起）</v>
          </cell>
          <cell r="D526" t="str">
            <v>摄像机镜头</v>
          </cell>
          <cell r="E526" t="str">
            <v>35倍长焦镜头</v>
          </cell>
          <cell r="F526" t="str">
            <v>每只每场</v>
          </cell>
        </row>
        <row r="527">
          <cell r="A527" t="str">
            <v>B#223</v>
          </cell>
          <cell r="B527" t="str">
            <v>直播</v>
          </cell>
          <cell r="C527" t="str">
            <v>导播讯道设备 （4讯起）</v>
          </cell>
          <cell r="D527" t="str">
            <v>摄像机镜头</v>
          </cell>
          <cell r="E527" t="str">
            <v>40倍长焦镜头</v>
          </cell>
          <cell r="F527" t="str">
            <v>每只每场</v>
          </cell>
        </row>
        <row r="528">
          <cell r="A528" t="str">
            <v>B#224</v>
          </cell>
          <cell r="B528" t="str">
            <v>直播</v>
          </cell>
          <cell r="C528" t="str">
            <v>导播讯道设备（4讯起）</v>
          </cell>
          <cell r="D528" t="str">
            <v>摄像机镜头</v>
          </cell>
          <cell r="E528" t="str">
            <v>70倍长焦镜头</v>
          </cell>
          <cell r="F528" t="str">
            <v>每只每场</v>
          </cell>
        </row>
        <row r="529">
          <cell r="A529" t="str">
            <v>B#225</v>
          </cell>
          <cell r="B529" t="str">
            <v>直播</v>
          </cell>
          <cell r="C529" t="str">
            <v>摄像设备</v>
          </cell>
          <cell r="D529" t="str">
            <v>aja硬盘+录机</v>
          </cell>
          <cell r="E529" t="str">
            <v>-</v>
          </cell>
          <cell r="F529" t="str">
            <v>每台每天</v>
          </cell>
          <cell r="G529">
            <v>530</v>
          </cell>
        </row>
        <row r="530">
          <cell r="A530" t="str">
            <v>B#226</v>
          </cell>
          <cell r="B530" t="str">
            <v>直播</v>
          </cell>
          <cell r="C530" t="str">
            <v>摄像设备</v>
          </cell>
          <cell r="D530" t="str">
            <v>高清摄像机（天眼）</v>
          </cell>
          <cell r="E530" t="str">
            <v>SONY-2580</v>
          </cell>
          <cell r="F530" t="str">
            <v>每台每天</v>
          </cell>
          <cell r="G530">
            <v>1908</v>
          </cell>
        </row>
        <row r="531">
          <cell r="A531" t="str">
            <v>B#227</v>
          </cell>
          <cell r="B531" t="str">
            <v>直播</v>
          </cell>
          <cell r="C531" t="str">
            <v>摄像设备</v>
          </cell>
          <cell r="D531" t="str">
            <v>其他摄像机镜头</v>
          </cell>
          <cell r="E531" t="str">
            <v>高清广角镜头</v>
          </cell>
          <cell r="F531" t="str">
            <v>每台每天</v>
          </cell>
          <cell r="G531">
            <v>530</v>
          </cell>
        </row>
        <row r="532">
          <cell r="A532" t="str">
            <v>B#228</v>
          </cell>
          <cell r="B532" t="str">
            <v>直播</v>
          </cell>
          <cell r="C532" t="str">
            <v>摄像设备</v>
          </cell>
          <cell r="D532" t="str">
            <v>其他摄像机镜头</v>
          </cell>
          <cell r="E532" t="str">
            <v>0.8倍广角镜头</v>
          </cell>
          <cell r="F532" t="str">
            <v>每台每天</v>
          </cell>
          <cell r="G532">
            <v>174.9</v>
          </cell>
        </row>
        <row r="533">
          <cell r="A533" t="str">
            <v>B#229</v>
          </cell>
          <cell r="B533" t="str">
            <v>直播</v>
          </cell>
          <cell r="C533" t="str">
            <v>摄像设备</v>
          </cell>
          <cell r="D533" t="str">
            <v>其他摄像机镜头</v>
          </cell>
          <cell r="E533" t="str">
            <v>1.2倍广角镜头</v>
          </cell>
          <cell r="F533" t="str">
            <v>每台每天</v>
          </cell>
          <cell r="G533">
            <v>174.9</v>
          </cell>
        </row>
        <row r="534">
          <cell r="A534" t="str">
            <v>B#230</v>
          </cell>
          <cell r="B534" t="str">
            <v>直播</v>
          </cell>
          <cell r="C534" t="str">
            <v>摄像设备</v>
          </cell>
          <cell r="D534" t="str">
            <v>其他摄像机镜头</v>
          </cell>
          <cell r="E534" t="str">
            <v>4-6倍长焦镜头</v>
          </cell>
          <cell r="F534" t="str">
            <v>每台每天</v>
          </cell>
          <cell r="G534">
            <v>424</v>
          </cell>
        </row>
        <row r="535">
          <cell r="A535" t="str">
            <v>B#231</v>
          </cell>
          <cell r="B535" t="str">
            <v>直播</v>
          </cell>
          <cell r="C535" t="str">
            <v>摄像设备</v>
          </cell>
          <cell r="D535" t="str">
            <v>其他摄像机镜头</v>
          </cell>
          <cell r="E535" t="str">
            <v>7倍长焦镜头</v>
          </cell>
          <cell r="F535" t="str">
            <v>每台每天</v>
          </cell>
          <cell r="G535">
            <v>477</v>
          </cell>
        </row>
        <row r="536">
          <cell r="A536" t="str">
            <v>B#232</v>
          </cell>
          <cell r="B536" t="str">
            <v>直播</v>
          </cell>
          <cell r="C536" t="str">
            <v>摄像设备</v>
          </cell>
          <cell r="D536" t="str">
            <v>其他摄像机镜头</v>
          </cell>
          <cell r="E536" t="str">
            <v>76倍长焦镜头</v>
          </cell>
          <cell r="F536" t="str">
            <v>每台每天</v>
          </cell>
          <cell r="G536">
            <v>4770</v>
          </cell>
        </row>
        <row r="537">
          <cell r="A537" t="str">
            <v>B#233</v>
          </cell>
          <cell r="B537" t="str">
            <v>直播</v>
          </cell>
          <cell r="C537" t="str">
            <v>摄像设备</v>
          </cell>
          <cell r="D537" t="str">
            <v>三维飞猫spider</v>
          </cell>
          <cell r="E537" t="str">
            <v>ROBYCAM-Robycam3D</v>
          </cell>
          <cell r="F537" t="str">
            <v>每台每天</v>
          </cell>
        </row>
        <row r="538">
          <cell r="A538" t="str">
            <v>B#234</v>
          </cell>
          <cell r="B538" t="str">
            <v>直播</v>
          </cell>
          <cell r="C538" t="str">
            <v>摄像设备</v>
          </cell>
          <cell r="D538" t="str">
            <v>二维飞猫spider</v>
          </cell>
          <cell r="E538" t="str">
            <v>ROBYCAM-Robycam2D</v>
          </cell>
          <cell r="F538" t="str">
            <v>每台每天</v>
          </cell>
        </row>
        <row r="539">
          <cell r="A539" t="str">
            <v>B#235</v>
          </cell>
          <cell r="B539" t="str">
            <v>直播</v>
          </cell>
          <cell r="C539" t="str">
            <v>摄像设备</v>
          </cell>
          <cell r="D539" t="str">
            <v>单线飞猫spider</v>
          </cell>
          <cell r="E539" t="str">
            <v>MOVICOM-NOX 1</v>
          </cell>
          <cell r="F539" t="str">
            <v>每台每天</v>
          </cell>
        </row>
        <row r="540">
          <cell r="A540" t="str">
            <v>B#236</v>
          </cell>
          <cell r="B540" t="str">
            <v>直播</v>
          </cell>
          <cell r="C540" t="str">
            <v>摄像设备</v>
          </cell>
          <cell r="D540" t="str">
            <v>电动轨道</v>
          </cell>
          <cell r="E540" t="str">
            <v>Ross</v>
          </cell>
          <cell r="F540" t="str">
            <v>每台每天</v>
          </cell>
          <cell r="G540">
            <v>1908</v>
          </cell>
        </row>
        <row r="541">
          <cell r="A541" t="str">
            <v>B#237</v>
          </cell>
          <cell r="B541" t="str">
            <v>直播</v>
          </cell>
          <cell r="C541" t="str">
            <v>摄像设备</v>
          </cell>
          <cell r="D541" t="str">
            <v>8米摄像摇臂</v>
          </cell>
          <cell r="E541" t="str">
            <v>每场为2天，每增加1天按0.5场计费</v>
          </cell>
          <cell r="F541" t="str">
            <v>每台每场</v>
          </cell>
          <cell r="G541">
            <v>4028</v>
          </cell>
        </row>
        <row r="542">
          <cell r="A542" t="str">
            <v>B#238</v>
          </cell>
          <cell r="B542" t="str">
            <v>直播</v>
          </cell>
          <cell r="C542" t="str">
            <v>摄像设备</v>
          </cell>
          <cell r="D542" t="str">
            <v>10米摄像摇臂</v>
          </cell>
          <cell r="E542" t="str">
            <v>每场为2天，每增加1天按0.5场计费（不含操作人员、不含摄像机镜头等）</v>
          </cell>
          <cell r="F542" t="str">
            <v>每台每场</v>
          </cell>
          <cell r="G542">
            <v>4500</v>
          </cell>
        </row>
        <row r="543">
          <cell r="A543" t="str">
            <v>B#239</v>
          </cell>
          <cell r="B543" t="str">
            <v>直播</v>
          </cell>
          <cell r="C543" t="str">
            <v>摄像设备</v>
          </cell>
          <cell r="D543" t="str">
            <v>15米摄像摇臂</v>
          </cell>
          <cell r="E543" t="str">
            <v>每场为2天，每增加1天按0.5场计费</v>
          </cell>
          <cell r="F543" t="str">
            <v>每台每场</v>
          </cell>
          <cell r="G543">
            <v>6000</v>
          </cell>
        </row>
        <row r="544">
          <cell r="A544" t="str">
            <v>B#240</v>
          </cell>
          <cell r="B544" t="str">
            <v>直播</v>
          </cell>
          <cell r="C544" t="str">
            <v>摄像设备</v>
          </cell>
          <cell r="D544" t="str">
            <v>电动伸缩摇臂</v>
          </cell>
          <cell r="E544" t="str">
            <v>-</v>
          </cell>
          <cell r="F544" t="str">
            <v>每台每场</v>
          </cell>
        </row>
        <row r="545">
          <cell r="A545" t="str">
            <v>B#241</v>
          </cell>
          <cell r="B545" t="str">
            <v>直播</v>
          </cell>
          <cell r="C545" t="str">
            <v>视频设备-导播台</v>
          </cell>
          <cell r="D545" t="str">
            <v>切换台（HD）</v>
          </cell>
          <cell r="E545" t="str">
            <v>1ME Panasonic AV-HS410 50I 切换台1个、监视器+线缆 或同级设备</v>
          </cell>
          <cell r="F545" t="str">
            <v>每台每天</v>
          </cell>
          <cell r="G545">
            <v>3180</v>
          </cell>
        </row>
        <row r="546">
          <cell r="A546" t="str">
            <v>B#242</v>
          </cell>
          <cell r="B546" t="str">
            <v>直播</v>
          </cell>
          <cell r="C546" t="str">
            <v>视频设备-导播台</v>
          </cell>
          <cell r="D546" t="str">
            <v>切换台（4K）</v>
          </cell>
          <cell r="E546" t="str">
            <v>2ME Panasonic AV-HS6000 60P 切换台1个、监视器+线缆 或同级设备</v>
          </cell>
          <cell r="F546" t="str">
            <v>每台每天</v>
          </cell>
          <cell r="G546">
            <v>4750</v>
          </cell>
        </row>
        <row r="547">
          <cell r="A547" t="str">
            <v>B#243</v>
          </cell>
          <cell r="B547" t="str">
            <v>直播</v>
          </cell>
          <cell r="C547" t="str">
            <v>视频设备-效果设备</v>
          </cell>
          <cell r="D547" t="str">
            <v>字幕机</v>
          </cell>
          <cell r="E547" t="str">
            <v>新奥特等</v>
          </cell>
          <cell r="F547" t="str">
            <v>每台每天</v>
          </cell>
        </row>
        <row r="548">
          <cell r="A548" t="str">
            <v>B#244</v>
          </cell>
          <cell r="B548" t="str">
            <v>直播</v>
          </cell>
          <cell r="C548" t="str">
            <v>视频设备-效果设备</v>
          </cell>
          <cell r="D548" t="str">
            <v>图文机</v>
          </cell>
          <cell r="E548" t="str">
            <v>ROSS-Xpression（4路）（60P）</v>
          </cell>
          <cell r="F548" t="str">
            <v>每台每天</v>
          </cell>
        </row>
        <row r="549">
          <cell r="A549" t="str">
            <v>B#245</v>
          </cell>
          <cell r="B549" t="str">
            <v>直播</v>
          </cell>
          <cell r="C549" t="str">
            <v>视频设备-效果设备</v>
          </cell>
          <cell r="D549" t="str">
            <v>图文机</v>
          </cell>
          <cell r="E549" t="str">
            <v>ROSS-Xpression（2路）（60P）</v>
          </cell>
          <cell r="F549" t="str">
            <v>每台每天</v>
          </cell>
        </row>
        <row r="550">
          <cell r="A550" t="str">
            <v>B#246</v>
          </cell>
          <cell r="B550" t="str">
            <v>直播</v>
          </cell>
          <cell r="C550" t="str">
            <v>视频设备-效果设备</v>
          </cell>
          <cell r="D550" t="str">
            <v>图文机</v>
          </cell>
          <cell r="E550" t="str">
            <v>CW-4进4出/2T/32G（60P）</v>
          </cell>
          <cell r="F550" t="str">
            <v>每台每天</v>
          </cell>
        </row>
        <row r="551">
          <cell r="A551" t="str">
            <v>B#247</v>
          </cell>
          <cell r="B551" t="str">
            <v>直播</v>
          </cell>
          <cell r="C551" t="str">
            <v>视频设备-效果设备</v>
          </cell>
          <cell r="D551" t="str">
            <v>慢放机</v>
          </cell>
          <cell r="E551" t="str">
            <v>50I 4路</v>
          </cell>
          <cell r="F551" t="str">
            <v>每台每天</v>
          </cell>
        </row>
        <row r="552">
          <cell r="A552" t="str">
            <v>B#248</v>
          </cell>
          <cell r="B552" t="str">
            <v>直播</v>
          </cell>
          <cell r="C552" t="str">
            <v>导播讯道辅助设备</v>
          </cell>
          <cell r="D552" t="str">
            <v>Jimmy Dolly 轨道车</v>
          </cell>
          <cell r="E552" t="str">
            <v>-</v>
          </cell>
          <cell r="F552" t="str">
            <v>每只每天</v>
          </cell>
        </row>
        <row r="553">
          <cell r="A553" t="str">
            <v>B#249</v>
          </cell>
          <cell r="B553" t="str">
            <v>直播</v>
          </cell>
          <cell r="C553" t="str">
            <v>导播讯道辅助设备</v>
          </cell>
          <cell r="D553" t="str">
            <v>斯坦尼康稳定器</v>
          </cell>
          <cell r="E553" t="str">
            <v>-</v>
          </cell>
          <cell r="F553" t="str">
            <v>每套每天</v>
          </cell>
        </row>
        <row r="554">
          <cell r="A554" t="str">
            <v>B#250</v>
          </cell>
          <cell r="B554" t="str">
            <v>直播</v>
          </cell>
          <cell r="C554" t="str">
            <v>导播讯道辅助设备</v>
          </cell>
          <cell r="D554" t="str">
            <v>无线图传高功（100-300m）</v>
          </cell>
          <cell r="E554" t="str">
            <v>威固600或猛犸400s</v>
          </cell>
          <cell r="F554" t="str">
            <v>每套每天</v>
          </cell>
        </row>
        <row r="555">
          <cell r="A555" t="str">
            <v>B#251</v>
          </cell>
          <cell r="B555" t="str">
            <v>直播</v>
          </cell>
          <cell r="C555" t="str">
            <v>导播讯道辅助设备</v>
          </cell>
          <cell r="D555" t="str">
            <v>无线微波传输器30-80M</v>
          </cell>
          <cell r="E555" t="str">
            <v>-</v>
          </cell>
          <cell r="F555" t="str">
            <v>每套每天</v>
          </cell>
        </row>
        <row r="556">
          <cell r="A556" t="str">
            <v>B#252</v>
          </cell>
          <cell r="B556" t="str">
            <v>直播</v>
          </cell>
          <cell r="C556" t="str">
            <v>导播讯道辅助设备</v>
          </cell>
          <cell r="D556" t="str">
            <v>无线微波传输器1KM以内</v>
          </cell>
          <cell r="E556" t="str">
            <v>LINK L1500/L2174</v>
          </cell>
          <cell r="F556" t="str">
            <v>每套每天</v>
          </cell>
        </row>
        <row r="557">
          <cell r="A557" t="str">
            <v>B#253</v>
          </cell>
          <cell r="B557" t="str">
            <v>直播</v>
          </cell>
          <cell r="C557" t="str">
            <v>导播讯道辅助设备</v>
          </cell>
          <cell r="D557" t="str">
            <v>监视器</v>
          </cell>
          <cell r="E557" t="str">
            <v>SONY（索尼）</v>
          </cell>
          <cell r="F557" t="str">
            <v>每台每天</v>
          </cell>
        </row>
        <row r="558">
          <cell r="A558" t="str">
            <v>B#254</v>
          </cell>
          <cell r="B558" t="str">
            <v>直播</v>
          </cell>
          <cell r="C558" t="str">
            <v>视频设备-效果设备</v>
          </cell>
          <cell r="D558" t="str">
            <v>在线包装系统</v>
          </cell>
          <cell r="E558" t="str">
            <v>-</v>
          </cell>
          <cell r="F558" t="str">
            <v>每台每天</v>
          </cell>
        </row>
        <row r="559">
          <cell r="A559" t="str">
            <v>B#255</v>
          </cell>
          <cell r="B559" t="str">
            <v>直播</v>
          </cell>
          <cell r="C559" t="str">
            <v>视频设备-效果设备</v>
          </cell>
          <cell r="D559" t="str">
            <v>达芬奇调色器</v>
          </cell>
          <cell r="E559" t="str">
            <v>-</v>
          </cell>
          <cell r="F559" t="str">
            <v>每台每天</v>
          </cell>
        </row>
        <row r="560">
          <cell r="A560" t="str">
            <v>B#256</v>
          </cell>
          <cell r="B560" t="str">
            <v>直播</v>
          </cell>
          <cell r="C560" t="str">
            <v>视频设备</v>
          </cell>
          <cell r="D560" t="str">
            <v>加嵌器/解嵌器</v>
          </cell>
          <cell r="E560" t="str">
            <v>BMD</v>
          </cell>
          <cell r="F560" t="str">
            <v>每台每天</v>
          </cell>
        </row>
        <row r="561">
          <cell r="A561" t="str">
            <v>B#257</v>
          </cell>
          <cell r="B561" t="str">
            <v>直播</v>
          </cell>
          <cell r="C561" t="str">
            <v>视频设备</v>
          </cell>
          <cell r="D561" t="str">
            <v>视频分配器</v>
          </cell>
          <cell r="E561" t="str">
            <v>-</v>
          </cell>
          <cell r="F561" t="str">
            <v>每台每天</v>
          </cell>
        </row>
        <row r="562">
          <cell r="A562" t="str">
            <v>B#258</v>
          </cell>
          <cell r="B562" t="str">
            <v>直播</v>
          </cell>
          <cell r="C562" t="str">
            <v>视频设备</v>
          </cell>
          <cell r="D562" t="str">
            <v>视频光端机</v>
          </cell>
          <cell r="E562" t="str">
            <v>-</v>
          </cell>
          <cell r="F562" t="str">
            <v>每台每天</v>
          </cell>
        </row>
        <row r="563">
          <cell r="A563" t="str">
            <v>B#259</v>
          </cell>
          <cell r="B563" t="str">
            <v>直播</v>
          </cell>
          <cell r="C563" t="str">
            <v>传输设备</v>
          </cell>
          <cell r="D563" t="str">
            <v>视频转换器</v>
          </cell>
          <cell r="E563" t="str">
            <v>HDMI转SDI</v>
          </cell>
          <cell r="F563" t="str">
            <v>套</v>
          </cell>
        </row>
        <row r="564">
          <cell r="A564" t="str">
            <v>B#260</v>
          </cell>
          <cell r="B564" t="str">
            <v>直播</v>
          </cell>
          <cell r="C564" t="str">
            <v>传输设备</v>
          </cell>
          <cell r="D564" t="str">
            <v>4K转播车</v>
          </cell>
          <cell r="E564" t="str">
            <v>-</v>
          </cell>
          <cell r="F564" t="str">
            <v>套</v>
          </cell>
        </row>
        <row r="565">
          <cell r="A565" t="str">
            <v>B#261</v>
          </cell>
          <cell r="B565" t="str">
            <v>直播</v>
          </cell>
          <cell r="C565" t="str">
            <v>传输设备</v>
          </cell>
          <cell r="D565" t="str">
            <v>4K讯道系统</v>
          </cell>
          <cell r="E565" t="str">
            <v>-</v>
          </cell>
          <cell r="F565" t="str">
            <v>套</v>
          </cell>
        </row>
        <row r="566">
          <cell r="A566" t="str">
            <v>B#262</v>
          </cell>
          <cell r="B566" t="str">
            <v>直播</v>
          </cell>
          <cell r="C566" t="str">
            <v>传输设备</v>
          </cell>
          <cell r="D566" t="str">
            <v>4G传输设备</v>
          </cell>
          <cell r="E566" t="str">
            <v>多卡聚合路由器</v>
          </cell>
          <cell r="F566" t="str">
            <v>每套每场</v>
          </cell>
        </row>
        <row r="567">
          <cell r="A567" t="str">
            <v>B#263</v>
          </cell>
          <cell r="B567" t="str">
            <v>直播</v>
          </cell>
          <cell r="C567" t="str">
            <v>采集设备</v>
          </cell>
          <cell r="D567" t="str">
            <v>sdi采集卡</v>
          </cell>
          <cell r="E567" t="str">
            <v>-</v>
          </cell>
          <cell r="F567" t="str">
            <v>每个每场</v>
          </cell>
        </row>
        <row r="568">
          <cell r="A568" t="str">
            <v>B#264</v>
          </cell>
          <cell r="B568" t="str">
            <v>直播</v>
          </cell>
          <cell r="C568" t="str">
            <v>推流设备</v>
          </cell>
          <cell r="D568" t="str">
            <v>国产信号采集及编码上传设备</v>
          </cell>
          <cell r="E568" t="str">
            <v>高视T80采编传输一体设备</v>
          </cell>
          <cell r="F568" t="str">
            <v>每套每场</v>
          </cell>
        </row>
        <row r="569">
          <cell r="A569" t="str">
            <v>B#265</v>
          </cell>
          <cell r="B569" t="str">
            <v>直播</v>
          </cell>
          <cell r="C569" t="str">
            <v>推流设备</v>
          </cell>
          <cell r="D569" t="str">
            <v>进口信号采集及编码上传设备</v>
          </cell>
          <cell r="E569" t="str">
            <v>liveU 、TVU ONE</v>
          </cell>
          <cell r="F569" t="str">
            <v>每套每场</v>
          </cell>
        </row>
        <row r="570">
          <cell r="A570" t="str">
            <v>B#266</v>
          </cell>
          <cell r="B570" t="str">
            <v>直播</v>
          </cell>
          <cell r="C570" t="str">
            <v>视频设备-效果设备</v>
          </cell>
          <cell r="D570" t="str">
            <v>脱敏延时</v>
          </cell>
          <cell r="E570" t="str">
            <v>T2</v>
          </cell>
          <cell r="F570" t="str">
            <v>每台每天</v>
          </cell>
        </row>
        <row r="571">
          <cell r="A571" t="str">
            <v>B#267</v>
          </cell>
          <cell r="B571" t="str">
            <v>直播</v>
          </cell>
          <cell r="C571" t="str">
            <v>视频设备-效果设备</v>
          </cell>
          <cell r="D571" t="str">
            <v>脱敏延时</v>
          </cell>
          <cell r="E571" t="str">
            <v>Redlink</v>
          </cell>
          <cell r="F571" t="str">
            <v>每台每天</v>
          </cell>
        </row>
        <row r="572">
          <cell r="A572" t="str">
            <v>B#293</v>
          </cell>
          <cell r="B572" t="str">
            <v>签到</v>
          </cell>
          <cell r="C572" t="str">
            <v>扫码枪</v>
          </cell>
          <cell r="D572" t="str">
            <v>租赁</v>
          </cell>
          <cell r="E572" t="str">
            <v>-</v>
          </cell>
          <cell r="F572" t="str">
            <v>每台每天</v>
          </cell>
          <cell r="G572">
            <v>153.69999999999999</v>
          </cell>
        </row>
        <row r="573">
          <cell r="A573" t="str">
            <v>B#294</v>
          </cell>
          <cell r="B573" t="str">
            <v>签到</v>
          </cell>
          <cell r="C573" t="str">
            <v>自助机（身份证功能）</v>
          </cell>
          <cell r="D573" t="str">
            <v>液晶触摸屏，含二维条码读取器及取卡口</v>
          </cell>
          <cell r="E573" t="str">
            <v>17寸以上</v>
          </cell>
          <cell r="F573" t="str">
            <v>每台每天</v>
          </cell>
          <cell r="G573">
            <v>700</v>
          </cell>
        </row>
        <row r="574">
          <cell r="A574" t="str">
            <v>B#295</v>
          </cell>
          <cell r="B574" t="str">
            <v>签到</v>
          </cell>
          <cell r="C574" t="str">
            <v>PDA扫描设备</v>
          </cell>
          <cell r="D574" t="str">
            <v>用于门禁等</v>
          </cell>
          <cell r="E574" t="str">
            <v>-</v>
          </cell>
          <cell r="F574" t="str">
            <v>每台每天</v>
          </cell>
          <cell r="G574">
            <v>318</v>
          </cell>
        </row>
        <row r="575">
          <cell r="A575" t="str">
            <v>B#296</v>
          </cell>
          <cell r="B575" t="str">
            <v>签到</v>
          </cell>
          <cell r="C575" t="str">
            <v>刷卡闸机</v>
          </cell>
          <cell r="D575" t="str">
            <v>用于门禁等</v>
          </cell>
          <cell r="E575" t="str">
            <v>-</v>
          </cell>
          <cell r="F575" t="str">
            <v>每台每天</v>
          </cell>
          <cell r="G575">
            <v>1590</v>
          </cell>
        </row>
        <row r="576">
          <cell r="A576" t="str">
            <v>B#297</v>
          </cell>
          <cell r="B576" t="str">
            <v>签到</v>
          </cell>
          <cell r="C576" t="str">
            <v>短信服务</v>
          </cell>
          <cell r="D576" t="str">
            <v>短信提醒</v>
          </cell>
          <cell r="E576" t="str">
            <v>按每条计算，起订量不低于300条</v>
          </cell>
          <cell r="F576" t="str">
            <v>条</v>
          </cell>
          <cell r="G576">
            <v>0.11</v>
          </cell>
        </row>
        <row r="577">
          <cell r="A577" t="str">
            <v>第三方人员类</v>
          </cell>
        </row>
        <row r="578">
          <cell r="A578" t="str">
            <v>C#001</v>
          </cell>
          <cell r="B578" t="str">
            <v>内容制作</v>
          </cell>
          <cell r="C578" t="str">
            <v>平面制作</v>
          </cell>
          <cell r="D578" t="str">
            <v>PPT美化</v>
          </cell>
          <cell r="E578" t="str">
            <v>根据设计风格排版，调整宽屏进行美化</v>
          </cell>
          <cell r="F578" t="str">
            <v>页</v>
          </cell>
          <cell r="G578">
            <v>416.67</v>
          </cell>
        </row>
        <row r="579">
          <cell r="A579" t="str">
            <v>C#002</v>
          </cell>
          <cell r="B579" t="str">
            <v>内容制作</v>
          </cell>
          <cell r="C579" t="str">
            <v>平面制作</v>
          </cell>
          <cell r="D579" t="str">
            <v>PPT设计</v>
          </cell>
          <cell r="E579" t="str">
            <v>需设计icon、图片重新绘制图表等并对其整体风格进行排版美化</v>
          </cell>
          <cell r="F579" t="str">
            <v>页</v>
          </cell>
          <cell r="G579">
            <v>1060</v>
          </cell>
        </row>
        <row r="580">
          <cell r="A580" t="str">
            <v>C#003</v>
          </cell>
          <cell r="B580" t="str">
            <v>内容制作</v>
          </cell>
          <cell r="C580" t="str">
            <v>平面制作</v>
          </cell>
          <cell r="D580" t="str">
            <v>Keynote美化</v>
          </cell>
          <cell r="E580" t="str">
            <v>根据设计风格排版，调整宽屏进行美化</v>
          </cell>
          <cell r="F580" t="str">
            <v>页</v>
          </cell>
          <cell r="G580">
            <v>516.66999999999996</v>
          </cell>
        </row>
        <row r="581">
          <cell r="A581" t="str">
            <v>C#004</v>
          </cell>
          <cell r="B581" t="str">
            <v>内容制作</v>
          </cell>
          <cell r="C581" t="str">
            <v>平面制作</v>
          </cell>
          <cell r="D581" t="str">
            <v>Keynote设计</v>
          </cell>
          <cell r="E581" t="str">
            <v>需设计icon、图片重新绘制图表等并对其整体风格进行排版美化</v>
          </cell>
          <cell r="F581" t="str">
            <v>页</v>
          </cell>
          <cell r="G581">
            <v>1484</v>
          </cell>
        </row>
        <row r="582">
          <cell r="A582" t="str">
            <v>C#005</v>
          </cell>
          <cell r="B582" t="str">
            <v>内容制作</v>
          </cell>
          <cell r="C582" t="str">
            <v>视频制作</v>
          </cell>
          <cell r="D582" t="str">
            <v>活动流程相关视频素材包装及剪辑</v>
          </cell>
          <cell r="E582" t="str">
            <v>现有素材+包含简单后期渲染输出，开场3分钟以内，串场1分钟以内</v>
          </cell>
          <cell r="F582" t="str">
            <v>秒</v>
          </cell>
          <cell r="G582">
            <v>260</v>
          </cell>
        </row>
        <row r="583">
          <cell r="A583" t="str">
            <v>C#006</v>
          </cell>
          <cell r="B583" t="str">
            <v>内容制作</v>
          </cell>
          <cell r="C583" t="str">
            <v>视频制作</v>
          </cell>
          <cell r="D583" t="str">
            <v>活动内容素材整理、快速剪辑，粗剪</v>
          </cell>
          <cell r="E583" t="str">
            <v>拍摄结束后2小时内完成快速剪辑，2分钟以内，超出2分钟按照2分钟计价</v>
          </cell>
          <cell r="F583" t="str">
            <v>条</v>
          </cell>
          <cell r="G583">
            <v>2400</v>
          </cell>
        </row>
        <row r="584">
          <cell r="A584" t="str">
            <v>C#007</v>
          </cell>
          <cell r="B584" t="str">
            <v>内容制作</v>
          </cell>
          <cell r="C584" t="str">
            <v>视频制作</v>
          </cell>
          <cell r="D584" t="str">
            <v>活动内容素材整理，精剪</v>
          </cell>
          <cell r="E584" t="str">
            <v>视频素材整理，精修，2分钟以内，超出2分钟按照2分钟计价</v>
          </cell>
          <cell r="F584" t="str">
            <v>条</v>
          </cell>
          <cell r="G584">
            <v>3180</v>
          </cell>
        </row>
        <row r="585">
          <cell r="A585" t="str">
            <v>C#018</v>
          </cell>
          <cell r="B585" t="str">
            <v>内容制作</v>
          </cell>
          <cell r="C585" t="str">
            <v>H5</v>
          </cell>
          <cell r="D585" t="str">
            <v>H5邀请页面制作</v>
          </cell>
          <cell r="E585" t="str">
            <v>按页面数量计费，有简单交互功能（点击翻页、点击输入信息等），不包含程序</v>
          </cell>
          <cell r="F585" t="str">
            <v>页</v>
          </cell>
          <cell r="G585">
            <v>750</v>
          </cell>
        </row>
        <row r="586">
          <cell r="A586" t="str">
            <v>C#019</v>
          </cell>
          <cell r="B586" t="str">
            <v>内容制作</v>
          </cell>
          <cell r="C586" t="str">
            <v>H5</v>
          </cell>
          <cell r="D586" t="str">
            <v>H5前端程序开发</v>
          </cell>
          <cell r="E586" t="str">
            <v>前端页面制作，动效实现</v>
          </cell>
          <cell r="F586" t="str">
            <v>页</v>
          </cell>
          <cell r="G586">
            <v>2968</v>
          </cell>
        </row>
        <row r="587">
          <cell r="A587" t="str">
            <v>C#020</v>
          </cell>
          <cell r="B587" t="str">
            <v>内容制作</v>
          </cell>
          <cell r="C587" t="str">
            <v>H5</v>
          </cell>
          <cell r="D587" t="str">
            <v>H5模块开发</v>
          </cell>
          <cell r="E587" t="str">
            <v>基于功能需求的定制化模块后端程序开发</v>
          </cell>
          <cell r="F587" t="str">
            <v>页</v>
          </cell>
          <cell r="G587">
            <v>3561.6</v>
          </cell>
        </row>
        <row r="588">
          <cell r="A588" t="str">
            <v>C#030</v>
          </cell>
          <cell r="B588" t="str">
            <v>侧拍摄影摄像</v>
          </cell>
          <cell r="C588" t="str">
            <v>摄影</v>
          </cell>
          <cell r="D588" t="str">
            <v>普通数字摄影</v>
          </cell>
          <cell r="E588" t="str">
            <v>人员劳务费及基础拍摄设备。不含住宿、交通、补贴等费用，每天不超过8小时，彩排与活动日价格一致（5年从业经验）</v>
          </cell>
          <cell r="F588" t="str">
            <v>每人每天</v>
          </cell>
          <cell r="G588">
            <v>2200</v>
          </cell>
        </row>
        <row r="589">
          <cell r="A589" t="str">
            <v>C#031</v>
          </cell>
          <cell r="B589" t="str">
            <v>侧拍摄影摄像</v>
          </cell>
          <cell r="C589" t="str">
            <v>摄像</v>
          </cell>
          <cell r="D589" t="str">
            <v>延时拍摄</v>
          </cell>
          <cell r="E589" t="str">
            <v>人员劳务费及基础拍摄设备。不含住宿、交通、补贴等费用（5年从业经验）</v>
          </cell>
          <cell r="F589" t="str">
            <v>每人每天</v>
          </cell>
          <cell r="G589">
            <v>2066.67</v>
          </cell>
        </row>
        <row r="590">
          <cell r="A590" t="str">
            <v>C#032</v>
          </cell>
          <cell r="B590" t="str">
            <v>侧拍摄影摄像</v>
          </cell>
          <cell r="C590" t="str">
            <v>摄像</v>
          </cell>
          <cell r="D590" t="str">
            <v>普通数字视频拍摄</v>
          </cell>
          <cell r="E590" t="str">
            <v>人员劳务费及基础拍摄设备。不含住宿、交通、补贴等费用，每天不超过8小时，彩排与活动日价格一致（5年从业经验）</v>
          </cell>
          <cell r="F590" t="str">
            <v>每人每天</v>
          </cell>
          <cell r="G590">
            <v>2438</v>
          </cell>
        </row>
        <row r="591">
          <cell r="A591" t="str">
            <v>C#033</v>
          </cell>
          <cell r="B591" t="str">
            <v>侧拍摄影摄像</v>
          </cell>
          <cell r="C591" t="str">
            <v>摄影摄像</v>
          </cell>
          <cell r="D591" t="str">
            <v>航拍</v>
          </cell>
          <cell r="E591" t="str">
            <v>飞手人员及基础设备劳务费。不含住宿、交通、补贴等费用，每天不超过8小时，彩排与活动日价格一致</v>
          </cell>
          <cell r="F591" t="str">
            <v>每人每天</v>
          </cell>
          <cell r="G591">
            <v>3498</v>
          </cell>
        </row>
        <row r="592">
          <cell r="A592" t="str">
            <v>C#034</v>
          </cell>
          <cell r="B592" t="str">
            <v>侧拍摄影摄像</v>
          </cell>
          <cell r="C592" t="str">
            <v>云摄影</v>
          </cell>
          <cell r="D592" t="str">
            <v>现场修图师</v>
          </cell>
          <cell r="E592" t="str">
            <v>人员劳务，不含住宿、交通、补贴等费用，每天不超过8小时</v>
          </cell>
          <cell r="F592" t="str">
            <v>每人每天</v>
          </cell>
          <cell r="G592">
            <v>1500</v>
          </cell>
        </row>
        <row r="593">
          <cell r="A593" t="str">
            <v>C#035</v>
          </cell>
          <cell r="B593" t="str">
            <v>侧拍摄影摄像</v>
          </cell>
          <cell r="C593" t="str">
            <v>云摄影</v>
          </cell>
          <cell r="D593" t="str">
            <v>摄影师+修图+平台使用</v>
          </cell>
          <cell r="E593" t="str">
            <v>人员劳务费及基础拍摄设备。不含住宿、交通、补贴等费用，每天不超过8小时，彩排与活动日价格一致</v>
          </cell>
          <cell r="F593" t="str">
            <v>每人每天</v>
          </cell>
          <cell r="G593">
            <v>3498.33</v>
          </cell>
        </row>
        <row r="594">
          <cell r="A594" t="str">
            <v>C#036</v>
          </cell>
          <cell r="B594" t="str">
            <v>侧拍摄影摄像</v>
          </cell>
          <cell r="C594" t="str">
            <v>云摄影</v>
          </cell>
          <cell r="D594" t="str">
            <v>Ai修图+平台使用</v>
          </cell>
          <cell r="E594" t="str">
            <v>AI修图及平台使用，例如VPHOTO</v>
          </cell>
          <cell r="F594" t="str">
            <v>场</v>
          </cell>
          <cell r="G594">
            <v>3500</v>
          </cell>
        </row>
        <row r="595">
          <cell r="A595" t="str">
            <v>C#037</v>
          </cell>
          <cell r="B595" t="str">
            <v>技术人员</v>
          </cell>
          <cell r="C595" t="str">
            <v>灯光音视频技术人员</v>
          </cell>
          <cell r="D595" t="str">
            <v>总监-现场总控</v>
          </cell>
          <cell r="E595" t="str">
            <v>普通级别，人员劳务费。不含住宿、交通、补贴等费用，每场不超过8小时</v>
          </cell>
          <cell r="F595" t="str">
            <v>每人每天</v>
          </cell>
          <cell r="G595">
            <v>604.20000000000005</v>
          </cell>
        </row>
        <row r="596">
          <cell r="A596" t="str">
            <v>C#038</v>
          </cell>
          <cell r="B596" t="str">
            <v>技术人员</v>
          </cell>
          <cell r="C596" t="str">
            <v>灯光音视频技术人员</v>
          </cell>
          <cell r="D596" t="str">
            <v>技师-控台人员</v>
          </cell>
          <cell r="E596" t="str">
            <v>人员劳务费。不含住宿、交通、补贴等费用，每场不超过8小时</v>
          </cell>
          <cell r="F596" t="str">
            <v>每人每天</v>
          </cell>
          <cell r="G596">
            <v>614.79999999999995</v>
          </cell>
        </row>
        <row r="597">
          <cell r="A597" t="str">
            <v>C#040</v>
          </cell>
          <cell r="B597" t="str">
            <v>技术人员</v>
          </cell>
          <cell r="C597" t="str">
            <v>直播推流技术人员</v>
          </cell>
          <cell r="D597" t="str">
            <v>网络工程师</v>
          </cell>
          <cell r="E597" t="str">
            <v>人员劳务费。不含住宿、交通、补贴等费用，每场不超过8小时，活动当日推流操作及保障</v>
          </cell>
          <cell r="F597" t="str">
            <v>每人每天</v>
          </cell>
          <cell r="G597">
            <v>1484</v>
          </cell>
        </row>
        <row r="598">
          <cell r="A598" t="str">
            <v>C#046</v>
          </cell>
          <cell r="B598" t="str">
            <v>搭建人员</v>
          </cell>
          <cell r="C598" t="str">
            <v>搭建人员</v>
          </cell>
          <cell r="D598" t="str">
            <v>搭建人工</v>
          </cell>
          <cell r="E598" t="str">
            <v>人员劳务费，每场不超过8小时</v>
          </cell>
          <cell r="F598" t="str">
            <v>每人每场</v>
          </cell>
          <cell r="G598">
            <v>316.67</v>
          </cell>
        </row>
        <row r="599">
          <cell r="A599" t="str">
            <v>C#047</v>
          </cell>
          <cell r="B599" t="str">
            <v>搭建人员</v>
          </cell>
          <cell r="C599" t="str">
            <v>搭建人员</v>
          </cell>
          <cell r="D599" t="str">
            <v>高空作业</v>
          </cell>
          <cell r="E599" t="str">
            <v>持高空作业资格证专业上岗人员，人员劳务费，每场不超过8小时</v>
          </cell>
          <cell r="F599" t="str">
            <v>每人每场</v>
          </cell>
        </row>
        <row r="600">
          <cell r="A600" t="str">
            <v>C#048</v>
          </cell>
          <cell r="B600" t="str">
            <v>搭建人员</v>
          </cell>
          <cell r="C600" t="str">
            <v>搭建人员</v>
          </cell>
          <cell r="D600" t="str">
            <v>美工</v>
          </cell>
          <cell r="E600" t="str">
            <v>人员劳务费。不含住宿、交通、补贴等费用，白天8小时/班，夜间4小时/班</v>
          </cell>
          <cell r="F600" t="str">
            <v>每人每场</v>
          </cell>
          <cell r="G600">
            <v>318</v>
          </cell>
        </row>
        <row r="601">
          <cell r="A601" t="str">
            <v>C#049</v>
          </cell>
          <cell r="B601" t="str">
            <v>搭建人员</v>
          </cell>
          <cell r="C601" t="str">
            <v>搭建人员</v>
          </cell>
          <cell r="D601" t="str">
            <v>电工</v>
          </cell>
          <cell r="E601" t="str">
            <v>人员劳务费。不含住宿、交通、补贴等费用，白天8小时/班，夜间4小时/班</v>
          </cell>
          <cell r="F601" t="str">
            <v>每人每场</v>
          </cell>
          <cell r="G601">
            <v>424</v>
          </cell>
        </row>
        <row r="602">
          <cell r="A602" t="str">
            <v>C#050</v>
          </cell>
          <cell r="B602" t="str">
            <v>运营人员</v>
          </cell>
          <cell r="C602" t="str">
            <v>服务人员</v>
          </cell>
          <cell r="D602" t="str">
            <v>场工</v>
          </cell>
          <cell r="E602" t="str">
            <v>不含住宿、交通、补贴、餐费等费用，负责物料、道具的搬运，装台，卸台。</v>
          </cell>
          <cell r="F602" t="str">
            <v>每人每天</v>
          </cell>
        </row>
        <row r="603">
          <cell r="A603" t="str">
            <v>C#051</v>
          </cell>
          <cell r="B603" t="str">
            <v>运营人员</v>
          </cell>
          <cell r="C603" t="str">
            <v>服务人员</v>
          </cell>
          <cell r="D603" t="str">
            <v>保洁</v>
          </cell>
          <cell r="E603" t="str">
            <v>人员劳务费，每场按4小时计，含个税</v>
          </cell>
          <cell r="F603" t="str">
            <v>每人每场</v>
          </cell>
          <cell r="G603">
            <v>190.8</v>
          </cell>
        </row>
        <row r="604">
          <cell r="A604" t="str">
            <v>C#052</v>
          </cell>
          <cell r="B604" t="str">
            <v>运营人员</v>
          </cell>
          <cell r="C604" t="str">
            <v>服务人员</v>
          </cell>
          <cell r="D604" t="str">
            <v>高级礼仪</v>
          </cell>
          <cell r="E604" t="str">
            <v>身高168cm以上，有过2年以上大型活动经验
 人员劳务费。不含住宿、交通、补贴等费用，每场不超过8小时
 彩排按每人0.5场收费，含个税</v>
          </cell>
          <cell r="F604" t="str">
            <v>每人每场</v>
          </cell>
          <cell r="G604">
            <v>948</v>
          </cell>
        </row>
        <row r="605">
          <cell r="A605" t="str">
            <v>C#053</v>
          </cell>
          <cell r="B605" t="str">
            <v>运营人员</v>
          </cell>
          <cell r="C605" t="str">
            <v>服务人员</v>
          </cell>
          <cell r="D605" t="str">
            <v>礼仪</v>
          </cell>
          <cell r="E605" t="str">
            <v>人员劳务费。不含住宿、交通、补贴等费用，每场不超过8小时
 彩排按每人0.5场收费，含个税</v>
          </cell>
          <cell r="F605" t="str">
            <v>每人每场</v>
          </cell>
          <cell r="G605">
            <v>689</v>
          </cell>
        </row>
        <row r="606">
          <cell r="A606" t="str">
            <v>C#054</v>
          </cell>
          <cell r="B606" t="str">
            <v>运营人员</v>
          </cell>
          <cell r="C606" t="str">
            <v>服务人员</v>
          </cell>
          <cell r="D606" t="str">
            <v>兼职人员</v>
          </cell>
          <cell r="E606" t="str">
            <v>人员劳务费。不含住宿、交通、补贴等费用，每场不超过8小时
 彩排按每人0.5场收费，含个税</v>
          </cell>
          <cell r="F606" t="str">
            <v>每人每场</v>
          </cell>
          <cell r="G606">
            <v>318</v>
          </cell>
        </row>
        <row r="607">
          <cell r="A607" t="str">
            <v>C#055</v>
          </cell>
          <cell r="B607" t="str">
            <v>运营人员</v>
          </cell>
          <cell r="C607" t="str">
            <v>翻译速记</v>
          </cell>
          <cell r="D607" t="str">
            <v>速记</v>
          </cell>
          <cell r="E607" t="str">
            <v>专业速记证书
 人员劳务费。不含住宿、交通、补贴等费用，每场不超过4小时，含个税</v>
          </cell>
          <cell r="F607" t="str">
            <v>每人每场</v>
          </cell>
          <cell r="G607">
            <v>2000</v>
          </cell>
        </row>
        <row r="608">
          <cell r="A608" t="str">
            <v>C#056</v>
          </cell>
          <cell r="B608" t="str">
            <v>运营人员</v>
          </cell>
          <cell r="C608" t="str">
            <v>专业人员</v>
          </cell>
          <cell r="D608" t="str">
            <v>录音师</v>
          </cell>
          <cell r="E608" t="str">
            <v>录音师助理-初级(8小时，不含住宿、交通、补贴等费用，含餐费）</v>
          </cell>
          <cell r="F608" t="str">
            <v>每人每天</v>
          </cell>
        </row>
        <row r="609">
          <cell r="A609" t="str">
            <v>C#057</v>
          </cell>
          <cell r="B609" t="str">
            <v>运营人员</v>
          </cell>
          <cell r="C609" t="str">
            <v>专业人员</v>
          </cell>
          <cell r="D609" t="str">
            <v>录音师</v>
          </cell>
          <cell r="E609" t="str">
            <v>普通级别录音师-中级(8小时，不含住宿、交通、补贴等费用，含餐费）</v>
          </cell>
          <cell r="F609" t="str">
            <v>每人每天</v>
          </cell>
        </row>
        <row r="610">
          <cell r="A610" t="str">
            <v>Onsite 人员</v>
          </cell>
        </row>
        <row r="611">
          <cell r="A611" t="str">
            <v>D#001</v>
          </cell>
          <cell r="B611" t="str">
            <v>Onsite 人员</v>
          </cell>
          <cell r="C611" t="str">
            <v>服务人员</v>
          </cell>
          <cell r="D611" t="str">
            <v>项目总监</v>
          </cell>
          <cell r="E611" t="str">
            <v>人员劳务费。不含住宿、交通、补贴等费用，每天不超过8小时</v>
          </cell>
          <cell r="F611" t="str">
            <v>每人每天</v>
          </cell>
          <cell r="G611">
            <v>1060</v>
          </cell>
        </row>
        <row r="612">
          <cell r="A612" t="str">
            <v>D#002</v>
          </cell>
          <cell r="B612" t="str">
            <v>Onsite 人员</v>
          </cell>
          <cell r="C612" t="str">
            <v>服务人员</v>
          </cell>
          <cell r="D612" t="str">
            <v>项目经理</v>
          </cell>
          <cell r="E612" t="str">
            <v>人员劳务费。不含住宿、交通、补贴等费用，每天不超过8小时</v>
          </cell>
          <cell r="F612" t="str">
            <v>每人每天</v>
          </cell>
          <cell r="G612">
            <v>848</v>
          </cell>
        </row>
        <row r="613">
          <cell r="A613" t="str">
            <v>D#003</v>
          </cell>
          <cell r="B613" t="str">
            <v>Onsite 人员</v>
          </cell>
          <cell r="C613" t="str">
            <v>服务人员</v>
          </cell>
          <cell r="D613" t="str">
            <v>项目助理</v>
          </cell>
          <cell r="E613" t="str">
            <v>人员劳务费。不含住宿、交通、补贴等费用，每天不超过8小时</v>
          </cell>
          <cell r="F613" t="str">
            <v>每人每天</v>
          </cell>
          <cell r="G613">
            <v>530</v>
          </cell>
        </row>
        <row r="614">
          <cell r="A614" t="str">
            <v>D#004</v>
          </cell>
          <cell r="B614" t="str">
            <v>Onsite 人员</v>
          </cell>
          <cell r="C614" t="str">
            <v>服务人员</v>
          </cell>
          <cell r="D614" t="str">
            <v>地接上会服务人员</v>
          </cell>
          <cell r="E614" t="str">
            <v>人员劳务费。不含住宿、交通、补贴等费用，每天不超过8小时</v>
          </cell>
          <cell r="F614" t="str">
            <v>每人每天</v>
          </cell>
          <cell r="G614">
            <v>530</v>
          </cell>
        </row>
        <row r="615">
          <cell r="A615" t="str">
            <v>D#005</v>
          </cell>
          <cell r="B615" t="str">
            <v>Onsite 人员</v>
          </cell>
          <cell r="C615" t="str">
            <v>导游</v>
          </cell>
          <cell r="D615" t="str">
            <v>普通中文导游</v>
          </cell>
          <cell r="E615" t="str">
            <v>人员劳务费。不含住宿、交通、补贴等费用，每天不超过8小时</v>
          </cell>
          <cell r="F615" t="str">
            <v>每人每天</v>
          </cell>
          <cell r="G615">
            <v>671.33333333333337</v>
          </cell>
        </row>
        <row r="616">
          <cell r="A616" t="str">
            <v>D#006</v>
          </cell>
          <cell r="B616" t="str">
            <v>Onsite 人员</v>
          </cell>
          <cell r="C616" t="str">
            <v>导游</v>
          </cell>
          <cell r="D616" t="str">
            <v>高级中文导游</v>
          </cell>
          <cell r="E616" t="str">
            <v>人员劳务费。不含住宿、交通、补贴等费用，每天不超过8小时</v>
          </cell>
          <cell r="F616" t="str">
            <v>每人每天</v>
          </cell>
          <cell r="G616">
            <v>989.33333333333337</v>
          </cell>
        </row>
        <row r="617">
          <cell r="A617" t="str">
            <v>D#007</v>
          </cell>
          <cell r="B617" t="str">
            <v>Onsite 人员</v>
          </cell>
          <cell r="C617" t="str">
            <v>导游</v>
          </cell>
          <cell r="D617" t="str">
            <v>普通英文导游</v>
          </cell>
          <cell r="E617" t="str">
            <v>人员劳务费。不含住宿、交通、补贴等费用，每天不超过8小时</v>
          </cell>
          <cell r="F617" t="str">
            <v>每人每天</v>
          </cell>
          <cell r="G617">
            <v>1060</v>
          </cell>
        </row>
        <row r="618">
          <cell r="A618" t="str">
            <v>D#008</v>
          </cell>
          <cell r="B618" t="str">
            <v>Onsite 人员</v>
          </cell>
          <cell r="C618" t="str">
            <v>导游</v>
          </cell>
          <cell r="D618" t="str">
            <v>高级英文导游</v>
          </cell>
          <cell r="E618" t="str">
            <v>人员劳务费。不含住宿、交通、补贴等费用，每天不超过8小时</v>
          </cell>
          <cell r="F618" t="str">
            <v>每人每天</v>
          </cell>
          <cell r="G618">
            <v>1590</v>
          </cell>
        </row>
        <row r="619">
          <cell r="A619" t="str">
            <v>创意</v>
          </cell>
        </row>
        <row r="620">
          <cell r="A620" t="str">
            <v>E#009</v>
          </cell>
          <cell r="B620" t="str">
            <v>导演组</v>
          </cell>
          <cell r="C620" t="str">
            <v>内容组</v>
          </cell>
          <cell r="D620" t="str">
            <v>导演</v>
          </cell>
          <cell r="E620" t="str">
            <v>导演助理-初级，不含住宿、交通、补贴、餐费等费用</v>
          </cell>
          <cell r="F620" t="str">
            <v>每人每天</v>
          </cell>
        </row>
        <row r="621">
          <cell r="A621" t="str">
            <v>E#010</v>
          </cell>
          <cell r="B621" t="str">
            <v>导演组</v>
          </cell>
          <cell r="C621" t="str">
            <v>内容组</v>
          </cell>
          <cell r="D621" t="str">
            <v>导演</v>
          </cell>
          <cell r="E621" t="str">
            <v>普通导演-中级，不含住宿、交通、补贴、餐费等费用</v>
          </cell>
          <cell r="F621" t="str">
            <v>每人每天</v>
          </cell>
        </row>
        <row r="622">
          <cell r="A622" t="str">
            <v>E#011</v>
          </cell>
          <cell r="B622" t="str">
            <v>导演组</v>
          </cell>
          <cell r="C622" t="str">
            <v>内容组</v>
          </cell>
          <cell r="D622" t="str">
            <v>导演</v>
          </cell>
          <cell r="E622" t="str">
            <v>资深级别导演-高级，不含住宿、交通、补贴、餐费等费用</v>
          </cell>
          <cell r="F622" t="str">
            <v>每人每天</v>
          </cell>
        </row>
        <row r="623">
          <cell r="A623" t="str">
            <v>E#044</v>
          </cell>
          <cell r="B623" t="str">
            <v>导演组</v>
          </cell>
          <cell r="C623" t="str">
            <v>技术组</v>
          </cell>
          <cell r="D623" t="str">
            <v>导播讯道技术人员（4讯道）</v>
          </cell>
          <cell r="E623" t="str">
            <v>人员劳务费。不含住宿、交通、补贴等费用，每场不超过8小时，限4讯切换，彩排与活动日价格一致（导播老师不低于5年从业经验）</v>
          </cell>
          <cell r="F623" t="str">
            <v>每人每天</v>
          </cell>
        </row>
        <row r="624">
          <cell r="A624" t="str">
            <v>E#045</v>
          </cell>
          <cell r="B624" t="str">
            <v>导演组</v>
          </cell>
          <cell r="C624" t="str">
            <v>技术组</v>
          </cell>
          <cell r="D624" t="str">
            <v>导播讯道技术人员 （6讯道以上）</v>
          </cell>
          <cell r="E624" t="str">
            <v>人员劳务费。不含住宿、交通、补贴等费用，每场不超过8小时，限6讯以上切换，彩排与活动日价格一致（导播老师不低于5年从业经验，完全具备电视台综艺、大型演出、活动类切像经验）</v>
          </cell>
          <cell r="F624" t="str">
            <v>每人每天</v>
          </cell>
        </row>
        <row r="625">
          <cell r="A625" t="str">
            <v>E#046</v>
          </cell>
          <cell r="B625" t="str">
            <v>导演组</v>
          </cell>
          <cell r="C625" t="str">
            <v>技术组</v>
          </cell>
          <cell r="D625" t="str">
            <v>导播讯道技术人员（摄像）</v>
          </cell>
          <cell r="E625" t="str">
            <v>人员劳务费。不含住宿、交通、补贴等费用，每场不超过8小时
 彩排与活动日价格一致（5年工作经验）</v>
          </cell>
          <cell r="F625" t="str">
            <v>每人每天</v>
          </cell>
        </row>
        <row r="626">
          <cell r="A626" t="str">
            <v>E#047</v>
          </cell>
          <cell r="B626" t="str">
            <v>导演组</v>
          </cell>
          <cell r="C626" t="str">
            <v>技术组</v>
          </cell>
          <cell r="D626" t="str">
            <v>轨道机器人摄像师</v>
          </cell>
          <cell r="E626" t="str">
            <v>人员劳务费。不含住宿、交通、补贴等费用，每场不超过8小时，彩排与活动日价格一致</v>
          </cell>
          <cell r="F626" t="str">
            <v>每人每天</v>
          </cell>
        </row>
        <row r="627">
          <cell r="A627" t="str">
            <v>E#048</v>
          </cell>
          <cell r="B627" t="str">
            <v>导演组</v>
          </cell>
          <cell r="C627" t="str">
            <v>技术组</v>
          </cell>
          <cell r="D627" t="str">
            <v>斯坦尼康摄像师</v>
          </cell>
          <cell r="E627" t="str">
            <v>人员劳务费。不含住宿、交通、补贴等费用，每场不超过8小时，彩排与活动日价格一致</v>
          </cell>
          <cell r="F627" t="str">
            <v>每人每天</v>
          </cell>
        </row>
        <row r="628">
          <cell r="A628" t="str">
            <v>E#109</v>
          </cell>
          <cell r="B628" t="str">
            <v>导演组</v>
          </cell>
          <cell r="C628" t="str">
            <v>演职员组</v>
          </cell>
          <cell r="D628" t="str">
            <v>主持人</v>
          </cell>
          <cell r="E628" t="str">
            <v>五年以上经验，有大型直播晚会/综艺主持经验，形象气质佳（非艺人级、非达人级的主持人）</v>
          </cell>
          <cell r="F628" t="str">
            <v>每人每天</v>
          </cell>
          <cell r="G628">
            <v>2120</v>
          </cell>
        </row>
        <row r="629">
          <cell r="A629" t="str">
            <v>E#113</v>
          </cell>
          <cell r="B629" t="str">
            <v>导演组</v>
          </cell>
          <cell r="C629" t="str">
            <v>演职员组</v>
          </cell>
          <cell r="D629" t="str">
            <v>编舞师</v>
          </cell>
          <cell r="E629" t="str">
            <v>三年以上经验，不含住宿、交通、补贴、餐费等费用，有大型直播晚会、大型演唱会编舞经验</v>
          </cell>
          <cell r="F629" t="str">
            <v>每人每天</v>
          </cell>
        </row>
        <row r="630">
          <cell r="A630" t="str">
            <v>E#114</v>
          </cell>
          <cell r="B630" t="str">
            <v>导演组</v>
          </cell>
          <cell r="C630" t="str">
            <v>演职员组</v>
          </cell>
          <cell r="D630" t="str">
            <v>资深编舞师</v>
          </cell>
          <cell r="E630" t="str">
            <v>五年以上经验，不含住宿、交通、补贴、餐费等费用，有直播晚会、平台直播盛典、演唱会、艺人演唱会编舞经验</v>
          </cell>
          <cell r="F630" t="str">
            <v>每人每天</v>
          </cell>
        </row>
        <row r="631">
          <cell r="A631" t="str">
            <v>E#122</v>
          </cell>
          <cell r="B631" t="str">
            <v>导演组</v>
          </cell>
          <cell r="C631" t="str">
            <v>演职员组</v>
          </cell>
          <cell r="D631" t="str">
            <v>妆发师</v>
          </cell>
          <cell r="E631" t="str">
            <v>3年以上化妆经验
 人员劳务费。不含住宿、交通、补贴等费用，每场不超过8小时，含个税，此价格为最高限价，以实际发生为准</v>
          </cell>
          <cell r="F631" t="str">
            <v>每人每天</v>
          </cell>
          <cell r="G631">
            <v>1590</v>
          </cell>
        </row>
        <row r="632">
          <cell r="A632" t="str">
            <v>接待用车</v>
          </cell>
        </row>
        <row r="633">
          <cell r="A633" t="str">
            <v>G#001</v>
          </cell>
          <cell r="B633" t="str">
            <v>车辆</v>
          </cell>
          <cell r="C633" t="str">
            <v>车辆物流</v>
          </cell>
          <cell r="D633" t="str">
            <v>运营车辆</v>
          </cell>
          <cell r="E633" t="str">
            <v>接送机-GL8，60公里内，高速费另计</v>
          </cell>
          <cell r="F633" t="str">
            <v>每辆每趟</v>
          </cell>
          <cell r="G633">
            <v>530</v>
          </cell>
        </row>
        <row r="634">
          <cell r="A634" t="str">
            <v>G#002</v>
          </cell>
          <cell r="B634" t="str">
            <v>车辆</v>
          </cell>
          <cell r="C634" t="str">
            <v>车辆物流</v>
          </cell>
          <cell r="D634" t="str">
            <v>运营车辆</v>
          </cell>
          <cell r="E634" t="str">
            <v>接送机-考斯特，60公里内，高速费另计</v>
          </cell>
          <cell r="F634" t="str">
            <v>每辆每趟</v>
          </cell>
          <cell r="G634">
            <v>848</v>
          </cell>
        </row>
        <row r="635">
          <cell r="A635" t="str">
            <v>G#003</v>
          </cell>
          <cell r="B635" t="str">
            <v>车辆</v>
          </cell>
          <cell r="C635" t="str">
            <v>车辆物流</v>
          </cell>
          <cell r="D635" t="str">
            <v>运营车辆</v>
          </cell>
          <cell r="E635" t="str">
            <v>接送机-50座大巴车，60公里内，高速费另计</v>
          </cell>
          <cell r="F635" t="str">
            <v>每辆每趟</v>
          </cell>
          <cell r="G635">
            <v>1272</v>
          </cell>
        </row>
        <row r="636">
          <cell r="A636" t="str">
            <v>G#004</v>
          </cell>
          <cell r="B636" t="str">
            <v>车辆</v>
          </cell>
          <cell r="C636" t="str">
            <v>车辆物流</v>
          </cell>
          <cell r="D636" t="str">
            <v>运营车辆</v>
          </cell>
          <cell r="E636" t="str">
            <v>接送机-奥迪A6，60公里内，高速费另计</v>
          </cell>
          <cell r="F636" t="str">
            <v>每辆每趟</v>
          </cell>
          <cell r="G636">
            <v>650</v>
          </cell>
        </row>
        <row r="637">
          <cell r="A637" t="str">
            <v>G#005</v>
          </cell>
          <cell r="B637" t="str">
            <v>车辆</v>
          </cell>
          <cell r="C637" t="str">
            <v>车辆物流</v>
          </cell>
          <cell r="D637" t="str">
            <v>运营车辆</v>
          </cell>
          <cell r="E637" t="str">
            <v>豪华轿车-奥迪A6，可使用同等类型车辆，1天8小时 or 100km计算，超出公里数及时间另计费</v>
          </cell>
          <cell r="F637" t="str">
            <v>每辆每天</v>
          </cell>
          <cell r="G637">
            <v>1272</v>
          </cell>
        </row>
        <row r="638">
          <cell r="A638" t="str">
            <v>G#006</v>
          </cell>
          <cell r="B638" t="str">
            <v>车辆</v>
          </cell>
          <cell r="C638" t="str">
            <v>车辆物流</v>
          </cell>
          <cell r="D638" t="str">
            <v>运营车辆</v>
          </cell>
          <cell r="E638" t="str">
            <v>豪华轿车-奥迪A6，超时间收费</v>
          </cell>
          <cell r="F638" t="str">
            <v>每辆每小时</v>
          </cell>
          <cell r="G638">
            <v>81.62</v>
          </cell>
        </row>
        <row r="639">
          <cell r="A639" t="str">
            <v>G#007</v>
          </cell>
          <cell r="B639" t="str">
            <v>车辆</v>
          </cell>
          <cell r="C639" t="str">
            <v>车辆物流</v>
          </cell>
          <cell r="D639" t="str">
            <v>运营车辆</v>
          </cell>
          <cell r="E639" t="str">
            <v>豪华轿车-奥迪A6，超公里收费</v>
          </cell>
          <cell r="F639" t="str">
            <v>每辆每公里</v>
          </cell>
          <cell r="G639">
            <v>10</v>
          </cell>
        </row>
        <row r="640">
          <cell r="A640" t="str">
            <v>G#008</v>
          </cell>
          <cell r="B640" t="str">
            <v>车辆</v>
          </cell>
          <cell r="C640" t="str">
            <v>车辆物流</v>
          </cell>
          <cell r="D640" t="str">
            <v>运营车辆</v>
          </cell>
          <cell r="E640" t="str">
            <v>商务乘用车-GL8，可使用同等类型车辆，1天8小时 or 100km计算，超出公里数及时间另计费</v>
          </cell>
          <cell r="F640" t="str">
            <v>每辆每天</v>
          </cell>
          <cell r="G640">
            <v>1060</v>
          </cell>
        </row>
        <row r="641">
          <cell r="A641" t="str">
            <v>G#009</v>
          </cell>
          <cell r="B641" t="str">
            <v>车辆</v>
          </cell>
          <cell r="C641" t="str">
            <v>车辆物流</v>
          </cell>
          <cell r="D641" t="str">
            <v>运营车辆</v>
          </cell>
          <cell r="E641" t="str">
            <v>商务乘用车-GL8，超时间收费</v>
          </cell>
          <cell r="F641" t="str">
            <v>每辆每小时</v>
          </cell>
          <cell r="G641">
            <v>74.2</v>
          </cell>
        </row>
        <row r="642">
          <cell r="A642" t="str">
            <v>G#010</v>
          </cell>
          <cell r="B642" t="str">
            <v>车辆</v>
          </cell>
          <cell r="C642" t="str">
            <v>车辆物流</v>
          </cell>
          <cell r="D642" t="str">
            <v>运营车辆</v>
          </cell>
          <cell r="E642" t="str">
            <v>商务乘用车-GL8，超公里收费</v>
          </cell>
          <cell r="F642" t="str">
            <v>每辆每公里</v>
          </cell>
          <cell r="G642">
            <v>10</v>
          </cell>
        </row>
        <row r="643">
          <cell r="A643" t="str">
            <v>G#011</v>
          </cell>
          <cell r="B643" t="str">
            <v>车辆</v>
          </cell>
          <cell r="C643" t="str">
            <v>车辆物流</v>
          </cell>
          <cell r="D643" t="str">
            <v>运营车辆</v>
          </cell>
          <cell r="E643" t="str">
            <v>中型车-考斯特，可使用同等类型车辆，1天8小时 or 100km计算，超出公里数及时间另计费</v>
          </cell>
          <cell r="F643" t="str">
            <v>每辆每天</v>
          </cell>
          <cell r="G643">
            <v>1500</v>
          </cell>
        </row>
        <row r="644">
          <cell r="A644" t="str">
            <v>G#012</v>
          </cell>
          <cell r="B644" t="str">
            <v>车辆</v>
          </cell>
          <cell r="C644" t="str">
            <v>车辆物流</v>
          </cell>
          <cell r="D644" t="str">
            <v>运营车辆</v>
          </cell>
          <cell r="E644" t="str">
            <v>中型车-考斯特，超时间收费</v>
          </cell>
          <cell r="F644" t="str">
            <v>每辆每小时</v>
          </cell>
          <cell r="G644">
            <v>120</v>
          </cell>
        </row>
        <row r="645">
          <cell r="A645" t="str">
            <v>G#013</v>
          </cell>
          <cell r="B645" t="str">
            <v>车辆</v>
          </cell>
          <cell r="C645" t="str">
            <v>车辆物流</v>
          </cell>
          <cell r="D645" t="str">
            <v>运营车辆</v>
          </cell>
          <cell r="E645" t="str">
            <v>中型车-考斯特，超公里收费</v>
          </cell>
          <cell r="F645" t="str">
            <v>每辆每公里</v>
          </cell>
          <cell r="G645">
            <v>15</v>
          </cell>
        </row>
        <row r="646">
          <cell r="A646" t="str">
            <v>G#014</v>
          </cell>
          <cell r="B646" t="str">
            <v>车辆</v>
          </cell>
          <cell r="C646" t="str">
            <v>车辆物流</v>
          </cell>
          <cell r="D646" t="str">
            <v>运营车辆</v>
          </cell>
          <cell r="E646" t="str">
            <v>50人座大巴车，1天8小时 or 100km计算，超出公里数及时间另计费</v>
          </cell>
          <cell r="F646" t="str">
            <v>每辆每天</v>
          </cell>
          <cell r="G646">
            <v>1866.67</v>
          </cell>
        </row>
        <row r="647">
          <cell r="A647" t="str">
            <v>G#015</v>
          </cell>
          <cell r="B647" t="str">
            <v>车辆</v>
          </cell>
          <cell r="C647" t="str">
            <v>车辆物流</v>
          </cell>
          <cell r="D647" t="str">
            <v>运营车辆</v>
          </cell>
          <cell r="E647" t="str">
            <v>50人座大巴车，超时间收费</v>
          </cell>
          <cell r="F647" t="str">
            <v>每辆每小时</v>
          </cell>
          <cell r="G647">
            <v>133.33000000000001</v>
          </cell>
        </row>
        <row r="648">
          <cell r="A648" t="str">
            <v>G#016</v>
          </cell>
          <cell r="B648" t="str">
            <v>车辆</v>
          </cell>
          <cell r="C648" t="str">
            <v>车辆物流</v>
          </cell>
          <cell r="D648" t="str">
            <v>运营车辆</v>
          </cell>
          <cell r="E648" t="str">
            <v>50人座大巴车，超公里收费</v>
          </cell>
          <cell r="F648" t="str">
            <v>每辆每公里</v>
          </cell>
          <cell r="G648">
            <v>18.329999999999998</v>
          </cell>
        </row>
        <row r="649">
          <cell r="A649" t="str">
            <v>机酒餐</v>
          </cell>
        </row>
        <row r="650">
          <cell r="A650" t="str">
            <v>H#001</v>
          </cell>
          <cell r="B650" t="str">
            <v>交通费</v>
          </cell>
          <cell r="C650" t="str">
            <v>机票</v>
          </cell>
          <cell r="D650" t="str">
            <v>机票</v>
          </cell>
          <cell r="E650" t="str">
            <v>经济舱，不能为全价票</v>
          </cell>
          <cell r="F650" t="str">
            <v>次</v>
          </cell>
          <cell r="G650" t="str">
            <v>据实结算</v>
          </cell>
        </row>
        <row r="651">
          <cell r="A651" t="str">
            <v>H#002</v>
          </cell>
          <cell r="B651" t="str">
            <v>交通费</v>
          </cell>
          <cell r="C651" t="str">
            <v>高铁</v>
          </cell>
          <cell r="D651" t="str">
            <v>高铁</v>
          </cell>
          <cell r="E651" t="str">
            <v>二等座</v>
          </cell>
          <cell r="F651" t="str">
            <v>次</v>
          </cell>
          <cell r="G651" t="str">
            <v>据实结算</v>
          </cell>
        </row>
        <row r="652">
          <cell r="A652" t="str">
            <v>H#003</v>
          </cell>
          <cell r="B652" t="str">
            <v>交通费</v>
          </cell>
          <cell r="C652" t="str">
            <v>市内交通</v>
          </cell>
          <cell r="D652" t="str">
            <v>打车</v>
          </cell>
          <cell r="E652" t="str">
            <v>出租车、快车实报实销；不能为高档车辆</v>
          </cell>
          <cell r="F652" t="str">
            <v>次</v>
          </cell>
          <cell r="G652" t="str">
            <v>据实结算</v>
          </cell>
        </row>
        <row r="653">
          <cell r="A653" t="str">
            <v>H#004</v>
          </cell>
          <cell r="B653" t="str">
            <v>住宿费</v>
          </cell>
          <cell r="C653" t="str">
            <v>酒店</v>
          </cell>
          <cell r="D653" t="str">
            <v>酒店</v>
          </cell>
          <cell r="E653" t="str">
            <v>二人一间，一线城市北、上、广、深，不得超过500元/间/晚
 二、三线城市不得超过400元/间/晚，数量上限为20夜/城市</v>
          </cell>
          <cell r="F653" t="str">
            <v>晚</v>
          </cell>
          <cell r="G653" t="str">
            <v>据实结算</v>
          </cell>
        </row>
        <row r="654">
          <cell r="A654" t="str">
            <v>H#005</v>
          </cell>
          <cell r="B654" t="str">
            <v>餐费</v>
          </cell>
          <cell r="C654" t="str">
            <v>餐费</v>
          </cell>
          <cell r="D654" t="str">
            <v>餐费</v>
          </cell>
          <cell r="E654" t="str">
            <v>乙方人员餐费不得超过100元/人/天
 已含餐费的第三方人员不得重复收费</v>
          </cell>
          <cell r="F654" t="str">
            <v>天</v>
          </cell>
          <cell r="G654" t="str">
            <v>据实结算</v>
          </cell>
        </row>
        <row r="655">
          <cell r="A655" t="str">
            <v>物料采买</v>
          </cell>
        </row>
        <row r="656">
          <cell r="A656" t="str">
            <v xml:space="preserve"> I#001</v>
          </cell>
          <cell r="B656" t="str">
            <v>物料采买</v>
          </cell>
          <cell r="C656" t="str">
            <v>物料采买</v>
          </cell>
          <cell r="D656" t="str">
            <v>物料采买</v>
          </cell>
          <cell r="E656" t="str">
            <v>直接采买型，需提供购买链接/购买凭证</v>
          </cell>
          <cell r="F656" t="str">
            <v>项</v>
          </cell>
          <cell r="G656" t="str">
            <v>据实结算</v>
          </cell>
        </row>
        <row r="657">
          <cell r="A657" t="str">
            <v>场地相关</v>
          </cell>
        </row>
        <row r="658">
          <cell r="A658" t="str">
            <v>J#001</v>
          </cell>
          <cell r="B658" t="str">
            <v>场地费用</v>
          </cell>
          <cell r="C658" t="str">
            <v>场地租金</v>
          </cell>
          <cell r="D658" t="str">
            <v>会议中心</v>
          </cell>
          <cell r="E658" t="str">
            <v>-</v>
          </cell>
          <cell r="F658" t="str">
            <v>项</v>
          </cell>
          <cell r="G658" t="str">
            <v>据实结算</v>
          </cell>
        </row>
        <row r="659">
          <cell r="A659" t="str">
            <v>J#002</v>
          </cell>
          <cell r="B659" t="str">
            <v>场地费用</v>
          </cell>
          <cell r="C659" t="str">
            <v>场地租金</v>
          </cell>
          <cell r="D659" t="str">
            <v>体育场馆</v>
          </cell>
          <cell r="E659" t="str">
            <v>-</v>
          </cell>
          <cell r="F659" t="str">
            <v>项</v>
          </cell>
          <cell r="G659" t="str">
            <v>据实结算</v>
          </cell>
        </row>
        <row r="660">
          <cell r="A660" t="str">
            <v>J#003</v>
          </cell>
          <cell r="B660" t="str">
            <v>场地费用</v>
          </cell>
          <cell r="C660" t="str">
            <v>场地租金</v>
          </cell>
          <cell r="D660" t="str">
            <v>户外草坪</v>
          </cell>
          <cell r="E660" t="str">
            <v>-</v>
          </cell>
          <cell r="F660" t="str">
            <v>项</v>
          </cell>
          <cell r="G660" t="str">
            <v>据实结算</v>
          </cell>
        </row>
        <row r="661">
          <cell r="A661" t="str">
            <v>J#004</v>
          </cell>
          <cell r="B661" t="str">
            <v>场地费用</v>
          </cell>
          <cell r="C661" t="str">
            <v>场地租金</v>
          </cell>
          <cell r="D661" t="str">
            <v>酒店</v>
          </cell>
          <cell r="E661" t="str">
            <v>-</v>
          </cell>
          <cell r="F661" t="str">
            <v>项</v>
          </cell>
          <cell r="G661" t="str">
            <v>据实结算</v>
          </cell>
        </row>
        <row r="662">
          <cell r="A662" t="str">
            <v>J#005</v>
          </cell>
          <cell r="B662" t="str">
            <v>场地费用</v>
          </cell>
          <cell r="C662" t="str">
            <v>场地租金</v>
          </cell>
          <cell r="D662" t="str">
            <v>演播厅/录影棚</v>
          </cell>
          <cell r="E662" t="str">
            <v>-</v>
          </cell>
          <cell r="F662" t="str">
            <v>项</v>
          </cell>
          <cell r="G662" t="str">
            <v>据实结算</v>
          </cell>
        </row>
        <row r="663">
          <cell r="A663" t="str">
            <v>J#006</v>
          </cell>
          <cell r="B663" t="str">
            <v>场地费用</v>
          </cell>
          <cell r="C663" t="str">
            <v>场地租金</v>
          </cell>
          <cell r="D663" t="str">
            <v>其他</v>
          </cell>
          <cell r="E663" t="str">
            <v>-</v>
          </cell>
          <cell r="F663" t="str">
            <v>项</v>
          </cell>
          <cell r="G663" t="str">
            <v>据实结算</v>
          </cell>
        </row>
        <row r="664">
          <cell r="A664" t="str">
            <v>J#007</v>
          </cell>
          <cell r="B664" t="str">
            <v>场地费用</v>
          </cell>
          <cell r="C664" t="str">
            <v>场地租金</v>
          </cell>
          <cell r="D664" t="str">
            <v>场地广告位</v>
          </cell>
          <cell r="E664" t="str">
            <v>-</v>
          </cell>
          <cell r="F664" t="str">
            <v>项</v>
          </cell>
          <cell r="G664" t="str">
            <v>据实结算</v>
          </cell>
        </row>
        <row r="665">
          <cell r="A665" t="str">
            <v>J#008</v>
          </cell>
          <cell r="B665" t="str">
            <v>场地费用</v>
          </cell>
          <cell r="C665" t="str">
            <v>管理费用</v>
          </cell>
          <cell r="D665" t="str">
            <v>场地管理</v>
          </cell>
          <cell r="E665" t="str">
            <v>场地管理费</v>
          </cell>
          <cell r="F665" t="str">
            <v>项</v>
          </cell>
          <cell r="G665" t="str">
            <v>据实结算</v>
          </cell>
        </row>
        <row r="666">
          <cell r="A666" t="str">
            <v>J#009</v>
          </cell>
          <cell r="B666" t="str">
            <v>场地费用</v>
          </cell>
          <cell r="C666" t="str">
            <v>管理费用</v>
          </cell>
          <cell r="D666" t="str">
            <v>场地管理</v>
          </cell>
          <cell r="E666" t="str">
            <v>吊点费</v>
          </cell>
          <cell r="F666" t="str">
            <v>项</v>
          </cell>
          <cell r="G666" t="str">
            <v>据实结算</v>
          </cell>
        </row>
        <row r="667">
          <cell r="A667" t="str">
            <v>J#010</v>
          </cell>
          <cell r="B667" t="str">
            <v>场地费用</v>
          </cell>
          <cell r="C667" t="str">
            <v>管理费用</v>
          </cell>
          <cell r="D667" t="str">
            <v>场地管理</v>
          </cell>
          <cell r="E667" t="str">
            <v>施工证</v>
          </cell>
          <cell r="F667" t="str">
            <v>项</v>
          </cell>
          <cell r="G667" t="str">
            <v>据实结算</v>
          </cell>
        </row>
        <row r="668">
          <cell r="A668" t="str">
            <v>J#011</v>
          </cell>
          <cell r="B668" t="str">
            <v>场地费用</v>
          </cell>
          <cell r="C668" t="str">
            <v>管理费用</v>
          </cell>
          <cell r="D668" t="str">
            <v>场地管理</v>
          </cell>
          <cell r="E668" t="str">
            <v>车证</v>
          </cell>
          <cell r="F668" t="str">
            <v>项</v>
          </cell>
          <cell r="G668" t="str">
            <v>据实结算</v>
          </cell>
        </row>
        <row r="669">
          <cell r="A669" t="str">
            <v>J#012</v>
          </cell>
          <cell r="B669" t="str">
            <v>场地费用</v>
          </cell>
          <cell r="C669" t="str">
            <v>管理费用</v>
          </cell>
          <cell r="D669" t="str">
            <v>专业服务</v>
          </cell>
          <cell r="E669" t="str">
            <v>监理</v>
          </cell>
          <cell r="F669" t="str">
            <v>项</v>
          </cell>
          <cell r="G669" t="str">
            <v>据实结算</v>
          </cell>
        </row>
        <row r="670">
          <cell r="A670" t="str">
            <v>J#013</v>
          </cell>
          <cell r="B670" t="str">
            <v>场地费用</v>
          </cell>
          <cell r="C670" t="str">
            <v>管理费用</v>
          </cell>
          <cell r="D670" t="str">
            <v>专业服务</v>
          </cell>
          <cell r="E670" t="str">
            <v>结构审核</v>
          </cell>
          <cell r="F670" t="str">
            <v>项</v>
          </cell>
          <cell r="G670" t="str">
            <v>据实结算</v>
          </cell>
        </row>
        <row r="671">
          <cell r="A671" t="str">
            <v>J#014</v>
          </cell>
          <cell r="B671" t="str">
            <v>场地费用</v>
          </cell>
          <cell r="C671" t="str">
            <v>其他场地费用</v>
          </cell>
          <cell r="D671" t="str">
            <v>水电费</v>
          </cell>
          <cell r="E671" t="str">
            <v>电费</v>
          </cell>
          <cell r="F671" t="str">
            <v>项</v>
          </cell>
          <cell r="G671" t="str">
            <v>据实结算</v>
          </cell>
        </row>
        <row r="672">
          <cell r="A672" t="str">
            <v>J#015</v>
          </cell>
          <cell r="B672" t="str">
            <v>场地费用</v>
          </cell>
          <cell r="C672" t="str">
            <v>其他场地费用</v>
          </cell>
          <cell r="D672" t="str">
            <v>水电费</v>
          </cell>
          <cell r="E672" t="str">
            <v>水费</v>
          </cell>
          <cell r="F672" t="str">
            <v>项</v>
          </cell>
          <cell r="G672" t="str">
            <v>据实结算</v>
          </cell>
        </row>
        <row r="673">
          <cell r="A673" t="str">
            <v>J#016</v>
          </cell>
          <cell r="B673" t="str">
            <v>场地费用</v>
          </cell>
          <cell r="C673" t="str">
            <v>其他场地费用</v>
          </cell>
          <cell r="D673" t="str">
            <v>场地押金</v>
          </cell>
          <cell r="E673" t="str">
            <v>进场前缴纳场地押金，如有扣款则报在此行</v>
          </cell>
          <cell r="F673" t="str">
            <v>项</v>
          </cell>
          <cell r="G673" t="str">
            <v>据实结算</v>
          </cell>
        </row>
        <row r="674">
          <cell r="A674" t="str">
            <v>J#017</v>
          </cell>
          <cell r="B674" t="str">
            <v>场地费用</v>
          </cell>
          <cell r="C674" t="str">
            <v>其他场地费用</v>
          </cell>
          <cell r="D674" t="str">
            <v>场地杂费</v>
          </cell>
          <cell r="E674" t="str">
            <v>场地杂费</v>
          </cell>
          <cell r="F674" t="str">
            <v>项</v>
          </cell>
          <cell r="G674" t="str">
            <v>据实结算</v>
          </cell>
        </row>
        <row r="675">
          <cell r="A675" t="str">
            <v>J#018</v>
          </cell>
          <cell r="B675" t="str">
            <v>网络设备</v>
          </cell>
          <cell r="C675" t="str">
            <v>WIFI布网</v>
          </cell>
          <cell r="D675" t="str">
            <v>路由器</v>
          </cell>
          <cell r="E675" t="str">
            <v>H3C ER8300G2-X（活动租赁）</v>
          </cell>
          <cell r="F675" t="str">
            <v>台</v>
          </cell>
        </row>
        <row r="676">
          <cell r="A676" t="str">
            <v>J#019</v>
          </cell>
          <cell r="B676" t="str">
            <v>网络设备</v>
          </cell>
          <cell r="C676" t="str">
            <v>WIFI布网</v>
          </cell>
          <cell r="D676" t="str">
            <v>核心交换机</v>
          </cell>
          <cell r="E676" t="str">
            <v>H3C S5110 PoE</v>
          </cell>
          <cell r="F676" t="str">
            <v>台</v>
          </cell>
        </row>
        <row r="677">
          <cell r="A677" t="str">
            <v>J#020</v>
          </cell>
          <cell r="B677" t="str">
            <v>网络设备</v>
          </cell>
          <cell r="C677" t="str">
            <v>WIFI布网</v>
          </cell>
          <cell r="D677" t="str">
            <v>AC控制器</v>
          </cell>
          <cell r="E677" t="str">
            <v>优科 1100</v>
          </cell>
          <cell r="F677" t="str">
            <v>台</v>
          </cell>
        </row>
        <row r="678">
          <cell r="A678" t="str">
            <v>J#021</v>
          </cell>
          <cell r="B678" t="str">
            <v>网络设备</v>
          </cell>
          <cell r="C678" t="str">
            <v>WIFI布网</v>
          </cell>
          <cell r="D678" t="str">
            <v>AP</v>
          </cell>
          <cell r="E678" t="str">
            <v>优科 R700</v>
          </cell>
          <cell r="F678" t="str">
            <v>台</v>
          </cell>
        </row>
        <row r="679">
          <cell r="A679" t="str">
            <v>J#022</v>
          </cell>
          <cell r="B679" t="str">
            <v>网络设备</v>
          </cell>
          <cell r="C679" t="str">
            <v>WIFI布网</v>
          </cell>
          <cell r="D679" t="str">
            <v>UPS</v>
          </cell>
          <cell r="E679" t="str">
            <v>APC BR1000G-CN（活动租赁）</v>
          </cell>
          <cell r="F679" t="str">
            <v>台</v>
          </cell>
        </row>
        <row r="680">
          <cell r="A680" t="str">
            <v>报批及安保</v>
          </cell>
        </row>
        <row r="681">
          <cell r="A681" t="str">
            <v>K#001</v>
          </cell>
          <cell r="B681" t="str">
            <v>场地费用</v>
          </cell>
          <cell r="C681" t="str">
            <v>管理费用</v>
          </cell>
          <cell r="D681" t="str">
            <v>政府监管</v>
          </cell>
          <cell r="E681" t="str">
            <v>场地报批</v>
          </cell>
          <cell r="F681" t="str">
            <v>项</v>
          </cell>
          <cell r="G681" t="str">
            <v>据实结算</v>
          </cell>
        </row>
        <row r="682">
          <cell r="A682" t="str">
            <v>K#002</v>
          </cell>
          <cell r="B682" t="str">
            <v>场地费用</v>
          </cell>
          <cell r="C682" t="str">
            <v>管理费用</v>
          </cell>
          <cell r="D682" t="str">
            <v>政府监管</v>
          </cell>
          <cell r="E682" t="str">
            <v>消电检查</v>
          </cell>
          <cell r="F682" t="str">
            <v>项</v>
          </cell>
          <cell r="G682" t="str">
            <v>据实结算</v>
          </cell>
        </row>
        <row r="683">
          <cell r="A683" t="str">
            <v>K#003</v>
          </cell>
          <cell r="B683" t="str">
            <v>场地费用</v>
          </cell>
          <cell r="C683" t="str">
            <v>管理费用</v>
          </cell>
          <cell r="D683" t="str">
            <v>政府监管</v>
          </cell>
          <cell r="E683" t="str">
            <v>场地公安报批</v>
          </cell>
          <cell r="F683" t="str">
            <v>项</v>
          </cell>
          <cell r="G683" t="str">
            <v>据实结算</v>
          </cell>
        </row>
        <row r="684">
          <cell r="A684" t="str">
            <v>K#004</v>
          </cell>
          <cell r="B684" t="str">
            <v>场地费用</v>
          </cell>
          <cell r="C684" t="str">
            <v>管理费用</v>
          </cell>
          <cell r="D684" t="str">
            <v>政府监管</v>
          </cell>
          <cell r="E684" t="str">
            <v>场地文化报批</v>
          </cell>
          <cell r="F684" t="str">
            <v>项</v>
          </cell>
          <cell r="G684" t="str">
            <v>据实结算</v>
          </cell>
        </row>
        <row r="685">
          <cell r="A685" t="str">
            <v>K#005</v>
          </cell>
          <cell r="B685" t="str">
            <v>场地搭建</v>
          </cell>
          <cell r="C685" t="str">
            <v>搭建费用</v>
          </cell>
          <cell r="D685" t="str">
            <v>资质证明</v>
          </cell>
          <cell r="E685" t="str">
            <v>搭建安全资质证明</v>
          </cell>
          <cell r="F685" t="str">
            <v>项</v>
          </cell>
          <cell r="G685" t="str">
            <v>据实结算</v>
          </cell>
        </row>
        <row r="686">
          <cell r="A686" t="str">
            <v>K#006</v>
          </cell>
          <cell r="B686" t="str">
            <v>场地搭建</v>
          </cell>
          <cell r="C686" t="str">
            <v>搭建费用</v>
          </cell>
          <cell r="D686" t="str">
            <v>资质证明</v>
          </cell>
          <cell r="E686" t="str">
            <v>防水认证</v>
          </cell>
          <cell r="F686" t="str">
            <v>项</v>
          </cell>
          <cell r="G686" t="str">
            <v>据实结算</v>
          </cell>
        </row>
        <row r="687">
          <cell r="A687" t="str">
            <v>K#007</v>
          </cell>
          <cell r="B687" t="str">
            <v>场地搭建</v>
          </cell>
          <cell r="C687" t="str">
            <v>搭建费用</v>
          </cell>
          <cell r="D687" t="str">
            <v>资质证明</v>
          </cell>
          <cell r="E687" t="str">
            <v>防火认证</v>
          </cell>
          <cell r="F687" t="str">
            <v>项</v>
          </cell>
          <cell r="G687" t="str">
            <v>据实结算</v>
          </cell>
        </row>
        <row r="688">
          <cell r="A688" t="str">
            <v>K#008</v>
          </cell>
          <cell r="B688" t="str">
            <v>场地搭建</v>
          </cell>
          <cell r="C688" t="str">
            <v>搭建费用</v>
          </cell>
          <cell r="D688" t="str">
            <v>质检报告</v>
          </cell>
          <cell r="E688" t="str">
            <v>提供符合国家要求的舞台结构、悬吊结构、电路安全等相关专业机构报告</v>
          </cell>
          <cell r="F688" t="str">
            <v>每份</v>
          </cell>
          <cell r="G688" t="str">
            <v>据实结算</v>
          </cell>
        </row>
        <row r="689">
          <cell r="A689" t="str">
            <v>K#009</v>
          </cell>
          <cell r="B689" t="str">
            <v>运营人员</v>
          </cell>
          <cell r="C689" t="str">
            <v>保障组</v>
          </cell>
          <cell r="D689" t="str">
            <v>普通保安</v>
          </cell>
          <cell r="E689" t="str">
            <v>搭建、展区、外场用安保（人员劳务费，每场不超过8小时，含个税）</v>
          </cell>
          <cell r="F689" t="str">
            <v>每人每场</v>
          </cell>
          <cell r="G689">
            <v>446.26</v>
          </cell>
        </row>
        <row r="690">
          <cell r="A690" t="str">
            <v>K#010</v>
          </cell>
          <cell r="B690" t="str">
            <v>运营人员</v>
          </cell>
          <cell r="C690" t="str">
            <v>保障组</v>
          </cell>
          <cell r="D690" t="str">
            <v>高级保安</v>
          </cell>
          <cell r="E690" t="str">
            <v>内场安保（对形象有要求）人员劳务费，每场不超过8小时，含个税</v>
          </cell>
          <cell r="F690" t="str">
            <v>每人每场</v>
          </cell>
          <cell r="G690">
            <v>742</v>
          </cell>
        </row>
        <row r="691">
          <cell r="A691" t="str">
            <v>K#011</v>
          </cell>
          <cell r="B691" t="str">
            <v>运营人员</v>
          </cell>
          <cell r="C691" t="str">
            <v>保障组</v>
          </cell>
          <cell r="D691" t="str">
            <v>特级保安</v>
          </cell>
          <cell r="E691" t="str">
            <v>不含住宿、交通、补贴、餐费等费用，艺人随性，负责艺人的安全监控。</v>
          </cell>
          <cell r="F691" t="str">
            <v>每人每场</v>
          </cell>
          <cell r="G691">
            <v>1272</v>
          </cell>
        </row>
        <row r="692">
          <cell r="A692" t="str">
            <v>K#012</v>
          </cell>
          <cell r="B692" t="str">
            <v>运营人员</v>
          </cell>
          <cell r="C692" t="str">
            <v>服务人员</v>
          </cell>
          <cell r="D692" t="str">
            <v>手持金属检测器</v>
          </cell>
          <cell r="E692" t="str">
            <v>-</v>
          </cell>
          <cell r="F692" t="str">
            <v>每台每天</v>
          </cell>
          <cell r="G692">
            <v>530</v>
          </cell>
        </row>
        <row r="693">
          <cell r="A693" t="str">
            <v>K#013</v>
          </cell>
          <cell r="B693" t="str">
            <v>运营人员</v>
          </cell>
          <cell r="C693" t="str">
            <v>服务人员</v>
          </cell>
          <cell r="D693" t="str">
            <v>安检门</v>
          </cell>
          <cell r="E693" t="str">
            <v>-</v>
          </cell>
          <cell r="F693" t="str">
            <v>每台每天</v>
          </cell>
          <cell r="G693">
            <v>1590</v>
          </cell>
        </row>
        <row r="694">
          <cell r="A694" t="str">
            <v>K#014</v>
          </cell>
          <cell r="B694" t="str">
            <v>运营人员</v>
          </cell>
          <cell r="C694" t="str">
            <v>服务人员</v>
          </cell>
          <cell r="D694" t="str">
            <v>安检机</v>
          </cell>
          <cell r="E694" t="str">
            <v>-</v>
          </cell>
          <cell r="F694" t="str">
            <v>每台每天</v>
          </cell>
          <cell r="G694">
            <v>2120</v>
          </cell>
        </row>
        <row r="695">
          <cell r="A695" t="str">
            <v>K#015</v>
          </cell>
          <cell r="B695" t="str">
            <v>报批手续费</v>
          </cell>
          <cell r="C695" t="str">
            <v>报批手续费</v>
          </cell>
          <cell r="D695" t="str">
            <v>报批手续费</v>
          </cell>
          <cell r="E695" t="str">
            <v>实报实销，需提第三方合同/支付凭证</v>
          </cell>
          <cell r="F695" t="str">
            <v>项</v>
          </cell>
          <cell r="G695" t="str">
            <v>据实结算</v>
          </cell>
        </row>
        <row r="696">
          <cell r="A696" t="str">
            <v>垫付</v>
          </cell>
        </row>
        <row r="697">
          <cell r="A697" t="str">
            <v>L#001</v>
          </cell>
          <cell r="B697" t="str">
            <v>代垫付相关</v>
          </cell>
          <cell r="C697" t="str">
            <v>代垫付本金</v>
          </cell>
          <cell r="D697" t="str">
            <v>指定第三方本金</v>
          </cell>
          <cell r="E697" t="str">
            <v>由我方指定的第三方，且我方确认费用明细，只需乙方提供代付款，无需管理及运营的费用为代垫付。</v>
          </cell>
          <cell r="F697" t="str">
            <v>项</v>
          </cell>
          <cell r="G697" t="str">
            <v>据实结算</v>
          </cell>
        </row>
        <row r="698">
          <cell r="A698" t="str">
            <v>服务费税费</v>
          </cell>
        </row>
        <row r="699">
          <cell r="A699" t="str">
            <v>M#003</v>
          </cell>
          <cell r="B699" t="str">
            <v>项目税费</v>
          </cell>
          <cell r="C699" t="str">
            <v>无票垫付费</v>
          </cell>
          <cell r="D699" t="str">
            <v>第三方无票垫付服务费</v>
          </cell>
          <cell r="E699" t="str">
            <v>服务费比例</v>
          </cell>
          <cell r="F699" t="str">
            <v>项</v>
          </cell>
          <cell r="G699">
            <v>0.1</v>
          </cell>
        </row>
        <row r="700">
          <cell r="A700" t="str">
            <v>M#004</v>
          </cell>
          <cell r="B700" t="str">
            <v>项目服务费</v>
          </cell>
          <cell r="C700" t="str">
            <v>项目服务费</v>
          </cell>
          <cell r="D700" t="str">
            <v>场地采买、酒店用房服务费</v>
          </cell>
          <cell r="E700" t="str">
            <v>服务费比例</v>
          </cell>
          <cell r="F700" t="str">
            <v>项</v>
          </cell>
          <cell r="G700">
            <v>0.06</v>
          </cell>
        </row>
        <row r="701">
          <cell r="A701" t="str">
            <v>M#005</v>
          </cell>
          <cell r="B701" t="str">
            <v>项目服务费</v>
          </cell>
          <cell r="C701" t="str">
            <v>项目服务费</v>
          </cell>
          <cell r="D701" t="str">
            <v>机票、用车、用餐等第三方资源</v>
          </cell>
          <cell r="E701" t="str">
            <v>服务费比例</v>
          </cell>
          <cell r="F701" t="str">
            <v>项</v>
          </cell>
          <cell r="G701">
            <v>0.06</v>
          </cell>
        </row>
        <row r="702">
          <cell r="A702" t="str">
            <v>M#006</v>
          </cell>
          <cell r="B702" t="str">
            <v>项目服务费</v>
          </cell>
          <cell r="C702" t="str">
            <v>项目服务费</v>
          </cell>
          <cell r="D702" t="str">
            <v>制作搭建、AVL设备、第三方人员服务费</v>
          </cell>
          <cell r="E702" t="str">
            <v>服务费比例</v>
          </cell>
          <cell r="F702" t="str">
            <v>项</v>
          </cell>
          <cell r="G702">
            <v>0.1</v>
          </cell>
        </row>
        <row r="703">
          <cell r="A703" t="str">
            <v>M#007</v>
          </cell>
          <cell r="B703" t="str">
            <v>项目服务费</v>
          </cell>
          <cell r="C703" t="str">
            <v>项目服务费</v>
          </cell>
          <cell r="D703" t="str">
            <v>物资采买、其他代垫付服务费</v>
          </cell>
          <cell r="E703" t="str">
            <v>服务费比例</v>
          </cell>
          <cell r="F703" t="str">
            <v>项</v>
          </cell>
          <cell r="G703">
            <v>0.06</v>
          </cell>
        </row>
        <row r="704">
          <cell r="A704" t="str">
            <v>M#008</v>
          </cell>
          <cell r="B704" t="str">
            <v>项目服务费</v>
          </cell>
          <cell r="C704" t="str">
            <v>项目服务费</v>
          </cell>
          <cell r="D704" t="str">
            <v>onsite人员服务费</v>
          </cell>
          <cell r="E704" t="str">
            <v>服务费比例</v>
          </cell>
          <cell r="F704" t="str">
            <v>项</v>
          </cell>
          <cell r="G704">
            <v>0.06</v>
          </cell>
        </row>
        <row r="705">
          <cell r="A705" t="str">
            <v>M#009</v>
          </cell>
          <cell r="B705" t="str">
            <v>项目税费</v>
          </cell>
          <cell r="C705" t="str">
            <v>项目税费</v>
          </cell>
          <cell r="D705" t="str">
            <v>场地采买、酒店用房服务费</v>
          </cell>
          <cell r="E705" t="str">
            <v>增值税比例</v>
          </cell>
          <cell r="F705" t="str">
            <v>项</v>
          </cell>
          <cell r="G705">
            <v>0.06</v>
          </cell>
        </row>
        <row r="706">
          <cell r="A706" t="str">
            <v>M#010</v>
          </cell>
          <cell r="B706" t="str">
            <v>项目税费</v>
          </cell>
          <cell r="C706" t="str">
            <v>项目税费</v>
          </cell>
          <cell r="D706" t="str">
            <v>机票、用车、用餐等第三方资源</v>
          </cell>
          <cell r="E706" t="str">
            <v>增值税比例</v>
          </cell>
          <cell r="F706" t="str">
            <v>项</v>
          </cell>
          <cell r="G706">
            <v>0.06</v>
          </cell>
        </row>
        <row r="707">
          <cell r="A707" t="str">
            <v>M#011</v>
          </cell>
          <cell r="B707" t="str">
            <v>项目税费</v>
          </cell>
          <cell r="C707" t="str">
            <v>项目税费</v>
          </cell>
          <cell r="D707" t="str">
            <v>制作搭建、AVL设备、第三方人员服务费</v>
          </cell>
          <cell r="E707" t="str">
            <v>增值税比例</v>
          </cell>
          <cell r="F707" t="str">
            <v>项</v>
          </cell>
          <cell r="G707">
            <v>0.06</v>
          </cell>
        </row>
        <row r="708">
          <cell r="A708" t="str">
            <v>M#012</v>
          </cell>
          <cell r="B708" t="str">
            <v>项目税费</v>
          </cell>
          <cell r="C708" t="str">
            <v>项目税费</v>
          </cell>
          <cell r="D708" t="str">
            <v>物资采买、代垫付、其他未罗列项服务费</v>
          </cell>
          <cell r="E708" t="str">
            <v>增值税比例</v>
          </cell>
          <cell r="F708" t="str">
            <v>项</v>
          </cell>
          <cell r="G708">
            <v>0.06</v>
          </cell>
        </row>
        <row r="709">
          <cell r="A709" t="str">
            <v>M#013</v>
          </cell>
          <cell r="B709" t="str">
            <v>项目税费</v>
          </cell>
          <cell r="C709" t="str">
            <v>项目税费</v>
          </cell>
          <cell r="D709" t="str">
            <v>onsite人员服务费</v>
          </cell>
          <cell r="E709" t="str">
            <v>增值税比例</v>
          </cell>
          <cell r="F709" t="str">
            <v>项</v>
          </cell>
          <cell r="G709">
            <v>0.06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>
    <tabColor theme="1" tint="0.499984740745262"/>
    <outlinePr summaryBelow="0" summaryRight="0"/>
  </sheetPr>
  <dimension ref="A1:U32"/>
  <sheetViews>
    <sheetView workbookViewId="0">
      <selection activeCell="B32" sqref="B32"/>
    </sheetView>
  </sheetViews>
  <sheetFormatPr defaultColWidth="11.625" defaultRowHeight="12.75"/>
  <cols>
    <col min="1" max="1" width="15" style="78" customWidth="1"/>
    <col min="2" max="20" width="11.625" style="78" customWidth="1"/>
    <col min="21" max="16384" width="11.625" style="78"/>
  </cols>
  <sheetData>
    <row r="1" spans="1:21">
      <c r="A1" s="77" t="s">
        <v>727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>
      <c r="A2" s="224" t="s">
        <v>728</v>
      </c>
      <c r="B2" s="79" t="s">
        <v>729</v>
      </c>
      <c r="C2" s="79"/>
      <c r="D2" s="79"/>
      <c r="E2" s="79"/>
      <c r="F2" s="79"/>
      <c r="G2" s="79"/>
      <c r="H2" s="79"/>
      <c r="I2" s="79"/>
      <c r="J2" s="79"/>
    </row>
    <row r="3" spans="1:21">
      <c r="A3" s="224"/>
      <c r="B3" s="79" t="s">
        <v>730</v>
      </c>
      <c r="C3" s="79"/>
      <c r="D3" s="79"/>
      <c r="E3" s="79"/>
      <c r="F3" s="79"/>
      <c r="G3" s="79"/>
      <c r="H3" s="79"/>
      <c r="I3" s="79"/>
      <c r="J3" s="79"/>
    </row>
    <row r="4" spans="1:21">
      <c r="A4" s="224"/>
      <c r="B4" s="79" t="s">
        <v>731</v>
      </c>
      <c r="C4" s="79"/>
      <c r="D4" s="79"/>
      <c r="E4" s="79"/>
      <c r="F4" s="79"/>
      <c r="G4" s="79"/>
      <c r="H4" s="79"/>
      <c r="I4" s="79"/>
      <c r="J4" s="79"/>
    </row>
    <row r="5" spans="1:21">
      <c r="A5" s="225" t="s">
        <v>732</v>
      </c>
      <c r="B5" s="80" t="s">
        <v>733</v>
      </c>
    </row>
    <row r="6" spans="1:21">
      <c r="A6" s="225"/>
      <c r="B6" s="80" t="s">
        <v>734</v>
      </c>
    </row>
    <row r="7" spans="1:21">
      <c r="A7" s="225"/>
      <c r="B7" s="80" t="s">
        <v>735</v>
      </c>
    </row>
    <row r="8" spans="1:21">
      <c r="A8" s="225"/>
      <c r="B8" s="80" t="s">
        <v>736</v>
      </c>
    </row>
    <row r="9" spans="1:21" ht="18.95" customHeight="1">
      <c r="A9" s="225"/>
      <c r="B9" s="80" t="s">
        <v>737</v>
      </c>
    </row>
    <row r="10" spans="1:21" ht="18.95" customHeight="1">
      <c r="A10" s="225"/>
      <c r="B10" s="80" t="s">
        <v>738</v>
      </c>
    </row>
    <row r="11" spans="1:21" ht="18.95" customHeight="1">
      <c r="A11" s="225"/>
      <c r="B11" s="80" t="s">
        <v>739</v>
      </c>
    </row>
    <row r="12" spans="1:21">
      <c r="A12" s="225"/>
      <c r="B12" s="80" t="s">
        <v>740</v>
      </c>
    </row>
    <row r="13" spans="1:21">
      <c r="A13" s="225"/>
      <c r="B13" s="80" t="s">
        <v>741</v>
      </c>
    </row>
    <row r="14" spans="1:21">
      <c r="A14" s="225"/>
      <c r="B14" s="80" t="s">
        <v>742</v>
      </c>
    </row>
    <row r="15" spans="1:21">
      <c r="A15" s="225"/>
      <c r="B15" s="81" t="s">
        <v>743</v>
      </c>
    </row>
    <row r="16" spans="1:21">
      <c r="A16" s="225" t="s">
        <v>744</v>
      </c>
      <c r="B16" s="80" t="s">
        <v>745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>
      <c r="A17" s="225"/>
      <c r="B17" s="80" t="s">
        <v>746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>
      <c r="A18" s="225"/>
      <c r="B18" s="80" t="s">
        <v>747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>
      <c r="A19" s="225"/>
      <c r="B19" s="80" t="s">
        <v>748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>
      <c r="A20" s="225"/>
      <c r="B20" s="80" t="s">
        <v>749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>
      <c r="A21" s="225"/>
      <c r="B21" s="80" t="s">
        <v>750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>
      <c r="A22" s="225"/>
      <c r="B22" s="80" t="s">
        <v>751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>
      <c r="A23" s="225"/>
      <c r="B23" s="80" t="s">
        <v>752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>
      <c r="A24" s="225"/>
      <c r="B24" s="80" t="s">
        <v>753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>
      <c r="A25" s="225"/>
      <c r="B25" s="80" t="s">
        <v>754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>
      <c r="A26" s="225"/>
      <c r="B26" s="80" t="s">
        <v>755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>
      <c r="A27" s="82"/>
      <c r="B27" s="82"/>
      <c r="C27" s="80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>
      <c r="A28" s="77" t="s">
        <v>756</v>
      </c>
      <c r="B28" s="77"/>
      <c r="C28" s="8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spans="1:21">
      <c r="A29" s="82" t="s">
        <v>757</v>
      </c>
      <c r="B29" s="82" t="s">
        <v>758</v>
      </c>
    </row>
    <row r="30" spans="1:21">
      <c r="A30" s="80" t="s">
        <v>759</v>
      </c>
      <c r="B30" s="80" t="s">
        <v>760</v>
      </c>
    </row>
    <row r="31" spans="1:21">
      <c r="A31" s="80" t="s">
        <v>652</v>
      </c>
      <c r="B31" s="80" t="s">
        <v>761</v>
      </c>
    </row>
    <row r="32" spans="1:21">
      <c r="A32" s="80" t="s">
        <v>762</v>
      </c>
      <c r="B32" s="80" t="s">
        <v>1230</v>
      </c>
    </row>
  </sheetData>
  <sheetProtection formatCells="0" insertHyperlinks="0" autoFilter="0"/>
  <mergeCells count="3">
    <mergeCell ref="A2:A4"/>
    <mergeCell ref="A5:A15"/>
    <mergeCell ref="A16:A26"/>
  </mergeCells>
  <phoneticPr fontId="9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>
    <tabColor theme="1" tint="0.499984740745262"/>
    <outlinePr summaryBelow="0" summaryRight="0"/>
  </sheetPr>
  <dimension ref="A1:U29"/>
  <sheetViews>
    <sheetView zoomScale="130" zoomScaleNormal="130" workbookViewId="0">
      <selection activeCell="B32" sqref="B32"/>
    </sheetView>
  </sheetViews>
  <sheetFormatPr defaultColWidth="11.625" defaultRowHeight="12.75"/>
  <cols>
    <col min="1" max="1" width="20.125" style="87" bestFit="1" customWidth="1"/>
    <col min="2" max="2" width="70.875" style="87" customWidth="1"/>
    <col min="3" max="3" width="12.5" style="93" customWidth="1"/>
    <col min="4" max="4" width="12.5" style="87" customWidth="1"/>
    <col min="5" max="5" width="12.5" style="94" customWidth="1"/>
    <col min="6" max="6" width="12.5" style="87" customWidth="1"/>
    <col min="7" max="7" width="15" style="87" customWidth="1"/>
    <col min="8" max="8" width="18.875" style="87" customWidth="1"/>
    <col min="9" max="9" width="11.625" style="87"/>
    <col min="10" max="11" width="22.5" style="87" customWidth="1"/>
    <col min="12" max="16384" width="11.625" style="78"/>
  </cols>
  <sheetData>
    <row r="1" spans="1:21" s="87" customFormat="1">
      <c r="A1" s="84" t="s">
        <v>763</v>
      </c>
      <c r="B1" s="84" t="s">
        <v>725</v>
      </c>
      <c r="C1" s="84" t="s">
        <v>764</v>
      </c>
      <c r="D1" s="84" t="s">
        <v>765</v>
      </c>
      <c r="E1" s="85" t="s">
        <v>652</v>
      </c>
      <c r="F1" s="84" t="s">
        <v>762</v>
      </c>
      <c r="G1" s="84" t="s">
        <v>766</v>
      </c>
      <c r="H1" s="84" t="s">
        <v>767</v>
      </c>
      <c r="I1" s="84" t="s">
        <v>768</v>
      </c>
      <c r="J1" s="84" t="s">
        <v>769</v>
      </c>
      <c r="K1" s="84" t="s">
        <v>770</v>
      </c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ht="25.5">
      <c r="A2" s="88" t="s">
        <v>771</v>
      </c>
      <c r="B2" s="88" t="s">
        <v>772</v>
      </c>
      <c r="C2" s="89" t="s">
        <v>773</v>
      </c>
      <c r="D2" s="88" t="s">
        <v>774</v>
      </c>
      <c r="E2" s="90">
        <v>0.03</v>
      </c>
      <c r="F2" s="88" t="s">
        <v>775</v>
      </c>
      <c r="G2" s="88" t="s">
        <v>776</v>
      </c>
      <c r="H2" s="88" t="s">
        <v>777</v>
      </c>
      <c r="I2" s="88" t="s">
        <v>778</v>
      </c>
      <c r="J2" s="88" t="s">
        <v>779</v>
      </c>
      <c r="K2" s="88" t="s">
        <v>780</v>
      </c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 ht="25.5">
      <c r="A3" s="120" t="s">
        <v>1234</v>
      </c>
      <c r="B3" s="88" t="s">
        <v>784</v>
      </c>
      <c r="C3" s="89" t="e">
        <f>IF($A3="","",VLOOKUP($A3,'3.框架内物料'!$B:$I,5,0))</f>
        <v>#N/A</v>
      </c>
      <c r="D3" s="88" t="e">
        <f>IF($A3="","",VLOOKUP($A3,'3.框架内物料'!$B:$I,4,0))</f>
        <v>#N/A</v>
      </c>
      <c r="E3" s="90">
        <f>IF($A2="","",'2.报价结算清单'!$K$183)</f>
        <v>0.06</v>
      </c>
      <c r="F3" s="88" t="str">
        <f>IF($A2="","",'2.报价结算清单'!$E$183)</f>
        <v>CNY</v>
      </c>
      <c r="G3" s="88"/>
      <c r="H3" s="121" t="str">
        <f>RIGHT(A3,18)</f>
        <v>926524805110788101</v>
      </c>
      <c r="I3" s="88" t="s">
        <v>778</v>
      </c>
      <c r="J3" s="88" t="s">
        <v>779</v>
      </c>
      <c r="K3" s="88" t="s">
        <v>780</v>
      </c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ht="25.5">
      <c r="A4" s="120" t="s">
        <v>1236</v>
      </c>
      <c r="B4" s="88" t="s">
        <v>785</v>
      </c>
      <c r="C4" s="89" t="e">
        <f>IF($A4="","",VLOOKUP($A4,'3.框架内物料'!$B:$I,5,0))</f>
        <v>#N/A</v>
      </c>
      <c r="D4" s="88" t="e">
        <f>IF($A4="","",VLOOKUP($A4,'3.框架内物料'!$B:$I,4,0))</f>
        <v>#N/A</v>
      </c>
      <c r="E4" s="90">
        <f>IF($A3="","",'2.报价结算清单'!$K$183)</f>
        <v>0.06</v>
      </c>
      <c r="F4" s="88" t="str">
        <f>IF($A3="","",'2.报价结算清单'!$E$183)</f>
        <v>CNY</v>
      </c>
      <c r="G4" s="88"/>
      <c r="H4" s="121" t="str">
        <f t="shared" ref="H4:H29" si="0">RIGHT(A4,18)</f>
        <v>926524805110788102</v>
      </c>
      <c r="I4" s="88" t="s">
        <v>1238</v>
      </c>
      <c r="J4" s="88" t="s">
        <v>1250</v>
      </c>
      <c r="K4" s="88" t="s">
        <v>780</v>
      </c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1" ht="25.5">
      <c r="A5" s="120" t="s">
        <v>1235</v>
      </c>
      <c r="B5" s="88" t="s">
        <v>786</v>
      </c>
      <c r="C5" s="89" t="e">
        <f>IF($A5="","",VLOOKUP($A5,'3.框架内物料'!$B:$I,5,0))</f>
        <v>#N/A</v>
      </c>
      <c r="D5" s="88" t="e">
        <f>IF($A5="","",VLOOKUP($A5,'3.框架内物料'!$B:$I,4,0))</f>
        <v>#N/A</v>
      </c>
      <c r="E5" s="90">
        <f>IF($A4="","",'2.报价结算清单'!$K$183)</f>
        <v>0.06</v>
      </c>
      <c r="F5" s="88" t="str">
        <f>IF($A4="","",'2.报价结算清单'!$E$183)</f>
        <v>CNY</v>
      </c>
      <c r="G5" s="88"/>
      <c r="H5" s="121" t="str">
        <f t="shared" si="0"/>
        <v>926524805110788103</v>
      </c>
      <c r="I5" s="88" t="s">
        <v>1239</v>
      </c>
      <c r="J5" s="88" t="s">
        <v>1251</v>
      </c>
      <c r="K5" s="88" t="s">
        <v>780</v>
      </c>
      <c r="L5" s="91"/>
      <c r="M5" s="91"/>
      <c r="N5" s="91"/>
      <c r="O5" s="91"/>
      <c r="P5" s="91"/>
      <c r="Q5" s="91"/>
      <c r="R5" s="91"/>
      <c r="S5" s="91"/>
      <c r="T5" s="91"/>
      <c r="U5" s="91"/>
    </row>
    <row r="6" spans="1:21" ht="25.5">
      <c r="A6" s="120" t="s">
        <v>1237</v>
      </c>
      <c r="B6" s="88" t="s">
        <v>787</v>
      </c>
      <c r="C6" s="89" t="e">
        <f>IF($A6="","",VLOOKUP($A6,'3.框架内物料'!$B:$I,5,0))</f>
        <v>#N/A</v>
      </c>
      <c r="D6" s="88" t="e">
        <f>IF($A6="","",VLOOKUP($A6,'3.框架内物料'!$B:$I,4,0))</f>
        <v>#N/A</v>
      </c>
      <c r="E6" s="90">
        <f>IF($A5="","",'2.报价结算清单'!$K$183)</f>
        <v>0.06</v>
      </c>
      <c r="F6" s="88" t="str">
        <f>IF($A5="","",'2.报价结算清单'!$E$183)</f>
        <v>CNY</v>
      </c>
      <c r="G6" s="88"/>
      <c r="H6" s="121" t="str">
        <f t="shared" si="0"/>
        <v>926524805110788104</v>
      </c>
      <c r="I6" s="88" t="s">
        <v>1240</v>
      </c>
      <c r="J6" s="88" t="s">
        <v>1252</v>
      </c>
      <c r="K6" s="88" t="s">
        <v>780</v>
      </c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1" ht="25.5">
      <c r="A7" s="120" t="s">
        <v>1234</v>
      </c>
      <c r="B7" s="88" t="s">
        <v>788</v>
      </c>
      <c r="C7" s="89" t="e">
        <f>IF($A7="","",VLOOKUP($A7,'3.框架内物料'!$B:$I,5,0))</f>
        <v>#N/A</v>
      </c>
      <c r="D7" s="88" t="e">
        <f>IF($A7="","",VLOOKUP($A7,'3.框架内物料'!$B:$I,4,0))</f>
        <v>#N/A</v>
      </c>
      <c r="E7" s="90">
        <f>IF($A6="","",'2.报价结算清单'!$K$183)</f>
        <v>0.06</v>
      </c>
      <c r="F7" s="88" t="str">
        <f>IF($A6="","",'2.报价结算清单'!$E$183)</f>
        <v>CNY</v>
      </c>
      <c r="G7" s="88"/>
      <c r="H7" s="121" t="str">
        <f t="shared" si="0"/>
        <v>926524805110788101</v>
      </c>
      <c r="I7" s="88" t="s">
        <v>1241</v>
      </c>
      <c r="J7" s="88" t="s">
        <v>1253</v>
      </c>
      <c r="K7" s="88" t="s">
        <v>780</v>
      </c>
      <c r="L7" s="91"/>
      <c r="M7" s="91"/>
      <c r="N7" s="91"/>
      <c r="O7" s="91"/>
      <c r="P7" s="91"/>
      <c r="Q7" s="91"/>
      <c r="R7" s="91"/>
      <c r="S7" s="91"/>
      <c r="T7" s="91"/>
      <c r="U7" s="91"/>
    </row>
    <row r="8" spans="1:21" ht="25.5">
      <c r="A8" s="120" t="s">
        <v>1236</v>
      </c>
      <c r="B8" s="88" t="s">
        <v>789</v>
      </c>
      <c r="C8" s="89" t="e">
        <f>IF($A8="","",VLOOKUP($A8,'3.框架内物料'!$B:$I,5,0))</f>
        <v>#N/A</v>
      </c>
      <c r="D8" s="88" t="e">
        <f>IF($A8="","",VLOOKUP($A8,'3.框架内物料'!$B:$I,4,0))</f>
        <v>#N/A</v>
      </c>
      <c r="E8" s="90">
        <f>IF($A7="","",'2.报价结算清单'!$K$183)</f>
        <v>0.06</v>
      </c>
      <c r="F8" s="88" t="str">
        <f>IF($A7="","",'2.报价结算清单'!$E$183)</f>
        <v>CNY</v>
      </c>
      <c r="G8" s="88"/>
      <c r="H8" s="121" t="str">
        <f t="shared" si="0"/>
        <v>926524805110788102</v>
      </c>
      <c r="I8" s="88" t="s">
        <v>1254</v>
      </c>
      <c r="J8" s="88" t="s">
        <v>1255</v>
      </c>
      <c r="K8" s="88" t="s">
        <v>780</v>
      </c>
      <c r="L8" s="91"/>
      <c r="M8" s="91"/>
      <c r="N8" s="91"/>
      <c r="O8" s="91"/>
      <c r="P8" s="91"/>
      <c r="Q8" s="91"/>
      <c r="R8" s="91"/>
      <c r="S8" s="91"/>
      <c r="T8" s="91"/>
      <c r="U8" s="91"/>
    </row>
    <row r="9" spans="1:21" ht="25.5">
      <c r="A9" s="120" t="s">
        <v>1235</v>
      </c>
      <c r="B9" s="88" t="s">
        <v>790</v>
      </c>
      <c r="C9" s="89" t="e">
        <f>IF($A9="","",VLOOKUP($A9,'3.框架内物料'!$B:$I,5,0))</f>
        <v>#N/A</v>
      </c>
      <c r="D9" s="88" t="e">
        <f>IF($A9="","",VLOOKUP($A9,'3.框架内物料'!$B:$I,4,0))</f>
        <v>#N/A</v>
      </c>
      <c r="E9" s="90">
        <f>IF($A8="","",'2.报价结算清单'!$K$183)</f>
        <v>0.06</v>
      </c>
      <c r="F9" s="88" t="str">
        <f>IF($A8="","",'2.报价结算清单'!$E$183)</f>
        <v>CNY</v>
      </c>
      <c r="G9" s="88"/>
      <c r="H9" s="121" t="str">
        <f t="shared" si="0"/>
        <v>926524805110788103</v>
      </c>
      <c r="I9" s="88" t="s">
        <v>1256</v>
      </c>
      <c r="J9" s="88" t="s">
        <v>1257</v>
      </c>
      <c r="K9" s="88" t="s">
        <v>780</v>
      </c>
      <c r="L9" s="91"/>
      <c r="M9" s="91"/>
      <c r="N9" s="91"/>
      <c r="O9" s="91"/>
      <c r="P9" s="91"/>
      <c r="Q9" s="91"/>
      <c r="R9" s="91"/>
      <c r="S9" s="91"/>
      <c r="T9" s="91"/>
      <c r="U9" s="91"/>
    </row>
    <row r="10" spans="1:21" ht="25.5">
      <c r="A10" s="120" t="s">
        <v>1237</v>
      </c>
      <c r="B10" s="88" t="s">
        <v>791</v>
      </c>
      <c r="C10" s="89" t="e">
        <f>IF($A10="","",VLOOKUP($A10,'3.框架内物料'!$B:$I,5,0))</f>
        <v>#N/A</v>
      </c>
      <c r="D10" s="88" t="e">
        <f>IF($A10="","",VLOOKUP($A10,'3.框架内物料'!$B:$I,4,0))</f>
        <v>#N/A</v>
      </c>
      <c r="E10" s="90">
        <f>IF($A9="","",'2.报价结算清单'!$K$183)</f>
        <v>0.06</v>
      </c>
      <c r="F10" s="88" t="str">
        <f>IF($A9="","",'2.报价结算清单'!$E$183)</f>
        <v>CNY</v>
      </c>
      <c r="G10" s="88"/>
      <c r="H10" s="121" t="str">
        <f t="shared" si="0"/>
        <v>926524805110788104</v>
      </c>
      <c r="I10" s="88" t="s">
        <v>1258</v>
      </c>
      <c r="J10" s="88" t="s">
        <v>1259</v>
      </c>
      <c r="K10" s="88" t="s">
        <v>780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spans="1:21" ht="25.5">
      <c r="A11" s="120" t="s">
        <v>1234</v>
      </c>
      <c r="B11" s="88" t="s">
        <v>792</v>
      </c>
      <c r="C11" s="89" t="e">
        <f>IF($A11="","",VLOOKUP($A11,'3.框架内物料'!$B:$I,5,0))</f>
        <v>#N/A</v>
      </c>
      <c r="D11" s="88" t="e">
        <f>IF($A11="","",VLOOKUP($A11,'3.框架内物料'!$B:$I,4,0))</f>
        <v>#N/A</v>
      </c>
      <c r="E11" s="90">
        <f>IF($A10="","",'2.报价结算清单'!$K$183)</f>
        <v>0.06</v>
      </c>
      <c r="F11" s="88" t="str">
        <f>IF($A10="","",'2.报价结算清单'!$E$183)</f>
        <v>CNY</v>
      </c>
      <c r="G11" s="88"/>
      <c r="H11" s="121" t="str">
        <f t="shared" si="0"/>
        <v>926524805110788101</v>
      </c>
      <c r="I11" s="88" t="s">
        <v>1260</v>
      </c>
      <c r="J11" s="88" t="s">
        <v>1261</v>
      </c>
      <c r="K11" s="88" t="s">
        <v>780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pans="1:21" ht="25.5">
      <c r="A12" s="120" t="s">
        <v>1236</v>
      </c>
      <c r="B12" s="88" t="s">
        <v>793</v>
      </c>
      <c r="C12" s="89" t="e">
        <f>IF($A12="","",VLOOKUP($A12,'3.框架内物料'!$B:$I,5,0))</f>
        <v>#N/A</v>
      </c>
      <c r="D12" s="88" t="e">
        <f>IF($A12="","",VLOOKUP($A12,'3.框架内物料'!$B:$I,4,0))</f>
        <v>#N/A</v>
      </c>
      <c r="E12" s="90">
        <f>IF($A11="","",'2.报价结算清单'!$K$183)</f>
        <v>0.06</v>
      </c>
      <c r="F12" s="88" t="str">
        <f>IF($A11="","",'2.报价结算清单'!$E$183)</f>
        <v>CNY</v>
      </c>
      <c r="G12" s="88"/>
      <c r="H12" s="121" t="str">
        <f t="shared" si="0"/>
        <v>926524805110788102</v>
      </c>
      <c r="I12" s="88" t="s">
        <v>1262</v>
      </c>
      <c r="J12" s="88" t="s">
        <v>1263</v>
      </c>
      <c r="K12" s="88" t="s">
        <v>780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pans="1:21" ht="25.5">
      <c r="A13" s="120" t="s">
        <v>1235</v>
      </c>
      <c r="B13" s="88" t="s">
        <v>794</v>
      </c>
      <c r="C13" s="89" t="e">
        <f>IF($A13="","",VLOOKUP($A13,'3.框架内物料'!$B:$I,5,0))</f>
        <v>#N/A</v>
      </c>
      <c r="D13" s="88" t="e">
        <f>IF($A13="","",VLOOKUP($A13,'3.框架内物料'!$B:$I,4,0))</f>
        <v>#N/A</v>
      </c>
      <c r="E13" s="90">
        <f>IF($A12="","",'2.报价结算清单'!$K$183)</f>
        <v>0.06</v>
      </c>
      <c r="F13" s="88" t="str">
        <f>IF($A12="","",'2.报价结算清单'!$E$183)</f>
        <v>CNY</v>
      </c>
      <c r="G13" s="88"/>
      <c r="H13" s="121" t="str">
        <f t="shared" si="0"/>
        <v>926524805110788103</v>
      </c>
      <c r="I13" s="88" t="s">
        <v>1264</v>
      </c>
      <c r="J13" s="88" t="s">
        <v>1265</v>
      </c>
      <c r="K13" s="88" t="s">
        <v>780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spans="1:21" ht="25.5">
      <c r="A14" s="120" t="s">
        <v>1237</v>
      </c>
      <c r="B14" s="88" t="s">
        <v>795</v>
      </c>
      <c r="C14" s="89" t="e">
        <f>IF($A14="","",VLOOKUP($A14,'3.框架内物料'!$B:$I,5,0))</f>
        <v>#N/A</v>
      </c>
      <c r="D14" s="88" t="e">
        <f>IF($A14="","",VLOOKUP($A14,'3.框架内物料'!$B:$I,4,0))</f>
        <v>#N/A</v>
      </c>
      <c r="E14" s="90">
        <f>IF($A13="","",'2.报价结算清单'!$K$183)</f>
        <v>0.06</v>
      </c>
      <c r="F14" s="88" t="str">
        <f>IF($A13="","",'2.报价结算清单'!$E$183)</f>
        <v>CNY</v>
      </c>
      <c r="G14" s="88"/>
      <c r="H14" s="121" t="str">
        <f t="shared" si="0"/>
        <v>926524805110788104</v>
      </c>
      <c r="I14" s="88" t="s">
        <v>1266</v>
      </c>
      <c r="J14" s="88" t="s">
        <v>1267</v>
      </c>
      <c r="K14" s="88" t="s">
        <v>780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spans="1:21" ht="25.5">
      <c r="A15" s="120" t="s">
        <v>1234</v>
      </c>
      <c r="B15" s="88" t="s">
        <v>796</v>
      </c>
      <c r="C15" s="89" t="e">
        <f>IF($A15="","",VLOOKUP($A15,'3.框架内物料'!$B:$I,5,0))</f>
        <v>#N/A</v>
      </c>
      <c r="D15" s="88" t="e">
        <f>IF($A15="","",VLOOKUP($A15,'3.框架内物料'!$B:$I,4,0))</f>
        <v>#N/A</v>
      </c>
      <c r="E15" s="90">
        <f>IF($A14="","",'2.报价结算清单'!$K$183)</f>
        <v>0.06</v>
      </c>
      <c r="F15" s="88" t="str">
        <f>IF($A14="","",'2.报价结算清单'!$E$183)</f>
        <v>CNY</v>
      </c>
      <c r="G15" s="88"/>
      <c r="H15" s="121" t="str">
        <f t="shared" si="0"/>
        <v>926524805110788101</v>
      </c>
      <c r="I15" s="88" t="s">
        <v>1268</v>
      </c>
      <c r="J15" s="88" t="s">
        <v>1269</v>
      </c>
      <c r="K15" s="88" t="s">
        <v>780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spans="1:21" ht="25.5">
      <c r="A16" s="120" t="s">
        <v>1236</v>
      </c>
      <c r="B16" s="88" t="s">
        <v>797</v>
      </c>
      <c r="C16" s="89" t="e">
        <f>IF($A16="","",VLOOKUP($A16,'3.框架内物料'!$B:$I,5,0))</f>
        <v>#N/A</v>
      </c>
      <c r="D16" s="88" t="e">
        <f>IF($A16="","",VLOOKUP($A16,'3.框架内物料'!$B:$I,4,0))</f>
        <v>#N/A</v>
      </c>
      <c r="E16" s="90">
        <f>IF($A15="","",'2.报价结算清单'!$K$183)</f>
        <v>0.06</v>
      </c>
      <c r="F16" s="88" t="str">
        <f>IF($A15="","",'2.报价结算清单'!$E$183)</f>
        <v>CNY</v>
      </c>
      <c r="G16" s="88"/>
      <c r="H16" s="121" t="str">
        <f t="shared" si="0"/>
        <v>926524805110788102</v>
      </c>
      <c r="I16" s="88" t="s">
        <v>1270</v>
      </c>
      <c r="J16" s="88" t="s">
        <v>1271</v>
      </c>
      <c r="K16" s="88" t="s">
        <v>780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spans="1:21" ht="25.5">
      <c r="A17" s="120" t="s">
        <v>1235</v>
      </c>
      <c r="B17" s="88" t="s">
        <v>798</v>
      </c>
      <c r="C17" s="89" t="e">
        <f>IF($A17="","",VLOOKUP($A17,'3.框架内物料'!$B:$I,5,0))</f>
        <v>#N/A</v>
      </c>
      <c r="D17" s="88" t="e">
        <f>IF($A17="","",VLOOKUP($A17,'3.框架内物料'!$B:$I,4,0))</f>
        <v>#N/A</v>
      </c>
      <c r="E17" s="90">
        <f>IF($A16="","",'2.报价结算清单'!$K$183)</f>
        <v>0.06</v>
      </c>
      <c r="F17" s="88" t="str">
        <f>IF($A16="","",'2.报价结算清单'!$E$183)</f>
        <v>CNY</v>
      </c>
      <c r="G17" s="88"/>
      <c r="H17" s="121" t="str">
        <f t="shared" si="0"/>
        <v>926524805110788103</v>
      </c>
      <c r="I17" s="88" t="s">
        <v>1272</v>
      </c>
      <c r="J17" s="88" t="s">
        <v>1273</v>
      </c>
      <c r="K17" s="88" t="s">
        <v>780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</row>
    <row r="18" spans="1:21" ht="25.5">
      <c r="A18" s="120" t="s">
        <v>1237</v>
      </c>
      <c r="B18" s="88" t="s">
        <v>799</v>
      </c>
      <c r="C18" s="89" t="e">
        <f>IF($A18="","",VLOOKUP($A18,'3.框架内物料'!$B:$I,5,0))</f>
        <v>#N/A</v>
      </c>
      <c r="D18" s="88" t="e">
        <f>IF($A18="","",VLOOKUP($A18,'3.框架内物料'!$B:$I,4,0))</f>
        <v>#N/A</v>
      </c>
      <c r="E18" s="90">
        <f>IF($A17="","",'2.报价结算清单'!$K$183)</f>
        <v>0.06</v>
      </c>
      <c r="F18" s="88" t="str">
        <f>IF($A17="","",'2.报价结算清单'!$E$183)</f>
        <v>CNY</v>
      </c>
      <c r="G18" s="88"/>
      <c r="H18" s="121" t="str">
        <f t="shared" si="0"/>
        <v>926524805110788104</v>
      </c>
      <c r="I18" s="88" t="s">
        <v>1274</v>
      </c>
      <c r="J18" s="88" t="s">
        <v>1275</v>
      </c>
      <c r="K18" s="88" t="s">
        <v>780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</row>
    <row r="19" spans="1:21" ht="25.5">
      <c r="A19" s="120" t="s">
        <v>1234</v>
      </c>
      <c r="B19" s="88" t="s">
        <v>800</v>
      </c>
      <c r="C19" s="89" t="e">
        <f>IF($A19="","",VLOOKUP($A19,'3.框架内物料'!$B:$I,5,0))</f>
        <v>#N/A</v>
      </c>
      <c r="D19" s="88" t="e">
        <f>IF($A19="","",VLOOKUP($A19,'3.框架内物料'!$B:$I,4,0))</f>
        <v>#N/A</v>
      </c>
      <c r="E19" s="90">
        <f>IF($A18="","",'2.报价结算清单'!$K$183)</f>
        <v>0.06</v>
      </c>
      <c r="F19" s="88" t="str">
        <f>IF($A18="","",'2.报价结算清单'!$E$183)</f>
        <v>CNY</v>
      </c>
      <c r="G19" s="88"/>
      <c r="H19" s="121" t="str">
        <f t="shared" si="0"/>
        <v>926524805110788101</v>
      </c>
      <c r="I19" s="88" t="s">
        <v>1276</v>
      </c>
      <c r="J19" s="88" t="s">
        <v>1277</v>
      </c>
      <c r="K19" s="88" t="s">
        <v>780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</row>
    <row r="20" spans="1:21" ht="25.5">
      <c r="A20" s="120" t="s">
        <v>1236</v>
      </c>
      <c r="B20" s="88" t="s">
        <v>801</v>
      </c>
      <c r="C20" s="89" t="e">
        <f>IF($A20="","",VLOOKUP($A20,'3.框架内物料'!$B:$I,5,0))</f>
        <v>#N/A</v>
      </c>
      <c r="D20" s="88" t="e">
        <f>IF($A20="","",VLOOKUP($A20,'3.框架内物料'!$B:$I,4,0))</f>
        <v>#N/A</v>
      </c>
      <c r="E20" s="90">
        <f>IF($A19="","",'2.报价结算清单'!$K$183)</f>
        <v>0.06</v>
      </c>
      <c r="F20" s="88" t="str">
        <f>IF($A19="","",'2.报价结算清单'!$E$183)</f>
        <v>CNY</v>
      </c>
      <c r="G20" s="88"/>
      <c r="H20" s="121" t="str">
        <f t="shared" si="0"/>
        <v>926524805110788102</v>
      </c>
      <c r="I20" s="88" t="s">
        <v>1278</v>
      </c>
      <c r="J20" s="88" t="s">
        <v>1279</v>
      </c>
      <c r="K20" s="88" t="s">
        <v>780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</row>
    <row r="21" spans="1:21" ht="25.5">
      <c r="A21" s="120" t="s">
        <v>1235</v>
      </c>
      <c r="B21" s="88" t="s">
        <v>802</v>
      </c>
      <c r="C21" s="89" t="e">
        <f>IF($A21="","",VLOOKUP($A21,'3.框架内物料'!$B:$I,5,0))</f>
        <v>#N/A</v>
      </c>
      <c r="D21" s="88" t="e">
        <f>IF($A21="","",VLOOKUP($A21,'3.框架内物料'!$B:$I,4,0))</f>
        <v>#N/A</v>
      </c>
      <c r="E21" s="90">
        <f>IF($A20="","",'2.报价结算清单'!$K$183)</f>
        <v>0.06</v>
      </c>
      <c r="F21" s="88" t="str">
        <f>IF($A20="","",'2.报价结算清单'!$E$183)</f>
        <v>CNY</v>
      </c>
      <c r="G21" s="88"/>
      <c r="H21" s="121" t="str">
        <f t="shared" si="0"/>
        <v>926524805110788103</v>
      </c>
      <c r="I21" s="88" t="s">
        <v>1280</v>
      </c>
      <c r="J21" s="88" t="s">
        <v>1281</v>
      </c>
      <c r="K21" s="88" t="s">
        <v>780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</row>
    <row r="22" spans="1:21" ht="25.5">
      <c r="A22" s="120" t="s">
        <v>1237</v>
      </c>
      <c r="B22" s="88" t="s">
        <v>803</v>
      </c>
      <c r="C22" s="89" t="e">
        <f>IF($A22="","",VLOOKUP($A22,'3.框架内物料'!$B:$I,5,0))</f>
        <v>#N/A</v>
      </c>
      <c r="D22" s="88" t="e">
        <f>IF($A22="","",VLOOKUP($A22,'3.框架内物料'!$B:$I,4,0))</f>
        <v>#N/A</v>
      </c>
      <c r="E22" s="90">
        <f>IF($A21="","",'2.报价结算清单'!$K$183)</f>
        <v>0.06</v>
      </c>
      <c r="F22" s="88" t="str">
        <f>IF($A21="","",'2.报价结算清单'!$E$183)</f>
        <v>CNY</v>
      </c>
      <c r="G22" s="88"/>
      <c r="H22" s="121" t="str">
        <f t="shared" si="0"/>
        <v>926524805110788104</v>
      </c>
      <c r="I22" s="88" t="s">
        <v>1282</v>
      </c>
      <c r="J22" s="88" t="s">
        <v>1283</v>
      </c>
      <c r="K22" s="88" t="s">
        <v>780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spans="1:21" ht="25.5">
      <c r="A23" s="120" t="s">
        <v>1234</v>
      </c>
      <c r="B23" s="88" t="s">
        <v>804</v>
      </c>
      <c r="C23" s="89" t="e">
        <f>IF($A23="","",VLOOKUP($A23,'3.框架内物料'!$B:$I,5,0))</f>
        <v>#N/A</v>
      </c>
      <c r="D23" s="88" t="e">
        <f>IF($A23="","",VLOOKUP($A23,'3.框架内物料'!$B:$I,4,0))</f>
        <v>#N/A</v>
      </c>
      <c r="E23" s="90">
        <f>IF($A22="","",'2.报价结算清单'!$K$183)</f>
        <v>0.06</v>
      </c>
      <c r="F23" s="88" t="str">
        <f>IF($A22="","",'2.报价结算清单'!$E$183)</f>
        <v>CNY</v>
      </c>
      <c r="G23" s="88"/>
      <c r="H23" s="121" t="str">
        <f t="shared" si="0"/>
        <v>926524805110788101</v>
      </c>
      <c r="I23" s="88" t="s">
        <v>1284</v>
      </c>
      <c r="J23" s="88" t="s">
        <v>1285</v>
      </c>
      <c r="K23" s="88" t="s">
        <v>780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spans="1:21" ht="25.5">
      <c r="A24" s="120" t="s">
        <v>1236</v>
      </c>
      <c r="B24" s="88" t="s">
        <v>805</v>
      </c>
      <c r="C24" s="89" t="e">
        <f>IF($A24="","",VLOOKUP($A24,'3.框架内物料'!$B:$I,5,0))</f>
        <v>#N/A</v>
      </c>
      <c r="D24" s="88" t="e">
        <f>IF($A24="","",VLOOKUP($A24,'3.框架内物料'!$B:$I,4,0))</f>
        <v>#N/A</v>
      </c>
      <c r="E24" s="90">
        <f>IF($A23="","",'2.报价结算清单'!$K$183)</f>
        <v>0.06</v>
      </c>
      <c r="F24" s="88" t="str">
        <f>IF($A23="","",'2.报价结算清单'!$E$183)</f>
        <v>CNY</v>
      </c>
      <c r="G24" s="88"/>
      <c r="H24" s="121" t="str">
        <f t="shared" si="0"/>
        <v>926524805110788102</v>
      </c>
      <c r="I24" s="88" t="s">
        <v>1286</v>
      </c>
      <c r="J24" s="88" t="s">
        <v>1287</v>
      </c>
      <c r="K24" s="88" t="s">
        <v>780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spans="1:21" ht="25.5">
      <c r="A25" s="120" t="s">
        <v>1235</v>
      </c>
      <c r="B25" s="88" t="s">
        <v>806</v>
      </c>
      <c r="C25" s="89" t="e">
        <f>IF($A25="","",VLOOKUP($A25,'3.框架内物料'!$B:$I,5,0))</f>
        <v>#N/A</v>
      </c>
      <c r="D25" s="88" t="e">
        <f>IF($A25="","",VLOOKUP($A25,'3.框架内物料'!$B:$I,4,0))</f>
        <v>#N/A</v>
      </c>
      <c r="E25" s="90">
        <f>IF($A24="","",'2.报价结算清单'!$K$183)</f>
        <v>0.06</v>
      </c>
      <c r="F25" s="88" t="str">
        <f>IF($A24="","",'2.报价结算清单'!$E$183)</f>
        <v>CNY</v>
      </c>
      <c r="G25" s="88"/>
      <c r="H25" s="121" t="str">
        <f t="shared" si="0"/>
        <v>926524805110788103</v>
      </c>
      <c r="I25" s="88" t="s">
        <v>1288</v>
      </c>
      <c r="J25" s="88" t="s">
        <v>1289</v>
      </c>
      <c r="K25" s="88" t="s">
        <v>780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spans="1:21" ht="25.5">
      <c r="A26" s="120" t="s">
        <v>1237</v>
      </c>
      <c r="B26" s="88" t="s">
        <v>807</v>
      </c>
      <c r="C26" s="89" t="e">
        <f>IF($A26="","",VLOOKUP($A26,'3.框架内物料'!$B:$I,5,0))</f>
        <v>#N/A</v>
      </c>
      <c r="D26" s="88" t="e">
        <f>IF($A26="","",VLOOKUP($A26,'3.框架内物料'!$B:$I,4,0))</f>
        <v>#N/A</v>
      </c>
      <c r="E26" s="90">
        <f>IF($A25="","",'2.报价结算清单'!$K$183)</f>
        <v>0.06</v>
      </c>
      <c r="F26" s="88" t="str">
        <f>IF($A25="","",'2.报价结算清单'!$E$183)</f>
        <v>CNY</v>
      </c>
      <c r="G26" s="88"/>
      <c r="H26" s="121" t="str">
        <f t="shared" si="0"/>
        <v>926524805110788104</v>
      </c>
      <c r="I26" s="88" t="s">
        <v>1290</v>
      </c>
      <c r="J26" s="88" t="s">
        <v>1291</v>
      </c>
      <c r="K26" s="88" t="s">
        <v>780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</row>
    <row r="27" spans="1:21" ht="25.5">
      <c r="A27" s="120" t="s">
        <v>1234</v>
      </c>
      <c r="B27" s="88" t="s">
        <v>808</v>
      </c>
      <c r="C27" s="89" t="e">
        <f>IF($A27="","",VLOOKUP($A27,'3.框架内物料'!$B:$I,5,0))</f>
        <v>#N/A</v>
      </c>
      <c r="D27" s="88" t="e">
        <f>IF($A27="","",VLOOKUP($A27,'3.框架内物料'!$B:$I,4,0))</f>
        <v>#N/A</v>
      </c>
      <c r="E27" s="90">
        <f>IF($A26="","",'2.报价结算清单'!$K$183)</f>
        <v>0.06</v>
      </c>
      <c r="F27" s="88" t="str">
        <f>IF($A26="","",'2.报价结算清单'!$E$183)</f>
        <v>CNY</v>
      </c>
      <c r="G27" s="88"/>
      <c r="H27" s="121" t="str">
        <f t="shared" si="0"/>
        <v>926524805110788101</v>
      </c>
      <c r="I27" s="88" t="s">
        <v>1292</v>
      </c>
      <c r="J27" s="88" t="s">
        <v>1293</v>
      </c>
      <c r="K27" s="88" t="s">
        <v>780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 spans="1:21" ht="25.5">
      <c r="A28" s="120" t="s">
        <v>1234</v>
      </c>
      <c r="B28" s="88" t="s">
        <v>809</v>
      </c>
      <c r="C28" s="89" t="e">
        <f>IF($A28="","",VLOOKUP($A28,'3.框架内物料'!$B:$I,5,0))</f>
        <v>#N/A</v>
      </c>
      <c r="D28" s="88" t="e">
        <f>IF($A28="","",VLOOKUP($A28,'3.框架内物料'!$B:$I,4,0))</f>
        <v>#N/A</v>
      </c>
      <c r="E28" s="90">
        <f>IF($A27="","",'2.报价结算清单'!$K$183)</f>
        <v>0.06</v>
      </c>
      <c r="F28" s="88" t="str">
        <f>IF($A27="","",'2.报价结算清单'!$E$183)</f>
        <v>CNY</v>
      </c>
      <c r="G28" s="88"/>
      <c r="H28" s="121" t="str">
        <f t="shared" si="0"/>
        <v>926524805110788101</v>
      </c>
      <c r="I28" s="88" t="s">
        <v>1294</v>
      </c>
      <c r="J28" s="88" t="s">
        <v>1295</v>
      </c>
      <c r="K28" s="88" t="s">
        <v>780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</row>
    <row r="29" spans="1:21" ht="25.5">
      <c r="A29" s="120" t="s">
        <v>1236</v>
      </c>
      <c r="B29" s="88" t="s">
        <v>810</v>
      </c>
      <c r="C29" s="89" t="e">
        <f>IF($A29="","",VLOOKUP($A29,'3.框架内物料'!$B:$I,5,0))</f>
        <v>#N/A</v>
      </c>
      <c r="D29" s="88" t="e">
        <f>IF($A29="","",VLOOKUP($A29,'3.框架内物料'!$B:$I,4,0))</f>
        <v>#N/A</v>
      </c>
      <c r="E29" s="90">
        <f>IF($A28="","",'2.报价结算清单'!$K$183)</f>
        <v>0.06</v>
      </c>
      <c r="F29" s="88" t="str">
        <f>IF($A28="","",'2.报价结算清单'!$E$183)</f>
        <v>CNY</v>
      </c>
      <c r="G29" s="88"/>
      <c r="H29" s="121" t="str">
        <f t="shared" si="0"/>
        <v>926524805110788102</v>
      </c>
      <c r="I29" s="88" t="s">
        <v>1296</v>
      </c>
      <c r="J29" s="88" t="s">
        <v>1297</v>
      </c>
      <c r="K29" s="88" t="s">
        <v>780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ABE9-A175-9246-B73C-D6FD459F96C1}">
  <sheetPr>
    <tabColor theme="1" tint="0.499984740745262"/>
    <outlinePr summaryBelow="0" summaryRight="0"/>
  </sheetPr>
  <dimension ref="A1:W500"/>
  <sheetViews>
    <sheetView topLeftCell="A298" zoomScale="170" zoomScaleNormal="170" workbookViewId="0">
      <selection activeCell="B32" sqref="B32"/>
    </sheetView>
  </sheetViews>
  <sheetFormatPr defaultColWidth="11.625" defaultRowHeight="12.75"/>
  <cols>
    <col min="1" max="1" width="9.375" style="78" customWidth="1"/>
    <col min="2" max="2" width="10.375" style="78" bestFit="1" customWidth="1"/>
    <col min="3" max="5" width="8" style="78" bestFit="1" customWidth="1"/>
    <col min="6" max="6" width="39.625" style="78" bestFit="1" customWidth="1"/>
    <col min="7" max="7" width="68.375" style="87" bestFit="1" customWidth="1"/>
    <col min="8" max="8" width="11.625" style="78" bestFit="1" customWidth="1"/>
    <col min="9" max="9" width="7" style="78" bestFit="1" customWidth="1"/>
    <col min="10" max="10" width="6.5" style="78" bestFit="1" customWidth="1"/>
    <col min="11" max="11" width="7" style="78" bestFit="1" customWidth="1"/>
    <col min="12" max="12" width="6.5" style="78" bestFit="1" customWidth="1"/>
    <col min="13" max="13" width="15.5" style="78" bestFit="1" customWidth="1"/>
    <col min="14" max="14" width="12" style="78" bestFit="1" customWidth="1"/>
    <col min="15" max="15" width="39.625" style="78" bestFit="1" customWidth="1"/>
    <col min="16" max="16" width="13.125" style="78" bestFit="1" customWidth="1"/>
    <col min="17" max="17" width="6.875" style="78" bestFit="1" customWidth="1"/>
    <col min="18" max="18" width="13.5" style="107" bestFit="1" customWidth="1"/>
    <col min="19" max="19" width="13.125" style="78" bestFit="1" customWidth="1"/>
    <col min="20" max="21" width="29.875" style="78" bestFit="1" customWidth="1"/>
    <col min="22" max="22" width="31.625" style="78" bestFit="1" customWidth="1"/>
    <col min="23" max="23" width="33.625" style="78" bestFit="1" customWidth="1"/>
    <col min="24" max="16384" width="11.625" style="78"/>
  </cols>
  <sheetData>
    <row r="1" spans="1:23" s="104" customFormat="1">
      <c r="A1" s="95" t="s">
        <v>655</v>
      </c>
      <c r="B1" s="95" t="s">
        <v>687</v>
      </c>
      <c r="C1" s="95" t="s">
        <v>688</v>
      </c>
      <c r="D1" s="95" t="s">
        <v>10</v>
      </c>
      <c r="E1" s="95" t="s">
        <v>11</v>
      </c>
      <c r="F1" s="96" t="s">
        <v>689</v>
      </c>
      <c r="G1" s="97" t="s">
        <v>1228</v>
      </c>
      <c r="H1" s="97" t="s">
        <v>695</v>
      </c>
      <c r="I1" s="98" t="s">
        <v>696</v>
      </c>
      <c r="J1" s="99" t="s">
        <v>697</v>
      </c>
      <c r="K1" s="98" t="s">
        <v>698</v>
      </c>
      <c r="L1" s="99" t="s">
        <v>699</v>
      </c>
      <c r="M1" s="100" t="s">
        <v>700</v>
      </c>
      <c r="N1" s="95" t="s">
        <v>701</v>
      </c>
      <c r="O1" s="95" t="s">
        <v>703</v>
      </c>
      <c r="P1" s="95" t="s">
        <v>704</v>
      </c>
      <c r="Q1" s="101" t="s">
        <v>705</v>
      </c>
      <c r="R1" s="102" t="s">
        <v>706</v>
      </c>
      <c r="S1" s="98" t="s">
        <v>707</v>
      </c>
      <c r="T1" s="103" t="s">
        <v>708</v>
      </c>
      <c r="U1" s="103" t="s">
        <v>709</v>
      </c>
      <c r="V1" s="103" t="s">
        <v>710</v>
      </c>
      <c r="W1" s="103" t="s">
        <v>711</v>
      </c>
    </row>
    <row r="2" spans="1:23">
      <c r="A2" s="78" t="str">
        <f>IF(AND('2.报价结算清单'!$P7&gt;0,'2.报价结算清单'!$B7&lt;&gt;0,'2.报价结算清单'!$F7&lt;&gt;0),'2.报价结算清单'!$F7,"")</f>
        <v>框架外物料</v>
      </c>
      <c r="B2" s="78" t="str">
        <f>_xlfn.IFNA(VLOOKUP(A2,'3.框架内物料'!$A:$I,3,0),A2)</f>
        <v>框架外物料</v>
      </c>
      <c r="C2" s="78" t="str">
        <f>IF(AND('2.报价结算清单'!$P7&gt;0,'2.报价结算清单'!$B7&lt;&gt;0,'2.报价结算清单'!C7&lt;&gt;0),'2.报价结算清单'!C7,"")</f>
        <v>酒店</v>
      </c>
      <c r="D2" s="78" t="str">
        <f>IF(AND('2.报价结算清单'!$P7&gt;0,'2.报价结算清单'!$B7&lt;&gt;0,'2.报价结算清单'!D7&lt;&gt;0),'2.报价结算清单'!D7,"")</f>
        <v>行前礼品</v>
      </c>
      <c r="E2" s="78" t="str">
        <f>IF(AND('2.报价结算清单'!$P7&gt;0,'2.报价结算清单'!$B7&lt;&gt;0,'2.报价结算清单'!E7&lt;&gt;0),'2.报价结算清单'!E7,"")</f>
        <v>定制眼罩</v>
      </c>
      <c r="F2" s="105" t="str">
        <f>_xlfn.IFNA(IF($A2="","",IF(VLOOKUP($A2,'3.框架内物料'!$A:$I,2,0)="","",VLOOKUP($A2,'3.框架内物料'!$A:$I,2,0))),"")</f>
        <v/>
      </c>
      <c r="G2" s="87" t="str">
        <f>IF(AND('2.报价结算清单'!$P7&gt;0,'2.报价结算清单'!$B7&lt;&gt;0,'2.报价结算清单'!H7&lt;&gt;0),'2.报价结算清单'!H7,"")</f>
        <v>定制眼罩吊牌</v>
      </c>
      <c r="H2" s="122">
        <f>IF(AND('2.报价结算清单'!$P7&gt;0,'2.报价结算清单'!$B7&lt;&gt;0,'2.报价结算清单'!$F7&lt;&gt;0),'2.报价结算清单'!J7,"")</f>
        <v>10.6</v>
      </c>
      <c r="I2" s="105">
        <f>IF(AND('2.报价结算清单'!$P7&gt;0,'2.报价结算清单'!$B7&lt;&gt;0,'2.报价结算清单'!$F7&lt;&gt;0),'2.报价结算清单'!L7,"")</f>
        <v>280</v>
      </c>
      <c r="J2" s="105" t="str">
        <f>IF(AND('2.报价结算清单'!$P7&gt;0,'2.报价结算清单'!$B7&lt;&gt;0,'2.报价结算清单'!I7&lt;&gt;0),'2.报价结算清单'!I7,"")</f>
        <v>元</v>
      </c>
      <c r="K2" s="105">
        <f>IF(AND('2.报价结算清单'!$P7&gt;0,'2.报价结算清单'!$B7&lt;&gt;0,'2.报价结算清单'!$F7&lt;&gt;0),'2.报价结算清单'!N7,"")</f>
        <v>1</v>
      </c>
      <c r="L2" s="105" t="str">
        <f>IF(AND('2.报价结算清单'!$P7&gt;0,'2.报价结算清单'!$B7&lt;&gt;0,'2.报价结算清单'!I7&lt;&gt;0),"天","")</f>
        <v>天</v>
      </c>
      <c r="M2" s="80" t="str">
        <f>IF(A2="框架外物料","框架外",IF(A2="据实结算","据实结算",IF(A2="","","框架内")))</f>
        <v>框架外</v>
      </c>
      <c r="N2" s="78">
        <f>IFERROR(IF(H2*I2*K2=0,"",H2*I2*K2),"")</f>
        <v>2968</v>
      </c>
      <c r="O2" s="78" t="str">
        <f>IF(AND('2.报价结算清单'!$P7&gt;0,'2.报价结算清单'!$B7&lt;&gt;0,'2.报价结算清单'!S7&lt;&gt;0),'2.报价结算清单'!S7,"")</f>
        <v/>
      </c>
      <c r="P2" s="78">
        <f>IF(AND('2.报价结算清单'!$P7&gt;0,'2.报价结算清单'!$B7&lt;&gt;0,'2.报价结算清单'!T7&lt;&gt;0),'2.报价结算清单'!T7,"")</f>
        <v>2</v>
      </c>
      <c r="Q2" s="78" t="str">
        <f>IF(F2="",J2,VLOOKUP(F2,框架条目清单!A:K,4,FALSE))</f>
        <v>元</v>
      </c>
      <c r="R2" s="106">
        <f>IF($A2="","",'2.报价结算清单'!$K$183)</f>
        <v>0.06</v>
      </c>
      <c r="S2" s="80" t="str">
        <f>IF($A2="","",'2.报价结算清单'!$E$183)</f>
        <v>CNY</v>
      </c>
      <c r="T2" s="78" t="str">
        <f>IF(F2="","",VLOOKUP(F2,框架条目清单!A:K,7,FALSE))</f>
        <v/>
      </c>
      <c r="U2" s="78" t="str">
        <f>IF(F2="","",VLOOKUP(F2,框架条目清单!A:K,8,FALSE))</f>
        <v/>
      </c>
      <c r="V2" s="78" t="str">
        <f>IF(F2="","",VLOOKUP(F2,框架条目清单!A:K,9,FALSE))</f>
        <v/>
      </c>
    </row>
    <row r="3" spans="1:23">
      <c r="A3" s="78" t="str">
        <f>IF(AND('2.报价结算清单'!$P8&gt;0,'2.报价结算清单'!$B8&lt;&gt;0,'2.报价结算清单'!$F8&lt;&gt;0),'2.报价结算清单'!$F8,"")</f>
        <v>框架外物料</v>
      </c>
      <c r="B3" s="78" t="str">
        <f>_xlfn.IFNA(VLOOKUP(A3,'3.框架内物料'!$A:$I,3,0),A3)</f>
        <v>框架外物料</v>
      </c>
      <c r="C3" s="78" t="str">
        <f>IF(AND('2.报价结算清单'!$P8&gt;0,'2.报价结算清单'!$B8&lt;&gt;0,'2.报价结算清单'!C8&lt;&gt;0),'2.报价结算清单'!C8,"")</f>
        <v>酒店</v>
      </c>
      <c r="D3" s="78" t="str">
        <f>IF(AND('2.报价结算清单'!$P8&gt;0,'2.报价结算清单'!$B8&lt;&gt;0,'2.报价结算清单'!D8&lt;&gt;0),'2.报价结算清单'!D8,"")</f>
        <v>行前礼品</v>
      </c>
      <c r="E3" s="78" t="str">
        <f>IF(AND('2.报价结算清单'!$P8&gt;0,'2.报价结算清单'!$B8&lt;&gt;0,'2.报价结算清单'!E8&lt;&gt;0),'2.报价结算清单'!E8,"")</f>
        <v>定制行李牌</v>
      </c>
      <c r="F3" s="105" t="str">
        <f>_xlfn.IFNA(IF($A3="","",IF(VLOOKUP($A3,'3.框架内物料'!$A:$I,2,0)="","",VLOOKUP($A3,'3.框架内物料'!$A:$I,2,0))),"")</f>
        <v/>
      </c>
      <c r="G3" s="87" t="str">
        <f>IF(AND('2.报价结算清单'!$P8&gt;0,'2.报价结算清单'!$B8&lt;&gt;0,'2.报价结算清单'!H8&lt;&gt;0),'2.报价结算清单'!H8,"")</f>
        <v>定制行李牌，刺绣</v>
      </c>
      <c r="H3" s="122">
        <f>IF(AND('2.报价结算清单'!$P8&gt;0,'2.报价结算清单'!$B8&lt;&gt;0,'2.报价结算清单'!$F8&lt;&gt;0),'2.报价结算清单'!J8,"")</f>
        <v>31.8</v>
      </c>
      <c r="I3" s="105">
        <f>IF(AND('2.报价结算清单'!$P8&gt;0,'2.报价结算清单'!$B8&lt;&gt;0,'2.报价结算清单'!$F8&lt;&gt;0),'2.报价结算清单'!L8,"")</f>
        <v>280</v>
      </c>
      <c r="J3" s="105" t="str">
        <f>IF(AND('2.报价结算清单'!$P8&gt;0,'2.报价结算清单'!$B8&lt;&gt;0,'2.报价结算清单'!I8&lt;&gt;0),'2.报价结算清单'!I8,"")</f>
        <v>元</v>
      </c>
      <c r="K3" s="105">
        <f>IF(AND('2.报价结算清单'!$P8&gt;0,'2.报价结算清单'!$B8&lt;&gt;0,'2.报价结算清单'!$F8&lt;&gt;0),'2.报价结算清单'!N8,"")</f>
        <v>1</v>
      </c>
      <c r="L3" s="105" t="str">
        <f>IF(AND('2.报价结算清单'!$P8&gt;0,'2.报价结算清单'!$B8&lt;&gt;0,'2.报价结算清单'!I8&lt;&gt;0),"天","")</f>
        <v>天</v>
      </c>
      <c r="M3" s="80" t="str">
        <f t="shared" ref="M3:M4" si="0">IF(A3="框架外物料","框架外",IF(A3="据实结算","据实结算",IF(A3="","","框架内")))</f>
        <v>框架外</v>
      </c>
      <c r="N3" s="78">
        <f t="shared" ref="N3:N4" si="1">IFERROR(IF(H3*I3*K3=0,"",H3*I3*K3),"")</f>
        <v>8904</v>
      </c>
      <c r="O3" s="78" t="str">
        <f>IF(AND('2.报价结算清单'!$P8&gt;0,'2.报价结算清单'!$B8&lt;&gt;0,'2.报价结算清单'!S8&lt;&gt;0),'2.报价结算清单'!S8,"")</f>
        <v/>
      </c>
      <c r="P3" s="78">
        <f>IF(AND('2.报价结算清单'!$P8&gt;0,'2.报价结算清单'!$B8&lt;&gt;0,'2.报价结算清单'!T8&lt;&gt;0),'2.报价结算清单'!T8,"")</f>
        <v>3</v>
      </c>
      <c r="Q3" s="78" t="str">
        <f>IF(F3="",J3,VLOOKUP(F3,框架条目清单!A:K,4,FALSE))</f>
        <v>元</v>
      </c>
      <c r="R3" s="106">
        <f>IF($A3="","",'2.报价结算清单'!$K$183)</f>
        <v>0.06</v>
      </c>
      <c r="S3" s="80" t="str">
        <f>IF($A3="","",'2.报价结算清单'!$E$183)</f>
        <v>CNY</v>
      </c>
      <c r="T3" s="78" t="str">
        <f>IF(F3="","",VLOOKUP(F3,框架条目清单!A:K,7,FALSE))</f>
        <v/>
      </c>
      <c r="U3" s="78" t="str">
        <f>IF(F3="","",VLOOKUP(F3,框架条目清单!A:K,8,FALSE))</f>
        <v/>
      </c>
      <c r="V3" s="78" t="str">
        <f>IF(F3="","",VLOOKUP(F3,框架条目清单!A:K,9,FALSE))</f>
        <v/>
      </c>
    </row>
    <row r="4" spans="1:23">
      <c r="A4" s="78" t="str">
        <f>IF(AND('2.报价结算清单'!$P9&gt;0,'2.报价结算清单'!$B9&lt;&gt;0,'2.报价结算清单'!$F9&lt;&gt;0),'2.报价结算清单'!$F9,"")</f>
        <v>框架外物料</v>
      </c>
      <c r="B4" s="78" t="str">
        <f>_xlfn.IFNA(VLOOKUP(A4,'3.框架内物料'!$A:$I,3,0),A4)</f>
        <v>框架外物料</v>
      </c>
      <c r="C4" s="78" t="str">
        <f>IF(AND('2.报价结算清单'!$P9&gt;0,'2.报价结算清单'!$B9&lt;&gt;0,'2.报价结算清单'!C9&lt;&gt;0),'2.报价结算清单'!C9,"")</f>
        <v>酒店</v>
      </c>
      <c r="D4" s="78" t="str">
        <f>IF(AND('2.报价结算清单'!$P9&gt;0,'2.报价结算清单'!$B9&lt;&gt;0,'2.报价结算清单'!D9&lt;&gt;0),'2.报价结算清单'!D9,"")</f>
        <v>行前礼品</v>
      </c>
      <c r="E4" s="78" t="str">
        <f>IF(AND('2.报价结算清单'!$P9&gt;0,'2.报价结算清单'!$B9&lt;&gt;0,'2.报价结算清单'!E9&lt;&gt;0),'2.报价结算清单'!E9,"")</f>
        <v>定制颈枕</v>
      </c>
      <c r="F4" s="105" t="str">
        <f>_xlfn.IFNA(IF($A4="","",IF(VLOOKUP($A4,'3.框架内物料'!$A:$I,2,0)="","",VLOOKUP($A4,'3.框架内物料'!$A:$I,2,0))),"")</f>
        <v/>
      </c>
      <c r="G4" s="87" t="str">
        <f>IF(AND('2.报价结算清单'!$P9&gt;0,'2.报价结算清单'!$B9&lt;&gt;0,'2.报价结算清单'!H9&lt;&gt;0),'2.报价结算清单'!H9,"")</f>
        <v>定制颈枕</v>
      </c>
      <c r="H4" s="122">
        <f>IF(AND('2.报价结算清单'!$P9&gt;0,'2.报价结算清单'!$B9&lt;&gt;0,'2.报价结算清单'!$F9&lt;&gt;0),'2.报价结算清单'!J9,"")</f>
        <v>62.540000000000006</v>
      </c>
      <c r="I4" s="105">
        <f>IF(AND('2.报价结算清单'!$P9&gt;0,'2.报价结算清单'!$B9&lt;&gt;0,'2.报价结算清单'!$F9&lt;&gt;0),'2.报价结算清单'!L9,"")</f>
        <v>280</v>
      </c>
      <c r="J4" s="105" t="str">
        <f>IF(AND('2.报价结算清单'!$P9&gt;0,'2.报价结算清单'!$B9&lt;&gt;0,'2.报价结算清单'!I9&lt;&gt;0),'2.报价结算清单'!I9,"")</f>
        <v>元</v>
      </c>
      <c r="K4" s="105">
        <f>IF(AND('2.报价结算清单'!$P9&gt;0,'2.报价结算清单'!$B9&lt;&gt;0,'2.报价结算清单'!$F9&lt;&gt;0),'2.报价结算清单'!N9,"")</f>
        <v>1</v>
      </c>
      <c r="L4" s="105" t="str">
        <f>IF(AND('2.报价结算清单'!$P9&gt;0,'2.报价结算清单'!$B9&lt;&gt;0,'2.报价结算清单'!I9&lt;&gt;0),"天","")</f>
        <v>天</v>
      </c>
      <c r="M4" s="80" t="str">
        <f t="shared" si="0"/>
        <v>框架外</v>
      </c>
      <c r="N4" s="78">
        <f t="shared" si="1"/>
        <v>17511.2</v>
      </c>
      <c r="O4" s="78" t="str">
        <f>IF(AND('2.报价结算清单'!$P9&gt;0,'2.报价结算清单'!$B9&lt;&gt;0,'2.报价结算清单'!S9&lt;&gt;0),'2.报价结算清单'!S9,"")</f>
        <v/>
      </c>
      <c r="P4" s="78">
        <f>IF(AND('2.报价结算清单'!$P9&gt;0,'2.报价结算清单'!$B9&lt;&gt;0,'2.报价结算清单'!T9&lt;&gt;0),'2.报价结算清单'!T9,"")</f>
        <v>4</v>
      </c>
      <c r="Q4" s="78" t="str">
        <f>IF(F4="",J4,VLOOKUP(F4,框架条目清单!A:K,4,FALSE))</f>
        <v>元</v>
      </c>
      <c r="R4" s="106">
        <f>IF($A4="","",'2.报价结算清单'!$K$183)</f>
        <v>0.06</v>
      </c>
      <c r="S4" s="80" t="str">
        <f>IF($A4="","",'2.报价结算清单'!$E$183)</f>
        <v>CNY</v>
      </c>
      <c r="T4" s="78" t="str">
        <f>IF(F4="","",VLOOKUP(F4,框架条目清单!A:K,7,FALSE))</f>
        <v/>
      </c>
      <c r="U4" s="78" t="str">
        <f>IF(F4="","",VLOOKUP(F4,框架条目清单!A:K,8,FALSE))</f>
        <v/>
      </c>
      <c r="V4" s="78" t="str">
        <f>IF(F4="","",VLOOKUP(F4,框架条目清单!A:K,9,FALSE))</f>
        <v/>
      </c>
    </row>
    <row r="5" spans="1:23">
      <c r="A5" s="78" t="str">
        <f>IF(AND('2.报价结算清单'!$P10&gt;0,'2.报价结算清单'!$B10&lt;&gt;0,'2.报价结算清单'!$F10&lt;&gt;0),'2.报价结算清单'!$F10,"")</f>
        <v>框架外物料</v>
      </c>
      <c r="B5" s="78" t="str">
        <f>_xlfn.IFNA(VLOOKUP(A5,'3.框架内物料'!$A:$I,3,0),A5)</f>
        <v>框架外物料</v>
      </c>
      <c r="C5" s="78" t="str">
        <f>IF(AND('2.报价结算清单'!$P10&gt;0,'2.报价结算清单'!$B10&lt;&gt;0,'2.报价结算清单'!C10&lt;&gt;0),'2.报价结算清单'!C10,"")</f>
        <v>酒店</v>
      </c>
      <c r="D5" s="78" t="str">
        <f>IF(AND('2.报价结算清单'!$P10&gt;0,'2.报价结算清单'!$B10&lt;&gt;0,'2.报价结算清单'!D10&lt;&gt;0),'2.报价结算清单'!D10,"")</f>
        <v>行前礼品</v>
      </c>
      <c r="E5" s="78" t="str">
        <f>IF(AND('2.报价结算清单'!$P10&gt;0,'2.报价结算清单'!$B10&lt;&gt;0,'2.报价结算清单'!E10&lt;&gt;0),'2.报价结算清单'!E10,"")</f>
        <v>邀请函（信封+邀请函）</v>
      </c>
      <c r="F5" s="105" t="str">
        <f>_xlfn.IFNA(IF($A5="","",IF(VLOOKUP($A5,'3.框架内物料'!$A:$I,2,0)="","",VLOOKUP($A5,'3.框架内物料'!$A:$I,2,0))),"")</f>
        <v/>
      </c>
      <c r="G5" s="87" t="str">
        <f>IF(AND('2.报价结算清单'!$P10&gt;0,'2.报价结算清单'!$B10&lt;&gt;0,'2.报价结算清单'!H10&lt;&gt;0),'2.报价结算清单'!H10,"")</f>
        <v>邀请函（信封压印工艺+邀请函烫金烫银）</v>
      </c>
      <c r="H5" s="122">
        <f>IF(AND('2.报价结算清单'!$P10&gt;0,'2.报价结算清单'!$B10&lt;&gt;0,'2.报价结算清单'!$F10&lt;&gt;0),'2.报价结算清单'!J10,"")</f>
        <v>37.1</v>
      </c>
      <c r="I5" s="105">
        <f>IF(AND('2.报价结算清单'!$P10&gt;0,'2.报价结算清单'!$B10&lt;&gt;0,'2.报价结算清单'!$F10&lt;&gt;0),'2.报价结算清单'!L10,"")</f>
        <v>280</v>
      </c>
      <c r="J5" s="105" t="str">
        <f>IF(AND('2.报价结算清单'!$P10&gt;0,'2.报价结算清单'!$B10&lt;&gt;0,'2.报价结算清单'!I10&lt;&gt;0),'2.报价结算清单'!I10,"")</f>
        <v>元</v>
      </c>
      <c r="K5" s="105">
        <f>IF(AND('2.报价结算清单'!$P10&gt;0,'2.报价结算清单'!$B10&lt;&gt;0,'2.报价结算清单'!$F10&lt;&gt;0),'2.报价结算清单'!N10,"")</f>
        <v>1</v>
      </c>
      <c r="L5" s="105" t="str">
        <f>IF(AND('2.报价结算清单'!$P10&gt;0,'2.报价结算清单'!$B10&lt;&gt;0,'2.报价结算清单'!I10&lt;&gt;0),"天","")</f>
        <v>天</v>
      </c>
      <c r="M5" s="80" t="str">
        <f t="shared" ref="M5:M46" si="2">IF(A5="框架外物料","框架外",IF(A5="据实结算","据实结算",IF(A5="","","框架内")))</f>
        <v>框架外</v>
      </c>
      <c r="N5" s="78">
        <f t="shared" ref="N5:N46" si="3">IFERROR(IF(H5*I5*K5=0,"",H5*I5*K5),"")</f>
        <v>10388</v>
      </c>
      <c r="O5" s="78" t="str">
        <f>IF(AND('2.报价结算清单'!$P10&gt;0,'2.报价结算清单'!$B10&lt;&gt;0,'2.报价结算清单'!S10&lt;&gt;0),'2.报价结算清单'!S10,"")</f>
        <v/>
      </c>
      <c r="P5" s="78">
        <f>IF(AND('2.报价结算清单'!$P10&gt;0,'2.报价结算清单'!$B10&lt;&gt;0,'2.报价结算清单'!T10&lt;&gt;0),'2.报价结算清单'!T10,"")</f>
        <v>5</v>
      </c>
      <c r="Q5" s="78" t="str">
        <f>IF(F5="",J5,VLOOKUP(F5,框架条目清单!A:K,4,FALSE))</f>
        <v>元</v>
      </c>
      <c r="R5" s="106">
        <f>IF($A5="","",'2.报价结算清单'!$K$183)</f>
        <v>0.06</v>
      </c>
      <c r="S5" s="80" t="str">
        <f>IF($A5="","",'2.报价结算清单'!$E$183)</f>
        <v>CNY</v>
      </c>
      <c r="T5" s="78" t="str">
        <f>IF(F5="","",VLOOKUP(F5,框架条目清单!A:K,7,FALSE))</f>
        <v/>
      </c>
      <c r="U5" s="78" t="str">
        <f>IF(F5="","",VLOOKUP(F5,框架条目清单!A:K,8,FALSE))</f>
        <v/>
      </c>
      <c r="V5" s="78" t="str">
        <f>IF(F5="","",VLOOKUP(F5,框架条目清单!A:K,9,FALSE))</f>
        <v/>
      </c>
    </row>
    <row r="6" spans="1:23">
      <c r="A6" s="78" t="str">
        <f>IF(AND('2.报价结算清单'!$P11&gt;0,'2.报价结算清单'!$B11&lt;&gt;0,'2.报价结算清单'!$F11&lt;&gt;0),'2.报价结算清单'!$F11,"")</f>
        <v>框架外物料</v>
      </c>
      <c r="B6" s="78" t="str">
        <f>_xlfn.IFNA(VLOOKUP(A6,'3.框架内物料'!$A:$I,3,0),A6)</f>
        <v>框架外物料</v>
      </c>
      <c r="C6" s="78" t="str">
        <f>IF(AND('2.报价结算清单'!$P11&gt;0,'2.报价结算清单'!$B11&lt;&gt;0,'2.报价结算清单'!C11&lt;&gt;0),'2.报价结算清单'!C11,"")</f>
        <v>酒店</v>
      </c>
      <c r="D6" s="78" t="str">
        <f>IF(AND('2.报价结算清单'!$P11&gt;0,'2.报价结算清单'!$B11&lt;&gt;0,'2.报价结算清单'!D11&lt;&gt;0),'2.报价结算清单'!D11,"")</f>
        <v>行前礼品</v>
      </c>
      <c r="E6" s="78" t="str">
        <f>IF(AND('2.报价结算清单'!$P11&gt;0,'2.报价结算清单'!$B11&lt;&gt;0,'2.报价结算清单'!E11&lt;&gt;0),'2.报价结算清单'!E11,"")</f>
        <v>主播行前礼盒</v>
      </c>
      <c r="F6" s="105" t="str">
        <f>_xlfn.IFNA(IF($A6="","",IF(VLOOKUP($A6,'3.框架内物料'!$A:$I,2,0)="","",VLOOKUP($A6,'3.框架内物料'!$A:$I,2,0))),"")</f>
        <v/>
      </c>
      <c r="G6" s="87" t="str">
        <f>IF(AND('2.报价结算清单'!$P11&gt;0,'2.报价结算清单'!$B11&lt;&gt;0,'2.报价结算清单'!H11&lt;&gt;0),'2.报价结算清单'!H11,"")</f>
        <v>主播行前礼盒定制 纸板 厚度2mm（30cm*25cm*20cm)</v>
      </c>
      <c r="H6" s="122">
        <f>IF(AND('2.报价结算清单'!$P11&gt;0,'2.报价结算清单'!$B11&lt;&gt;0,'2.报价结算清单'!$F11&lt;&gt;0),'2.报价结算清单'!J11,"")</f>
        <v>50.88</v>
      </c>
      <c r="I6" s="105">
        <f>IF(AND('2.报价结算清单'!$P11&gt;0,'2.报价结算清单'!$B11&lt;&gt;0,'2.报价结算清单'!$F11&lt;&gt;0),'2.报价结算清单'!L11,"")</f>
        <v>280</v>
      </c>
      <c r="J6" s="105" t="str">
        <f>IF(AND('2.报价结算清单'!$P11&gt;0,'2.报价结算清单'!$B11&lt;&gt;0,'2.报价结算清单'!I11&lt;&gt;0),'2.报价结算清单'!I11,"")</f>
        <v>元</v>
      </c>
      <c r="K6" s="105">
        <f>IF(AND('2.报价结算清单'!$P11&gt;0,'2.报价结算清单'!$B11&lt;&gt;0,'2.报价结算清单'!$F11&lt;&gt;0),'2.报价结算清单'!N11,"")</f>
        <v>1</v>
      </c>
      <c r="L6" s="105" t="str">
        <f>IF(AND('2.报价结算清单'!$P11&gt;0,'2.报价结算清单'!$B11&lt;&gt;0,'2.报价结算清单'!I11&lt;&gt;0),"天","")</f>
        <v>天</v>
      </c>
      <c r="M6" s="80" t="str">
        <f t="shared" si="2"/>
        <v>框架外</v>
      </c>
      <c r="N6" s="78">
        <f t="shared" si="3"/>
        <v>14246.400000000001</v>
      </c>
      <c r="O6" s="78" t="str">
        <f>IF(AND('2.报价结算清单'!$P11&gt;0,'2.报价结算清单'!$B11&lt;&gt;0,'2.报价结算清单'!S11&lt;&gt;0),'2.报价结算清单'!S11,"")</f>
        <v/>
      </c>
      <c r="P6" s="78">
        <f>IF(AND('2.报价结算清单'!$P11&gt;0,'2.报价结算清单'!$B11&lt;&gt;0,'2.报价结算清单'!T11&lt;&gt;0),'2.报价结算清单'!T11,"")</f>
        <v>6</v>
      </c>
      <c r="Q6" s="78" t="str">
        <f>IF(F6="",J6,VLOOKUP(F6,框架条目清单!A:K,4,FALSE))</f>
        <v>元</v>
      </c>
      <c r="R6" s="106">
        <f>IF($A6="","",'2.报价结算清单'!$K$183)</f>
        <v>0.06</v>
      </c>
      <c r="S6" s="80" t="str">
        <f>IF($A6="","",'2.报价结算清单'!$E$183)</f>
        <v>CNY</v>
      </c>
      <c r="T6" s="78" t="str">
        <f>IF(F6="","",VLOOKUP(F6,框架条目清单!A:K,7,FALSE))</f>
        <v/>
      </c>
      <c r="U6" s="78" t="str">
        <f>IF(F6="","",VLOOKUP(F6,框架条目清单!A:K,8,FALSE))</f>
        <v/>
      </c>
      <c r="V6" s="78" t="str">
        <f>IF(F6="","",VLOOKUP(F6,框架条目清单!A:K,9,FALSE))</f>
        <v/>
      </c>
    </row>
    <row r="7" spans="1:23">
      <c r="A7" s="78" t="str">
        <f>IF(AND('2.报价结算清单'!$P12&gt;0,'2.报价结算清单'!$B12&lt;&gt;0,'2.报价结算清单'!$F12&lt;&gt;0),'2.报价结算清单'!$F12,"")</f>
        <v>A#005</v>
      </c>
      <c r="B7" s="78" t="str">
        <f>_xlfn.IFNA(VLOOKUP(A7,'3.框架内物料'!$A:$I,3,0),A7)</f>
        <v>搭建制作</v>
      </c>
      <c r="C7" s="78" t="str">
        <f>IF(AND('2.报价结算清单'!$P12&gt;0,'2.报价结算清单'!$B12&lt;&gt;0,'2.报价结算清单'!C12&lt;&gt;0),'2.报价结算清单'!C12,"")</f>
        <v>酒店</v>
      </c>
      <c r="D7" s="78" t="str">
        <f>IF(AND('2.报价结算清单'!$P12&gt;0,'2.报价结算清单'!$B12&lt;&gt;0,'2.报价结算清单'!D12&lt;&gt;0),'2.报价结算清单'!D12,"")</f>
        <v>签到台</v>
      </c>
      <c r="E7" s="78" t="str">
        <f>IF(AND('2.报价结算清单'!$P12&gt;0,'2.报价结算清单'!$B12&lt;&gt;0,'2.报价结算清单'!E12&lt;&gt;0),'2.报价结算清单'!E12,"")</f>
        <v>签到台</v>
      </c>
      <c r="F7" s="105" t="str">
        <f>_xlfn.IFNA(IF($A7="","",IF(VLOOKUP($A7,'3.框架内物料'!$A:$I,2,0)="","",VLOOKUP($A7,'3.框架内物料'!$A:$I,2,0))),"")</f>
        <v/>
      </c>
      <c r="G7" s="87" t="str">
        <f>IF(AND('2.报价结算清单'!$P12&gt;0,'2.报价结算清单'!$B12&lt;&gt;0,'2.报价结算清单'!H12&lt;&gt;0),'2.报价结算清单'!H12,"")</f>
        <v>搭建制作-制作-常规背景结构-木质背板-木制背景版+写真喷绘 （高度3m下）单面</v>
      </c>
      <c r="H7" s="122">
        <f>IF(AND('2.报价结算清单'!$P12&gt;0,'2.报价结算清单'!$B12&lt;&gt;0,'2.报价结算清单'!$F12&lt;&gt;0),'2.报价结算清单'!J12,"")</f>
        <v>247.45</v>
      </c>
      <c r="I7" s="105">
        <f>IF(AND('2.报价结算清单'!$P12&gt;0,'2.报价结算清单'!$B12&lt;&gt;0,'2.报价结算清单'!$F12&lt;&gt;0),'2.报价结算清单'!L12,"")</f>
        <v>12</v>
      </c>
      <c r="J7" s="105" t="str">
        <f>IF(AND('2.报价结算清单'!$P12&gt;0,'2.报价结算清单'!$B12&lt;&gt;0,'2.报价结算清单'!I12&lt;&gt;0),'2.报价结算清单'!I12,"")</f>
        <v>平米</v>
      </c>
      <c r="K7" s="105">
        <f>IF(AND('2.报价结算清单'!$P12&gt;0,'2.报价结算清单'!$B12&lt;&gt;0,'2.报价结算清单'!$F12&lt;&gt;0),'2.报价结算清单'!N12,"")</f>
        <v>4</v>
      </c>
      <c r="L7" s="105" t="str">
        <f>IF(AND('2.报价结算清单'!$P12&gt;0,'2.报价结算清单'!$B12&lt;&gt;0,'2.报价结算清单'!I12&lt;&gt;0),"天","")</f>
        <v>天</v>
      </c>
      <c r="M7" s="80" t="str">
        <f t="shared" si="2"/>
        <v>框架内</v>
      </c>
      <c r="N7" s="78">
        <f t="shared" si="3"/>
        <v>11877.599999999999</v>
      </c>
      <c r="O7" s="78" t="str">
        <f>IF(AND('2.报价结算清单'!$P12&gt;0,'2.报价结算清单'!$B12&lt;&gt;0,'2.报价结算清单'!S12&lt;&gt;0),'2.报价结算清单'!S12,"")</f>
        <v/>
      </c>
      <c r="P7" s="78">
        <f>IF(AND('2.报价结算清单'!$P12&gt;0,'2.报价结算清单'!$B12&lt;&gt;0,'2.报价结算清单'!T12&lt;&gt;0),'2.报价结算清单'!T12,"")</f>
        <v>7</v>
      </c>
      <c r="Q7" s="78" t="str">
        <f>IF(F7="",J7,VLOOKUP(F7,框架条目清单!A:K,4,FALSE))</f>
        <v>平米</v>
      </c>
      <c r="R7" s="106">
        <f>IF($A7="","",'2.报价结算清单'!$K$183)</f>
        <v>0.06</v>
      </c>
      <c r="S7" s="80" t="str">
        <f>IF($A7="","",'2.报价结算清单'!$E$183)</f>
        <v>CNY</v>
      </c>
      <c r="T7" s="78" t="str">
        <f>IF(F7="","",VLOOKUP(F7,框架条目清单!A:K,7,FALSE))</f>
        <v/>
      </c>
      <c r="U7" s="78" t="str">
        <f>IF(F7="","",VLOOKUP(F7,框架条目清单!A:K,8,FALSE))</f>
        <v/>
      </c>
      <c r="V7" s="78" t="str">
        <f>IF(F7="","",VLOOKUP(F7,框架条目清单!A:K,9,FALSE))</f>
        <v/>
      </c>
    </row>
    <row r="8" spans="1:23">
      <c r="A8" s="78" t="e">
        <f>IF(AND('2.报价结算清单'!$P26&gt;0,'2.报价结算清单'!$B26&lt;&gt;0,'2.报价结算清单'!#REF!&lt;&gt;0),'2.报价结算清单'!#REF!,"")</f>
        <v>#REF!</v>
      </c>
      <c r="B8" s="78" t="e">
        <f>_xlfn.IFNA(VLOOKUP(A8,'3.框架内物料'!$A:$I,3,0),A8)</f>
        <v>#REF!</v>
      </c>
      <c r="C8" s="78" t="e">
        <f>IF(AND('2.报价结算清单'!$P26&gt;0,'2.报价结算清单'!$B26&lt;&gt;0,'2.报价结算清单'!#REF!&lt;&gt;0),'2.报价结算清单'!#REF!,"")</f>
        <v>#REF!</v>
      </c>
      <c r="D8" s="78" t="e">
        <f>IF(AND('2.报价结算清单'!$P26&gt;0,'2.报价结算清单'!$B26&lt;&gt;0,'2.报价结算清单'!#REF!&lt;&gt;0),'2.报价结算清单'!#REF!,"")</f>
        <v>#REF!</v>
      </c>
      <c r="E8" s="78" t="str">
        <f>IF(AND('2.报价结算清单'!$P26&gt;0,'2.报价结算清单'!$B26&lt;&gt;0,'2.报价结算清单'!E26&lt;&gt;0),'2.报价结算清单'!E26,"")</f>
        <v>户外指引</v>
      </c>
      <c r="F8" s="105" t="e">
        <f>_xlfn.IFNA(IF($A8="","",IF(VLOOKUP($A8,'3.框架内物料'!$A:$I,2,0)="","",VLOOKUP($A8,'3.框架内物料'!$A:$I,2,0))),"")</f>
        <v>#REF!</v>
      </c>
      <c r="G8" s="87" t="str">
        <f>IF(AND('2.报价结算清单'!$P26&gt;0,'2.报价结算清单'!$B26&lt;&gt;0,'2.报价结算清单'!H26&lt;&gt;0),'2.报价结算清单'!H26,"")</f>
        <v>搭建制作-制作-指引-木质T型-0.8m X 2m，含双面写真、钢板配重</v>
      </c>
      <c r="H8" s="122" t="e">
        <f>IF(AND('2.报价结算清单'!$P26&gt;0,'2.报价结算清单'!$B26&lt;&gt;0,'2.报价结算清单'!#REF!&lt;&gt;0),'2.报价结算清单'!J26,"")</f>
        <v>#REF!</v>
      </c>
      <c r="I8" s="105" t="e">
        <f>IF(AND('2.报价结算清单'!$P26&gt;0,'2.报价结算清单'!$B26&lt;&gt;0,'2.报价结算清单'!#REF!&lt;&gt;0),'2.报价结算清单'!#REF!,"")</f>
        <v>#REF!</v>
      </c>
      <c r="J8" s="105" t="str">
        <f>IF(AND('2.报价结算清单'!$P26&gt;0,'2.报价结算清单'!$B26&lt;&gt;0,'2.报价结算清单'!I26&lt;&gt;0),'2.报价结算清单'!I26,"")</f>
        <v>个</v>
      </c>
      <c r="K8" s="105" t="e">
        <f>IF(AND('2.报价结算清单'!$P26&gt;0,'2.报价结算清单'!$B26&lt;&gt;0,'2.报价结算清单'!#REF!&lt;&gt;0),'2.报价结算清单'!#REF!,"")</f>
        <v>#REF!</v>
      </c>
      <c r="L8" s="105" t="str">
        <f>IF(AND('2.报价结算清单'!$P26&gt;0,'2.报价结算清单'!$B26&lt;&gt;0,'2.报价结算清单'!I26&lt;&gt;0),"天","")</f>
        <v>天</v>
      </c>
      <c r="M8" s="80" t="e">
        <f t="shared" si="2"/>
        <v>#REF!</v>
      </c>
      <c r="N8" s="78" t="str">
        <f t="shared" si="3"/>
        <v/>
      </c>
      <c r="O8" s="78" t="str">
        <f>IF(AND('2.报价结算清单'!$P26&gt;0,'2.报价结算清单'!$B26&lt;&gt;0,'2.报价结算清单'!S26&lt;&gt;0),'2.报价结算清单'!S26,"")</f>
        <v/>
      </c>
      <c r="P8" s="78" t="str">
        <f>IF(AND('2.报价结算清单'!$P26&gt;0,'2.报价结算清单'!$B26&lt;&gt;0,'2.报价结算清单'!T26&lt;&gt;0),'2.报价结算清单'!T26,"")</f>
        <v/>
      </c>
      <c r="Q8" s="78" t="e">
        <f>IF(F8="",J8,VLOOKUP(F8,框架条目清单!A:K,4,FALSE))</f>
        <v>#REF!</v>
      </c>
      <c r="R8" s="106" t="e">
        <f>IF($A8="","",'2.报价结算清单'!$K$183)</f>
        <v>#REF!</v>
      </c>
      <c r="S8" s="80" t="e">
        <f>IF($A8="","",'2.报价结算清单'!$E$183)</f>
        <v>#REF!</v>
      </c>
      <c r="T8" s="78" t="e">
        <f>IF(F8="","",VLOOKUP(F8,框架条目清单!A:K,7,FALSE))</f>
        <v>#REF!</v>
      </c>
      <c r="U8" s="78" t="e">
        <f>IF(F8="","",VLOOKUP(F8,框架条目清单!A:K,8,FALSE))</f>
        <v>#REF!</v>
      </c>
      <c r="V8" s="78" t="e">
        <f>IF(F8="","",VLOOKUP(F8,框架条目清单!A:K,9,FALSE))</f>
        <v>#REF!</v>
      </c>
    </row>
    <row r="9" spans="1:23">
      <c r="A9" s="78" t="e">
        <f>IF(AND('2.报价结算清单'!$P27&gt;0,'2.报价结算清单'!$B27&lt;&gt;0,'2.报价结算清单'!#REF!&lt;&gt;0),'2.报价结算清单'!#REF!,"")</f>
        <v>#REF!</v>
      </c>
      <c r="B9" s="78" t="e">
        <f>_xlfn.IFNA(VLOOKUP(A9,'3.框架内物料'!$A:$I,3,0),A9)</f>
        <v>#REF!</v>
      </c>
      <c r="C9" s="78" t="str">
        <f>IF(AND('2.报价结算清单'!$P27&gt;0,'2.报价结算清单'!$B27&lt;&gt;0,'2.报价结算清单'!C27&lt;&gt;0),'2.报价结算清单'!C27,"")</f>
        <v>酒店</v>
      </c>
      <c r="D9" s="78" t="str">
        <f>IF(AND('2.报价结算清单'!$P27&gt;0,'2.报价结算清单'!$B27&lt;&gt;0,'2.报价结算清单'!D27&lt;&gt;0),'2.报价结算清单'!D27,"")</f>
        <v>道旗</v>
      </c>
      <c r="E9" s="78" t="str">
        <f>IF(AND('2.报价结算清单'!$P27&gt;0,'2.报价结算清单'!$B27&lt;&gt;0,'2.报价结算清单'!E27&lt;&gt;0),'2.报价结算清单'!E27,"")</f>
        <v>道旗</v>
      </c>
      <c r="F9" s="105" t="e">
        <f>_xlfn.IFNA(IF($A9="","",IF(VLOOKUP($A9,'3.框架内物料'!$A:$I,2,0)="","",VLOOKUP($A9,'3.框架内物料'!$A:$I,2,0))),"")</f>
        <v>#REF!</v>
      </c>
      <c r="G9" s="87" t="str">
        <f>IF(AND('2.报价结算清单'!$P27&gt;0,'2.报价结算清单'!$B27&lt;&gt;0,'2.报价结算清单'!H27&lt;&gt;0),'2.报价结算清单'!H27,"")</f>
        <v>搭建制作-制作-指引-注水道旗-高度5米，加强铝合金旗杆，5级以上抗风性，双面画面旗帜布120cmx380cm（含30升以上升注水量配重支撑）</v>
      </c>
      <c r="H9" s="122" t="e">
        <f>IF(AND('2.报价结算清单'!$P27&gt;0,'2.报价结算清单'!$B27&lt;&gt;0,'2.报价结算清单'!#REF!&lt;&gt;0),'2.报价结算清单'!J27,"")</f>
        <v>#REF!</v>
      </c>
      <c r="I9" s="105" t="e">
        <f>IF(AND('2.报价结算清单'!$P27&gt;0,'2.报价结算清单'!$B27&lt;&gt;0,'2.报价结算清单'!#REF!&lt;&gt;0),'2.报价结算清单'!#REF!,"")</f>
        <v>#REF!</v>
      </c>
      <c r="J9" s="105" t="str">
        <f>IF(AND('2.报价结算清单'!$P27&gt;0,'2.报价结算清单'!$B27&lt;&gt;0,'2.报价结算清单'!I27&lt;&gt;0),'2.报价结算清单'!I27,"")</f>
        <v>个</v>
      </c>
      <c r="K9" s="105" t="e">
        <f>IF(AND('2.报价结算清单'!$P27&gt;0,'2.报价结算清单'!$B27&lt;&gt;0,'2.报价结算清单'!#REF!&lt;&gt;0),'2.报价结算清单'!#REF!,"")</f>
        <v>#REF!</v>
      </c>
      <c r="L9" s="105" t="str">
        <f>IF(AND('2.报价结算清单'!$P27&gt;0,'2.报价结算清单'!$B27&lt;&gt;0,'2.报价结算清单'!I27&lt;&gt;0),"天","")</f>
        <v>天</v>
      </c>
      <c r="M9" s="80" t="e">
        <f t="shared" si="2"/>
        <v>#REF!</v>
      </c>
      <c r="N9" s="78" t="str">
        <f t="shared" si="3"/>
        <v/>
      </c>
      <c r="O9" s="78" t="str">
        <f>IF(AND('2.报价结算清单'!$P27&gt;0,'2.报价结算清单'!$B27&lt;&gt;0,'2.报价结算清单'!S27&lt;&gt;0),'2.报价结算清单'!S27,"")</f>
        <v/>
      </c>
      <c r="P9" s="78" t="str">
        <f>IF(AND('2.报价结算清单'!$P27&gt;0,'2.报价结算清单'!$B27&lt;&gt;0,'2.报价结算清单'!T27&lt;&gt;0),'2.报价结算清单'!T27,"")</f>
        <v/>
      </c>
      <c r="Q9" s="78" t="e">
        <f>IF(F9="",J9,VLOOKUP(F9,框架条目清单!A:K,4,FALSE))</f>
        <v>#REF!</v>
      </c>
      <c r="R9" s="106" t="e">
        <f>IF($A9="","",'2.报价结算清单'!$K$183)</f>
        <v>#REF!</v>
      </c>
      <c r="S9" s="80" t="e">
        <f>IF($A9="","",'2.报价结算清单'!$E$183)</f>
        <v>#REF!</v>
      </c>
      <c r="T9" s="78" t="e">
        <f>IF(F9="","",VLOOKUP(F9,框架条目清单!A:K,7,FALSE))</f>
        <v>#REF!</v>
      </c>
      <c r="U9" s="78" t="e">
        <f>IF(F9="","",VLOOKUP(F9,框架条目清单!A:K,8,FALSE))</f>
        <v>#REF!</v>
      </c>
      <c r="V9" s="78" t="e">
        <f>IF(F9="","",VLOOKUP(F9,框架条目清单!A:K,9,FALSE))</f>
        <v>#REF!</v>
      </c>
    </row>
    <row r="10" spans="1:23">
      <c r="A10" s="78" t="e">
        <f>IF(AND('2.报价结算清单'!$P28&gt;0,'2.报价结算清单'!$B28&lt;&gt;0,'2.报价结算清单'!#REF!&lt;&gt;0),'2.报价结算清单'!#REF!,"")</f>
        <v>#REF!</v>
      </c>
      <c r="B10" s="78" t="e">
        <f>_xlfn.IFNA(VLOOKUP(A10,'3.框架内物料'!$A:$I,3,0),A10)</f>
        <v>#REF!</v>
      </c>
      <c r="C10" s="78" t="str">
        <f>IF(AND('2.报价结算清单'!$P28&gt;0,'2.报价结算清单'!$B28&lt;&gt;0,'2.报价结算清单'!C28&lt;&gt;0),'2.报价结算清单'!C28,"")</f>
        <v>酒店</v>
      </c>
      <c r="D10" s="78" t="str">
        <f>IF(AND('2.报价结算清单'!$P28&gt;0,'2.报价结算清单'!$B28&lt;&gt;0,'2.报价结算清单'!D28&lt;&gt;0),'2.报价结算清单'!D28,"")</f>
        <v>室内指引</v>
      </c>
      <c r="E10" s="78" t="str">
        <f>IF(AND('2.报价结算清单'!$P28&gt;0,'2.报价结算清单'!$B28&lt;&gt;0,'2.报价结算清单'!E28&lt;&gt;0),'2.报价结算清单'!E28,"")</f>
        <v>室内指引</v>
      </c>
      <c r="F10" s="105" t="e">
        <f>_xlfn.IFNA(IF($A10="","",IF(VLOOKUP($A10,'3.框架内物料'!$A:$I,2,0)="","",VLOOKUP($A10,'3.框架内物料'!$A:$I,2,0))),"")</f>
        <v>#REF!</v>
      </c>
      <c r="G10" s="87" t="str">
        <f>IF(AND('2.报价结算清单'!$P28&gt;0,'2.报价结算清单'!$B28&lt;&gt;0,'2.报价结算清单'!H28&lt;&gt;0),'2.报价结算清单'!H28,"")</f>
        <v>搭建制作-制作-指引-金属H架-铁质，A2大小，含画面</v>
      </c>
      <c r="H10" s="122" t="e">
        <f>IF(AND('2.报价结算清单'!$P28&gt;0,'2.报价结算清单'!$B28&lt;&gt;0,'2.报价结算清单'!#REF!&lt;&gt;0),'2.报价结算清单'!J28,"")</f>
        <v>#REF!</v>
      </c>
      <c r="I10" s="105" t="e">
        <f>IF(AND('2.报价结算清单'!$P28&gt;0,'2.报价结算清单'!$B28&lt;&gt;0,'2.报价结算清单'!#REF!&lt;&gt;0),'2.报价结算清单'!#REF!,"")</f>
        <v>#REF!</v>
      </c>
      <c r="J10" s="105" t="str">
        <f>IF(AND('2.报价结算清单'!$P28&gt;0,'2.报价结算清单'!$B28&lt;&gt;0,'2.报价结算清单'!I28&lt;&gt;0),'2.报价结算清单'!I28,"")</f>
        <v>个</v>
      </c>
      <c r="K10" s="105" t="e">
        <f>IF(AND('2.报价结算清单'!$P28&gt;0,'2.报价结算清单'!$B28&lt;&gt;0,'2.报价结算清单'!#REF!&lt;&gt;0),'2.报价结算清单'!#REF!,"")</f>
        <v>#REF!</v>
      </c>
      <c r="L10" s="105" t="str">
        <f>IF(AND('2.报价结算清单'!$P28&gt;0,'2.报价结算清单'!$B28&lt;&gt;0,'2.报价结算清单'!I28&lt;&gt;0),"天","")</f>
        <v>天</v>
      </c>
      <c r="M10" s="80" t="e">
        <f t="shared" si="2"/>
        <v>#REF!</v>
      </c>
      <c r="N10" s="78" t="str">
        <f t="shared" si="3"/>
        <v/>
      </c>
      <c r="O10" s="78" t="str">
        <f>IF(AND('2.报价结算清单'!$P28&gt;0,'2.报价结算清单'!$B28&lt;&gt;0,'2.报价结算清单'!S28&lt;&gt;0),'2.报价结算清单'!S28,"")</f>
        <v/>
      </c>
      <c r="P10" s="78" t="str">
        <f>IF(AND('2.报价结算清单'!$P28&gt;0,'2.报价结算清单'!$B28&lt;&gt;0,'2.报价结算清单'!T28&lt;&gt;0),'2.报价结算清单'!T28,"")</f>
        <v/>
      </c>
      <c r="Q10" s="78" t="e">
        <f>IF(F10="",J10,VLOOKUP(F10,框架条目清单!A:K,4,FALSE))</f>
        <v>#REF!</v>
      </c>
      <c r="R10" s="106" t="e">
        <f>IF($A10="","",'2.报价结算清单'!$K$183)</f>
        <v>#REF!</v>
      </c>
      <c r="S10" s="80" t="e">
        <f>IF($A10="","",'2.报价结算清单'!$E$183)</f>
        <v>#REF!</v>
      </c>
      <c r="T10" s="78" t="e">
        <f>IF(F10="","",VLOOKUP(F10,框架条目清单!A:K,7,FALSE))</f>
        <v>#REF!</v>
      </c>
      <c r="U10" s="78" t="e">
        <f>IF(F10="","",VLOOKUP(F10,框架条目清单!A:K,8,FALSE))</f>
        <v>#REF!</v>
      </c>
      <c r="V10" s="78" t="e">
        <f>IF(F10="","",VLOOKUP(F10,框架条目清单!A:K,9,FALSE))</f>
        <v>#REF!</v>
      </c>
    </row>
    <row r="11" spans="1:23">
      <c r="A11" s="78" t="e">
        <f>IF(AND('2.报价结算清单'!#REF!&gt;0,'2.报价结算清单'!#REF!&lt;&gt;0,'2.报价结算清单'!#REF!&lt;&gt;0),'2.报价结算清单'!#REF!,"")</f>
        <v>#REF!</v>
      </c>
      <c r="B11" s="78" t="e">
        <f>_xlfn.IFNA(VLOOKUP(A11,'3.框架内物料'!$A:$I,3,0),A11)</f>
        <v>#REF!</v>
      </c>
      <c r="C11" s="78" t="e">
        <f>IF(AND('2.报价结算清单'!#REF!&gt;0,'2.报价结算清单'!#REF!&lt;&gt;0,'2.报价结算清单'!#REF!&lt;&gt;0),'2.报价结算清单'!#REF!,"")</f>
        <v>#REF!</v>
      </c>
      <c r="D11" s="78" t="e">
        <f>IF(AND('2.报价结算清单'!#REF!&gt;0,'2.报价结算清单'!#REF!&lt;&gt;0,'2.报价结算清单'!#REF!&lt;&gt;0),'2.报价结算清单'!#REF!,"")</f>
        <v>#REF!</v>
      </c>
      <c r="E11" s="78" t="e">
        <f>IF(AND('2.报价结算清单'!#REF!&gt;0,'2.报价结算清单'!#REF!&lt;&gt;0,'2.报价结算清单'!#REF!&lt;&gt;0),'2.报价结算清单'!#REF!,"")</f>
        <v>#REF!</v>
      </c>
      <c r="F11" s="105" t="e">
        <f>_xlfn.IFNA(IF($A11="","",IF(VLOOKUP($A11,'3.框架内物料'!$A:$I,2,0)="","",VLOOKUP($A11,'3.框架内物料'!$A:$I,2,0))),"")</f>
        <v>#REF!</v>
      </c>
      <c r="G11" s="87" t="e">
        <f>IF(AND('2.报价结算清单'!#REF!&gt;0,'2.报价结算清单'!#REF!&lt;&gt;0,'2.报价结算清单'!#REF!&lt;&gt;0),'2.报价结算清单'!#REF!,"")</f>
        <v>#REF!</v>
      </c>
      <c r="H11" s="122" t="e">
        <f>IF(AND('2.报价结算清单'!#REF!&gt;0,'2.报价结算清单'!#REF!&lt;&gt;0,'2.报价结算清单'!#REF!&lt;&gt;0),'2.报价结算清单'!#REF!,"")</f>
        <v>#REF!</v>
      </c>
      <c r="I11" s="105" t="e">
        <f>IF(AND('2.报价结算清单'!#REF!&gt;0,'2.报价结算清单'!#REF!&lt;&gt;0,'2.报价结算清单'!#REF!&lt;&gt;0),'2.报价结算清单'!#REF!,"")</f>
        <v>#REF!</v>
      </c>
      <c r="J11" s="105" t="e">
        <f>IF(AND('2.报价结算清单'!#REF!&gt;0,'2.报价结算清单'!#REF!&lt;&gt;0,'2.报价结算清单'!#REF!&lt;&gt;0),'2.报价结算清单'!#REF!,"")</f>
        <v>#REF!</v>
      </c>
      <c r="K11" s="105" t="e">
        <f>IF(AND('2.报价结算清单'!#REF!&gt;0,'2.报价结算清单'!#REF!&lt;&gt;0,'2.报价结算清单'!#REF!&lt;&gt;0),'2.报价结算清单'!#REF!,"")</f>
        <v>#REF!</v>
      </c>
      <c r="L11" s="105" t="e">
        <f>IF(AND('2.报价结算清单'!#REF!&gt;0,'2.报价结算清单'!#REF!&lt;&gt;0,'2.报价结算清单'!#REF!&lt;&gt;0),"天","")</f>
        <v>#REF!</v>
      </c>
      <c r="M11" s="80" t="e">
        <f t="shared" si="2"/>
        <v>#REF!</v>
      </c>
      <c r="N11" s="78" t="str">
        <f t="shared" si="3"/>
        <v/>
      </c>
      <c r="O11" s="78" t="e">
        <f>IF(AND('2.报价结算清单'!#REF!&gt;0,'2.报价结算清单'!#REF!&lt;&gt;0,'2.报价结算清单'!#REF!&lt;&gt;0),'2.报价结算清单'!#REF!,"")</f>
        <v>#REF!</v>
      </c>
      <c r="P11" s="78" t="e">
        <f>IF(AND('2.报价结算清单'!#REF!&gt;0,'2.报价结算清单'!#REF!&lt;&gt;0,'2.报价结算清单'!#REF!&lt;&gt;0),'2.报价结算清单'!#REF!,"")</f>
        <v>#REF!</v>
      </c>
      <c r="Q11" s="78" t="e">
        <f>IF(F11="",J11,VLOOKUP(F11,框架条目清单!A:K,4,FALSE))</f>
        <v>#REF!</v>
      </c>
      <c r="R11" s="106" t="e">
        <f>IF($A11="","",'2.报价结算清单'!$K$183)</f>
        <v>#REF!</v>
      </c>
      <c r="S11" s="80" t="e">
        <f>IF($A11="","",'2.报价结算清单'!$E$183)</f>
        <v>#REF!</v>
      </c>
      <c r="T11" s="78" t="e">
        <f>IF(F11="","",VLOOKUP(F11,框架条目清单!A:K,7,FALSE))</f>
        <v>#REF!</v>
      </c>
      <c r="U11" s="78" t="e">
        <f>IF(F11="","",VLOOKUP(F11,框架条目清单!A:K,8,FALSE))</f>
        <v>#REF!</v>
      </c>
      <c r="V11" s="78" t="e">
        <f>IF(F11="","",VLOOKUP(F11,框架条目清单!A:K,9,FALSE))</f>
        <v>#REF!</v>
      </c>
    </row>
    <row r="12" spans="1:23">
      <c r="A12" s="78" t="str">
        <f>IF(AND('2.报价结算清单'!$P47&gt;0,'2.报价结算清单'!$B47&lt;&gt;0,'2.报价结算清单'!$F47&lt;&gt;0),'2.报价结算清单'!$F47,"")</f>
        <v/>
      </c>
      <c r="B12" s="78" t="str">
        <f>_xlfn.IFNA(VLOOKUP(A12,'3.框架内物料'!$A:$I,3,0),A12)</f>
        <v/>
      </c>
      <c r="C12" s="78" t="str">
        <f>IF(AND('2.报价结算清单'!$P47&gt;0,'2.报价结算清单'!$B47&lt;&gt;0,'2.报价结算清单'!C47&lt;&gt;0),'2.报价结算清单'!C47,"")</f>
        <v/>
      </c>
      <c r="D12" s="78" t="str">
        <f>IF(AND('2.报价结算清单'!$P47&gt;0,'2.报价结算清单'!$B47&lt;&gt;0,'2.报价结算清单'!D47&lt;&gt;0),'2.报价结算清单'!D47,"")</f>
        <v/>
      </c>
      <c r="E12" s="78" t="str">
        <f>IF(AND('2.报价结算清单'!$P47&gt;0,'2.报价结算清单'!$B47&lt;&gt;0,'2.报价结算清单'!E47&lt;&gt;0),'2.报价结算清单'!E47,"")</f>
        <v/>
      </c>
      <c r="F12" s="105" t="str">
        <f>_xlfn.IFNA(IF($A12="","",IF(VLOOKUP($A12,'3.框架内物料'!$A:$I,2,0)="","",VLOOKUP($A12,'3.框架内物料'!$A:$I,2,0))),"")</f>
        <v/>
      </c>
      <c r="G12" s="87" t="str">
        <f>IF(AND('2.报价结算清单'!$P47&gt;0,'2.报价结算清单'!$B47&lt;&gt;0,'2.报价结算清单'!H47&lt;&gt;0),'2.报价结算清单'!H47,"")</f>
        <v/>
      </c>
      <c r="H12" s="122" t="str">
        <f>IF(AND('2.报价结算清单'!$P47&gt;0,'2.报价结算清单'!$B47&lt;&gt;0,'2.报价结算清单'!$F47&lt;&gt;0),'2.报价结算清单'!J47,"")</f>
        <v/>
      </c>
      <c r="I12" s="105" t="str">
        <f>IF(AND('2.报价结算清单'!$P47&gt;0,'2.报价结算清单'!$B47&lt;&gt;0,'2.报价结算清单'!$F47&lt;&gt;0),'2.报价结算清单'!L47,"")</f>
        <v/>
      </c>
      <c r="J12" s="105" t="str">
        <f>IF(AND('2.报价结算清单'!$P47&gt;0,'2.报价结算清单'!$B47&lt;&gt;0,'2.报价结算清单'!I47&lt;&gt;0),'2.报价结算清单'!I47,"")</f>
        <v/>
      </c>
      <c r="K12" s="105" t="str">
        <f>IF(AND('2.报价结算清单'!$P47&gt;0,'2.报价结算清单'!$B47&lt;&gt;0,'2.报价结算清单'!$F47&lt;&gt;0),'2.报价结算清单'!N47,"")</f>
        <v/>
      </c>
      <c r="L12" s="105" t="str">
        <f>IF(AND('2.报价结算清单'!$P47&gt;0,'2.报价结算清单'!$B47&lt;&gt;0,'2.报价结算清单'!I47&lt;&gt;0),"天","")</f>
        <v/>
      </c>
      <c r="M12" s="80" t="str">
        <f t="shared" si="2"/>
        <v/>
      </c>
      <c r="N12" s="78" t="str">
        <f t="shared" si="3"/>
        <v/>
      </c>
      <c r="O12" s="78" t="str">
        <f>IF(AND('2.报价结算清单'!$P47&gt;0,'2.报价结算清单'!$B47&lt;&gt;0,'2.报价结算清单'!S47&lt;&gt;0),'2.报价结算清单'!S47,"")</f>
        <v/>
      </c>
      <c r="P12" s="78" t="str">
        <f>IF(AND('2.报价结算清单'!$P47&gt;0,'2.报价结算清单'!$B47&lt;&gt;0,'2.报价结算清单'!T47&lt;&gt;0),'2.报价结算清单'!T47,"")</f>
        <v/>
      </c>
      <c r="Q12" s="78" t="str">
        <f>IF(F12="",J12,VLOOKUP(F12,框架条目清单!A:K,4,FALSE))</f>
        <v/>
      </c>
      <c r="R12" s="106" t="str">
        <f>IF($A12="","",'2.报价结算清单'!$K$183)</f>
        <v/>
      </c>
      <c r="S12" s="80" t="str">
        <f>IF($A12="","",'2.报价结算清单'!$E$183)</f>
        <v/>
      </c>
      <c r="T12" s="78" t="str">
        <f>IF(F12="","",VLOOKUP(F12,框架条目清单!A:K,7,FALSE))</f>
        <v/>
      </c>
      <c r="U12" s="78" t="str">
        <f>IF(F12="","",VLOOKUP(F12,框架条目清单!A:K,8,FALSE))</f>
        <v/>
      </c>
      <c r="V12" s="78" t="str">
        <f>IF(F12="","",VLOOKUP(F12,框架条目清单!A:K,9,FALSE))</f>
        <v/>
      </c>
    </row>
    <row r="13" spans="1:23">
      <c r="A13" s="78" t="str">
        <f>IF(AND('2.报价结算清单'!$P48&gt;0,'2.报价结算清单'!$B48&lt;&gt;0,'2.报价结算清单'!$F48&lt;&gt;0),'2.报价结算清单'!$F48,"")</f>
        <v/>
      </c>
      <c r="B13" s="78" t="str">
        <f>_xlfn.IFNA(VLOOKUP(A13,'3.框架内物料'!$A:$I,3,0),A13)</f>
        <v/>
      </c>
      <c r="C13" s="78" t="str">
        <f>IF(AND('2.报价结算清单'!$P48&gt;0,'2.报价结算清单'!$B48&lt;&gt;0,'2.报价结算清单'!C48&lt;&gt;0),'2.报价结算清单'!C48,"")</f>
        <v/>
      </c>
      <c r="D13" s="78" t="str">
        <f>IF(AND('2.报价结算清单'!$P48&gt;0,'2.报价结算清单'!$B48&lt;&gt;0,'2.报价结算清单'!D48&lt;&gt;0),'2.报价结算清单'!D48,"")</f>
        <v/>
      </c>
      <c r="E13" s="78" t="str">
        <f>IF(AND('2.报价结算清单'!$P48&gt;0,'2.报价结算清单'!$B48&lt;&gt;0,'2.报价结算清单'!E48&lt;&gt;0),'2.报价结算清单'!E48,"")</f>
        <v/>
      </c>
      <c r="F13" s="105" t="str">
        <f>_xlfn.IFNA(IF($A13="","",IF(VLOOKUP($A13,'3.框架内物料'!$A:$I,2,0)="","",VLOOKUP($A13,'3.框架内物料'!$A:$I,2,0))),"")</f>
        <v/>
      </c>
      <c r="G13" s="87" t="str">
        <f>IF(AND('2.报价结算清单'!$P48&gt;0,'2.报价结算清单'!$B48&lt;&gt;0,'2.报价结算清单'!H48&lt;&gt;0),'2.报价结算清单'!H48,"")</f>
        <v/>
      </c>
      <c r="H13" s="122" t="str">
        <f>IF(AND('2.报价结算清单'!$P48&gt;0,'2.报价结算清单'!$B48&lt;&gt;0,'2.报价结算清单'!$F48&lt;&gt;0),'2.报价结算清单'!J48,"")</f>
        <v/>
      </c>
      <c r="I13" s="105" t="str">
        <f>IF(AND('2.报价结算清单'!$P48&gt;0,'2.报价结算清单'!$B48&lt;&gt;0,'2.报价结算清单'!$F48&lt;&gt;0),'2.报价结算清单'!L48,"")</f>
        <v/>
      </c>
      <c r="J13" s="105" t="str">
        <f>IF(AND('2.报价结算清单'!$P48&gt;0,'2.报价结算清单'!$B48&lt;&gt;0,'2.报价结算清单'!I48&lt;&gt;0),'2.报价结算清单'!I48,"")</f>
        <v/>
      </c>
      <c r="K13" s="105" t="str">
        <f>IF(AND('2.报价结算清单'!$P48&gt;0,'2.报价结算清单'!$B48&lt;&gt;0,'2.报价结算清单'!$F48&lt;&gt;0),'2.报价结算清单'!N48,"")</f>
        <v/>
      </c>
      <c r="L13" s="105" t="str">
        <f>IF(AND('2.报价结算清单'!$P48&gt;0,'2.报价结算清单'!$B48&lt;&gt;0,'2.报价结算清单'!I48&lt;&gt;0),"天","")</f>
        <v/>
      </c>
      <c r="M13" s="80" t="str">
        <f t="shared" si="2"/>
        <v/>
      </c>
      <c r="N13" s="78" t="str">
        <f t="shared" si="3"/>
        <v/>
      </c>
      <c r="O13" s="78" t="str">
        <f>IF(AND('2.报价结算清单'!$P48&gt;0,'2.报价结算清单'!$B48&lt;&gt;0,'2.报价结算清单'!S48&lt;&gt;0),'2.报价结算清单'!S48,"")</f>
        <v/>
      </c>
      <c r="P13" s="78" t="str">
        <f>IF(AND('2.报价结算清单'!$P48&gt;0,'2.报价结算清单'!$B48&lt;&gt;0,'2.报价结算清单'!T48&lt;&gt;0),'2.报价结算清单'!T48,"")</f>
        <v/>
      </c>
      <c r="Q13" s="78" t="str">
        <f>IF(F13="",J13,VLOOKUP(F13,框架条目清单!A:K,4,FALSE))</f>
        <v/>
      </c>
      <c r="R13" s="106" t="str">
        <f>IF($A13="","",'2.报价结算清单'!$K$183)</f>
        <v/>
      </c>
      <c r="S13" s="80" t="str">
        <f>IF($A13="","",'2.报价结算清单'!$E$183)</f>
        <v/>
      </c>
      <c r="T13" s="78" t="str">
        <f>IF(F13="","",VLOOKUP(F13,框架条目清单!A:K,7,FALSE))</f>
        <v/>
      </c>
      <c r="U13" s="78" t="str">
        <f>IF(F13="","",VLOOKUP(F13,框架条目清单!A:K,8,FALSE))</f>
        <v/>
      </c>
      <c r="V13" s="78" t="str">
        <f>IF(F13="","",VLOOKUP(F13,框架条目清单!A:K,9,FALSE))</f>
        <v/>
      </c>
    </row>
    <row r="14" spans="1:23">
      <c r="A14" s="78" t="str">
        <f>IF(AND('2.报价结算清单'!$P49&gt;0,'2.报价结算清单'!$B49&lt;&gt;0,'2.报价结算清单'!$F49&lt;&gt;0),'2.报价结算清单'!$F49,"")</f>
        <v/>
      </c>
      <c r="B14" s="78" t="str">
        <f>_xlfn.IFNA(VLOOKUP(A14,'3.框架内物料'!$A:$I,3,0),A14)</f>
        <v/>
      </c>
      <c r="C14" s="78" t="str">
        <f>IF(AND('2.报价结算清单'!$P49&gt;0,'2.报价结算清单'!$B49&lt;&gt;0,'2.报价结算清单'!C49&lt;&gt;0),'2.报价结算清单'!C49,"")</f>
        <v/>
      </c>
      <c r="D14" s="78" t="str">
        <f>IF(AND('2.报价结算清单'!$P49&gt;0,'2.报价结算清单'!$B49&lt;&gt;0,'2.报价结算清单'!D49&lt;&gt;0),'2.报价结算清单'!D49,"")</f>
        <v/>
      </c>
      <c r="E14" s="78" t="str">
        <f>IF(AND('2.报价结算清单'!$P49&gt;0,'2.报价结算清单'!$B49&lt;&gt;0,'2.报价结算清单'!E49&lt;&gt;0),'2.报价结算清单'!E49,"")</f>
        <v/>
      </c>
      <c r="F14" s="105" t="str">
        <f>_xlfn.IFNA(IF($A14="","",IF(VLOOKUP($A14,'3.框架内物料'!$A:$I,2,0)="","",VLOOKUP($A14,'3.框架内物料'!$A:$I,2,0))),"")</f>
        <v/>
      </c>
      <c r="G14" s="87" t="str">
        <f>IF(AND('2.报价结算清单'!$P49&gt;0,'2.报价结算清单'!$B49&lt;&gt;0,'2.报价结算清单'!H49&lt;&gt;0),'2.报价结算清单'!H49,"")</f>
        <v/>
      </c>
      <c r="H14" s="122" t="str">
        <f>IF(AND('2.报价结算清单'!$P49&gt;0,'2.报价结算清单'!$B49&lt;&gt;0,'2.报价结算清单'!$F49&lt;&gt;0),'2.报价结算清单'!J49,"")</f>
        <v/>
      </c>
      <c r="I14" s="105" t="str">
        <f>IF(AND('2.报价结算清单'!$P49&gt;0,'2.报价结算清单'!$B49&lt;&gt;0,'2.报价结算清单'!$F49&lt;&gt;0),'2.报价结算清单'!L49,"")</f>
        <v/>
      </c>
      <c r="J14" s="105" t="str">
        <f>IF(AND('2.报价结算清单'!$P49&gt;0,'2.报价结算清单'!$B49&lt;&gt;0,'2.报价结算清单'!I49&lt;&gt;0),'2.报价结算清单'!I49,"")</f>
        <v/>
      </c>
      <c r="K14" s="105" t="str">
        <f>IF(AND('2.报价结算清单'!$P49&gt;0,'2.报价结算清单'!$B49&lt;&gt;0,'2.报价结算清单'!$F49&lt;&gt;0),'2.报价结算清单'!N49,"")</f>
        <v/>
      </c>
      <c r="L14" s="105" t="str">
        <f>IF(AND('2.报价结算清单'!$P49&gt;0,'2.报价结算清单'!$B49&lt;&gt;0,'2.报价结算清单'!I49&lt;&gt;0),"天","")</f>
        <v/>
      </c>
      <c r="M14" s="80" t="str">
        <f t="shared" si="2"/>
        <v/>
      </c>
      <c r="N14" s="78" t="str">
        <f t="shared" si="3"/>
        <v/>
      </c>
      <c r="O14" s="78" t="str">
        <f>IF(AND('2.报价结算清单'!$P49&gt;0,'2.报价结算清单'!$B49&lt;&gt;0,'2.报价结算清单'!S49&lt;&gt;0),'2.报价结算清单'!S49,"")</f>
        <v/>
      </c>
      <c r="P14" s="78" t="str">
        <f>IF(AND('2.报价结算清单'!$P49&gt;0,'2.报价结算清单'!$B49&lt;&gt;0,'2.报价结算清单'!T49&lt;&gt;0),'2.报价结算清单'!T49,"")</f>
        <v/>
      </c>
      <c r="Q14" s="78" t="str">
        <f>IF(F14="",J14,VLOOKUP(F14,框架条目清单!A:K,4,FALSE))</f>
        <v/>
      </c>
      <c r="R14" s="106" t="str">
        <f>IF($A14="","",'2.报价结算清单'!$K$183)</f>
        <v/>
      </c>
      <c r="S14" s="80" t="str">
        <f>IF($A14="","",'2.报价结算清单'!$E$183)</f>
        <v/>
      </c>
      <c r="T14" s="78" t="str">
        <f>IF(F14="","",VLOOKUP(F14,框架条目清单!A:K,7,FALSE))</f>
        <v/>
      </c>
      <c r="U14" s="78" t="str">
        <f>IF(F14="","",VLOOKUP(F14,框架条目清单!A:K,8,FALSE))</f>
        <v/>
      </c>
      <c r="V14" s="78" t="str">
        <f>IF(F14="","",VLOOKUP(F14,框架条目清单!A:K,9,FALSE))</f>
        <v/>
      </c>
    </row>
    <row r="15" spans="1:23">
      <c r="A15" s="78" t="str">
        <f>IF(AND('2.报价结算清单'!$P50&gt;0,'2.报价结算清单'!$B50&lt;&gt;0,'2.报价结算清单'!$F50&lt;&gt;0),'2.报价结算清单'!$F50,"")</f>
        <v/>
      </c>
      <c r="B15" s="78" t="str">
        <f>_xlfn.IFNA(VLOOKUP(A15,'3.框架内物料'!$A:$I,3,0),A15)</f>
        <v/>
      </c>
      <c r="C15" s="78" t="str">
        <f>IF(AND('2.报价结算清单'!$P50&gt;0,'2.报价结算清单'!$B50&lt;&gt;0,'2.报价结算清单'!C50&lt;&gt;0),'2.报价结算清单'!C50,"")</f>
        <v/>
      </c>
      <c r="D15" s="78" t="str">
        <f>IF(AND('2.报价结算清单'!$P50&gt;0,'2.报价结算清单'!$B50&lt;&gt;0,'2.报价结算清单'!D50&lt;&gt;0),'2.报价结算清单'!D50,"")</f>
        <v/>
      </c>
      <c r="E15" s="78" t="str">
        <f>IF(AND('2.报价结算清单'!$P50&gt;0,'2.报价结算清单'!$B50&lt;&gt;0,'2.报价结算清单'!E50&lt;&gt;0),'2.报价结算清单'!E50,"")</f>
        <v/>
      </c>
      <c r="F15" s="105" t="str">
        <f>_xlfn.IFNA(IF($A15="","",IF(VLOOKUP($A15,'3.框架内物料'!$A:$I,2,0)="","",VLOOKUP($A15,'3.框架内物料'!$A:$I,2,0))),"")</f>
        <v/>
      </c>
      <c r="G15" s="87" t="str">
        <f>IF(AND('2.报价结算清单'!$P50&gt;0,'2.报价结算清单'!$B50&lt;&gt;0,'2.报价结算清单'!H50&lt;&gt;0),'2.报价结算清单'!H50,"")</f>
        <v/>
      </c>
      <c r="H15" s="122" t="str">
        <f>IF(AND('2.报价结算清单'!$P50&gt;0,'2.报价结算清单'!$B50&lt;&gt;0,'2.报价结算清单'!$F50&lt;&gt;0),'2.报价结算清单'!J50,"")</f>
        <v/>
      </c>
      <c r="I15" s="105" t="str">
        <f>IF(AND('2.报价结算清单'!$P50&gt;0,'2.报价结算清单'!$B50&lt;&gt;0,'2.报价结算清单'!$F50&lt;&gt;0),'2.报价结算清单'!L50,"")</f>
        <v/>
      </c>
      <c r="J15" s="105" t="str">
        <f>IF(AND('2.报价结算清单'!$P50&gt;0,'2.报价结算清单'!$B50&lt;&gt;0,'2.报价结算清单'!I50&lt;&gt;0),'2.报价结算清单'!I50,"")</f>
        <v/>
      </c>
      <c r="K15" s="105" t="str">
        <f>IF(AND('2.报价结算清单'!$P50&gt;0,'2.报价结算清单'!$B50&lt;&gt;0,'2.报价结算清单'!$F50&lt;&gt;0),'2.报价结算清单'!N50,"")</f>
        <v/>
      </c>
      <c r="L15" s="105" t="str">
        <f>IF(AND('2.报价结算清单'!$P50&gt;0,'2.报价结算清单'!$B50&lt;&gt;0,'2.报价结算清单'!I50&lt;&gt;0),"天","")</f>
        <v/>
      </c>
      <c r="M15" s="80" t="str">
        <f t="shared" si="2"/>
        <v/>
      </c>
      <c r="N15" s="78" t="str">
        <f t="shared" si="3"/>
        <v/>
      </c>
      <c r="O15" s="78" t="str">
        <f>IF(AND('2.报价结算清单'!$P50&gt;0,'2.报价结算清单'!$B50&lt;&gt;0,'2.报价结算清单'!S50&lt;&gt;0),'2.报价结算清单'!S50,"")</f>
        <v/>
      </c>
      <c r="P15" s="78" t="str">
        <f>IF(AND('2.报价结算清单'!$P50&gt;0,'2.报价结算清单'!$B50&lt;&gt;0,'2.报价结算清单'!T50&lt;&gt;0),'2.报价结算清单'!T50,"")</f>
        <v/>
      </c>
      <c r="Q15" s="78" t="str">
        <f>IF(F15="",J15,VLOOKUP(F15,框架条目清单!A:K,4,FALSE))</f>
        <v/>
      </c>
      <c r="R15" s="106" t="str">
        <f>IF($A15="","",'2.报价结算清单'!$K$183)</f>
        <v/>
      </c>
      <c r="S15" s="80" t="str">
        <f>IF($A15="","",'2.报价结算清单'!$E$183)</f>
        <v/>
      </c>
      <c r="T15" s="78" t="str">
        <f>IF(F15="","",VLOOKUP(F15,框架条目清单!A:K,7,FALSE))</f>
        <v/>
      </c>
      <c r="U15" s="78" t="str">
        <f>IF(F15="","",VLOOKUP(F15,框架条目清单!A:K,8,FALSE))</f>
        <v/>
      </c>
      <c r="V15" s="78" t="str">
        <f>IF(F15="","",VLOOKUP(F15,框架条目清单!A:K,9,FALSE))</f>
        <v/>
      </c>
    </row>
    <row r="16" spans="1:23">
      <c r="A16" s="78" t="str">
        <f>IF(AND('2.报价结算清单'!$P51&gt;0,'2.报价结算清单'!$B51&lt;&gt;0,'2.报价结算清单'!$F51&lt;&gt;0),'2.报价结算清单'!$F51,"")</f>
        <v/>
      </c>
      <c r="B16" s="78" t="str">
        <f>_xlfn.IFNA(VLOOKUP(A16,'3.框架内物料'!$A:$I,3,0),A16)</f>
        <v/>
      </c>
      <c r="C16" s="78" t="str">
        <f>IF(AND('2.报价结算清单'!$P51&gt;0,'2.报价结算清单'!$B51&lt;&gt;0,'2.报价结算清单'!C51&lt;&gt;0),'2.报价结算清单'!C51,"")</f>
        <v/>
      </c>
      <c r="D16" s="78" t="str">
        <f>IF(AND('2.报价结算清单'!$P51&gt;0,'2.报价结算清单'!$B51&lt;&gt;0,'2.报价结算清单'!D51&lt;&gt;0),'2.报价结算清单'!D51,"")</f>
        <v/>
      </c>
      <c r="E16" s="78" t="str">
        <f>IF(AND('2.报价结算清单'!$P51&gt;0,'2.报价结算清单'!$B51&lt;&gt;0,'2.报价结算清单'!E51&lt;&gt;0),'2.报价结算清单'!E51,"")</f>
        <v/>
      </c>
      <c r="F16" s="105" t="str">
        <f>_xlfn.IFNA(IF($A16="","",IF(VLOOKUP($A16,'3.框架内物料'!$A:$I,2,0)="","",VLOOKUP($A16,'3.框架内物料'!$A:$I,2,0))),"")</f>
        <v/>
      </c>
      <c r="G16" s="87" t="str">
        <f>IF(AND('2.报价结算清单'!$P51&gt;0,'2.报价结算清单'!$B51&lt;&gt;0,'2.报价结算清单'!H51&lt;&gt;0),'2.报价结算清单'!H51,"")</f>
        <v/>
      </c>
      <c r="H16" s="122" t="str">
        <f>IF(AND('2.报价结算清单'!$P51&gt;0,'2.报价结算清单'!$B51&lt;&gt;0,'2.报价结算清单'!$F51&lt;&gt;0),'2.报价结算清单'!J51,"")</f>
        <v/>
      </c>
      <c r="I16" s="105" t="str">
        <f>IF(AND('2.报价结算清单'!$P51&gt;0,'2.报价结算清单'!$B51&lt;&gt;0,'2.报价结算清单'!$F51&lt;&gt;0),'2.报价结算清单'!L51,"")</f>
        <v/>
      </c>
      <c r="J16" s="105" t="str">
        <f>IF(AND('2.报价结算清单'!$P51&gt;0,'2.报价结算清单'!$B51&lt;&gt;0,'2.报价结算清单'!I51&lt;&gt;0),'2.报价结算清单'!I51,"")</f>
        <v/>
      </c>
      <c r="K16" s="105" t="str">
        <f>IF(AND('2.报价结算清单'!$P51&gt;0,'2.报价结算清单'!$B51&lt;&gt;0,'2.报价结算清单'!$F51&lt;&gt;0),'2.报价结算清单'!N51,"")</f>
        <v/>
      </c>
      <c r="L16" s="105" t="str">
        <f>IF(AND('2.报价结算清单'!$P51&gt;0,'2.报价结算清单'!$B51&lt;&gt;0,'2.报价结算清单'!I51&lt;&gt;0),"天","")</f>
        <v/>
      </c>
      <c r="M16" s="80" t="str">
        <f t="shared" si="2"/>
        <v/>
      </c>
      <c r="N16" s="78" t="str">
        <f t="shared" si="3"/>
        <v/>
      </c>
      <c r="O16" s="78" t="str">
        <f>IF(AND('2.报价结算清单'!$P51&gt;0,'2.报价结算清单'!$B51&lt;&gt;0,'2.报价结算清单'!S51&lt;&gt;0),'2.报价结算清单'!S51,"")</f>
        <v/>
      </c>
      <c r="P16" s="78" t="str">
        <f>IF(AND('2.报价结算清单'!$P51&gt;0,'2.报价结算清单'!$B51&lt;&gt;0,'2.报价结算清单'!T51&lt;&gt;0),'2.报价结算清单'!T51,"")</f>
        <v/>
      </c>
      <c r="Q16" s="78" t="str">
        <f>IF(F16="",J16,VLOOKUP(F16,框架条目清单!A:K,4,FALSE))</f>
        <v/>
      </c>
      <c r="R16" s="106" t="str">
        <f>IF($A16="","",'2.报价结算清单'!$K$183)</f>
        <v/>
      </c>
      <c r="S16" s="80" t="str">
        <f>IF($A16="","",'2.报价结算清单'!$E$183)</f>
        <v/>
      </c>
      <c r="T16" s="78" t="str">
        <f>IF(F16="","",VLOOKUP(F16,框架条目清单!A:K,7,FALSE))</f>
        <v/>
      </c>
      <c r="U16" s="78" t="str">
        <f>IF(F16="","",VLOOKUP(F16,框架条目清单!A:K,8,FALSE))</f>
        <v/>
      </c>
      <c r="V16" s="78" t="str">
        <f>IF(F16="","",VLOOKUP(F16,框架条目清单!A:K,9,FALSE))</f>
        <v/>
      </c>
    </row>
    <row r="17" spans="1:22">
      <c r="A17" s="78" t="str">
        <f>IF(AND('2.报价结算清单'!$P52&gt;0,'2.报价结算清单'!$B52&lt;&gt;0,'2.报价结算清单'!$F52&lt;&gt;0),'2.报价结算清单'!$F52,"")</f>
        <v/>
      </c>
      <c r="B17" s="78" t="str">
        <f>_xlfn.IFNA(VLOOKUP(A17,'3.框架内物料'!$A:$I,3,0),A17)</f>
        <v/>
      </c>
      <c r="C17" s="78" t="str">
        <f>IF(AND('2.报价结算清单'!$P52&gt;0,'2.报价结算清单'!$B52&lt;&gt;0,'2.报价结算清单'!C52&lt;&gt;0),'2.报价结算清单'!C52,"")</f>
        <v/>
      </c>
      <c r="D17" s="78" t="str">
        <f>IF(AND('2.报价结算清单'!$P52&gt;0,'2.报价结算清单'!$B52&lt;&gt;0,'2.报价结算清单'!D52&lt;&gt;0),'2.报价结算清单'!D52,"")</f>
        <v/>
      </c>
      <c r="E17" s="78" t="str">
        <f>IF(AND('2.报价结算清单'!$P52&gt;0,'2.报价结算清单'!$B52&lt;&gt;0,'2.报价结算清单'!E52&lt;&gt;0),'2.报价结算清单'!E52,"")</f>
        <v/>
      </c>
      <c r="F17" s="105" t="str">
        <f>_xlfn.IFNA(IF($A17="","",IF(VLOOKUP($A17,'3.框架内物料'!$A:$I,2,0)="","",VLOOKUP($A17,'3.框架内物料'!$A:$I,2,0))),"")</f>
        <v/>
      </c>
      <c r="G17" s="87" t="str">
        <f>IF(AND('2.报价结算清单'!$P52&gt;0,'2.报价结算清单'!$B52&lt;&gt;0,'2.报价结算清单'!H52&lt;&gt;0),'2.报价结算清单'!H52,"")</f>
        <v/>
      </c>
      <c r="H17" s="122" t="str">
        <f>IF(AND('2.报价结算清单'!$P52&gt;0,'2.报价结算清单'!$B52&lt;&gt;0,'2.报价结算清单'!$F52&lt;&gt;0),'2.报价结算清单'!J52,"")</f>
        <v/>
      </c>
      <c r="I17" s="105" t="str">
        <f>IF(AND('2.报价结算清单'!$P52&gt;0,'2.报价结算清单'!$B52&lt;&gt;0,'2.报价结算清单'!$F52&lt;&gt;0),'2.报价结算清单'!L52,"")</f>
        <v/>
      </c>
      <c r="J17" s="105" t="str">
        <f>IF(AND('2.报价结算清单'!$P52&gt;0,'2.报价结算清单'!$B52&lt;&gt;0,'2.报价结算清单'!I52&lt;&gt;0),'2.报价结算清单'!I52,"")</f>
        <v/>
      </c>
      <c r="K17" s="105" t="str">
        <f>IF(AND('2.报价结算清单'!$P52&gt;0,'2.报价结算清单'!$B52&lt;&gt;0,'2.报价结算清单'!$F52&lt;&gt;0),'2.报价结算清单'!N52,"")</f>
        <v/>
      </c>
      <c r="L17" s="105" t="str">
        <f>IF(AND('2.报价结算清单'!$P52&gt;0,'2.报价结算清单'!$B52&lt;&gt;0,'2.报价结算清单'!I52&lt;&gt;0),"天","")</f>
        <v/>
      </c>
      <c r="M17" s="80" t="str">
        <f t="shared" si="2"/>
        <v/>
      </c>
      <c r="N17" s="78" t="str">
        <f t="shared" si="3"/>
        <v/>
      </c>
      <c r="O17" s="78" t="str">
        <f>IF(AND('2.报价结算清单'!$P52&gt;0,'2.报价结算清单'!$B52&lt;&gt;0,'2.报价结算清单'!S52&lt;&gt;0),'2.报价结算清单'!S52,"")</f>
        <v/>
      </c>
      <c r="P17" s="78" t="str">
        <f>IF(AND('2.报价结算清单'!$P52&gt;0,'2.报价结算清单'!$B52&lt;&gt;0,'2.报价结算清单'!T52&lt;&gt;0),'2.报价结算清单'!T52,"")</f>
        <v/>
      </c>
      <c r="Q17" s="78" t="str">
        <f>IF(F17="",J17,VLOOKUP(F17,框架条目清单!A:K,4,FALSE))</f>
        <v/>
      </c>
      <c r="R17" s="106" t="str">
        <f>IF($A17="","",'2.报价结算清单'!$K$183)</f>
        <v/>
      </c>
      <c r="S17" s="80" t="str">
        <f>IF($A17="","",'2.报价结算清单'!$E$183)</f>
        <v/>
      </c>
      <c r="T17" s="78" t="str">
        <f>IF(F17="","",VLOOKUP(F17,框架条目清单!A:K,7,FALSE))</f>
        <v/>
      </c>
      <c r="U17" s="78" t="str">
        <f>IF(F17="","",VLOOKUP(F17,框架条目清单!A:K,8,FALSE))</f>
        <v/>
      </c>
      <c r="V17" s="78" t="str">
        <f>IF(F17="","",VLOOKUP(F17,框架条目清单!A:K,9,FALSE))</f>
        <v/>
      </c>
    </row>
    <row r="18" spans="1:22">
      <c r="A18" s="78" t="str">
        <f>IF(AND('2.报价结算清单'!$P53&gt;0,'2.报价结算清单'!$B53&lt;&gt;0,'2.报价结算清单'!$F53&lt;&gt;0),'2.报价结算清单'!$F53,"")</f>
        <v/>
      </c>
      <c r="B18" s="78" t="str">
        <f>_xlfn.IFNA(VLOOKUP(A18,'3.框架内物料'!$A:$I,3,0),A18)</f>
        <v/>
      </c>
      <c r="C18" s="78" t="str">
        <f>IF(AND('2.报价结算清单'!$P53&gt;0,'2.报价结算清单'!$B53&lt;&gt;0,'2.报价结算清单'!C53&lt;&gt;0),'2.报价结算清单'!C53,"")</f>
        <v/>
      </c>
      <c r="D18" s="78" t="str">
        <f>IF(AND('2.报价结算清单'!$P53&gt;0,'2.报价结算清单'!$B53&lt;&gt;0,'2.报价结算清单'!D53&lt;&gt;0),'2.报价结算清单'!D53,"")</f>
        <v/>
      </c>
      <c r="E18" s="78" t="str">
        <f>IF(AND('2.报价结算清单'!$P53&gt;0,'2.报价结算清单'!$B53&lt;&gt;0,'2.报价结算清单'!E53&lt;&gt;0),'2.报价结算清单'!E53,"")</f>
        <v/>
      </c>
      <c r="F18" s="105" t="str">
        <f>_xlfn.IFNA(IF($A18="","",IF(VLOOKUP($A18,'3.框架内物料'!$A:$I,2,0)="","",VLOOKUP($A18,'3.框架内物料'!$A:$I,2,0))),"")</f>
        <v/>
      </c>
      <c r="G18" s="87" t="str">
        <f>IF(AND('2.报价结算清单'!$P53&gt;0,'2.报价结算清单'!$B53&lt;&gt;0,'2.报价结算清单'!H53&lt;&gt;0),'2.报价结算清单'!H53,"")</f>
        <v/>
      </c>
      <c r="H18" s="122" t="str">
        <f>IF(AND('2.报价结算清单'!$P53&gt;0,'2.报价结算清单'!$B53&lt;&gt;0,'2.报价结算清单'!$F53&lt;&gt;0),'2.报价结算清单'!J53,"")</f>
        <v/>
      </c>
      <c r="I18" s="105" t="str">
        <f>IF(AND('2.报价结算清单'!$P53&gt;0,'2.报价结算清单'!$B53&lt;&gt;0,'2.报价结算清单'!$F53&lt;&gt;0),'2.报价结算清单'!L53,"")</f>
        <v/>
      </c>
      <c r="J18" s="105" t="str">
        <f>IF(AND('2.报价结算清单'!$P53&gt;0,'2.报价结算清单'!$B53&lt;&gt;0,'2.报价结算清单'!I53&lt;&gt;0),'2.报价结算清单'!I53,"")</f>
        <v/>
      </c>
      <c r="K18" s="105" t="str">
        <f>IF(AND('2.报价结算清单'!$P53&gt;0,'2.报价结算清单'!$B53&lt;&gt;0,'2.报价结算清单'!$F53&lt;&gt;0),'2.报价结算清单'!N53,"")</f>
        <v/>
      </c>
      <c r="L18" s="105" t="str">
        <f>IF(AND('2.报价结算清单'!$P53&gt;0,'2.报价结算清单'!$B53&lt;&gt;0,'2.报价结算清单'!I53&lt;&gt;0),"天","")</f>
        <v/>
      </c>
      <c r="M18" s="80" t="str">
        <f t="shared" si="2"/>
        <v/>
      </c>
      <c r="N18" s="78" t="str">
        <f t="shared" si="3"/>
        <v/>
      </c>
      <c r="O18" s="78" t="str">
        <f>IF(AND('2.报价结算清单'!$P53&gt;0,'2.报价结算清单'!$B53&lt;&gt;0,'2.报价结算清单'!S53&lt;&gt;0),'2.报价结算清单'!S53,"")</f>
        <v/>
      </c>
      <c r="P18" s="78" t="str">
        <f>IF(AND('2.报价结算清单'!$P53&gt;0,'2.报价结算清单'!$B53&lt;&gt;0,'2.报价结算清单'!T53&lt;&gt;0),'2.报价结算清单'!T53,"")</f>
        <v/>
      </c>
      <c r="Q18" s="78" t="str">
        <f>IF(F18="",J18,VLOOKUP(F18,框架条目清单!A:K,4,FALSE))</f>
        <v/>
      </c>
      <c r="R18" s="106" t="str">
        <f>IF($A18="","",'2.报价结算清单'!$K$183)</f>
        <v/>
      </c>
      <c r="S18" s="80" t="str">
        <f>IF($A18="","",'2.报价结算清单'!$E$183)</f>
        <v/>
      </c>
      <c r="T18" s="78" t="str">
        <f>IF(F18="","",VLOOKUP(F18,框架条目清单!A:K,7,FALSE))</f>
        <v/>
      </c>
      <c r="U18" s="78" t="str">
        <f>IF(F18="","",VLOOKUP(F18,框架条目清单!A:K,8,FALSE))</f>
        <v/>
      </c>
      <c r="V18" s="78" t="str">
        <f>IF(F18="","",VLOOKUP(F18,框架条目清单!A:K,9,FALSE))</f>
        <v/>
      </c>
    </row>
    <row r="19" spans="1:22">
      <c r="A19" s="78" t="e">
        <f>IF(AND('2.报价结算清单'!#REF!&gt;0,'2.报价结算清单'!#REF!&lt;&gt;0,'2.报价结算清单'!#REF!&lt;&gt;0),'2.报价结算清单'!#REF!,"")</f>
        <v>#REF!</v>
      </c>
      <c r="B19" s="78" t="e">
        <f>_xlfn.IFNA(VLOOKUP(A19,'3.框架内物料'!$A:$I,3,0),A19)</f>
        <v>#REF!</v>
      </c>
      <c r="C19" s="78" t="e">
        <f>IF(AND('2.报价结算清单'!#REF!&gt;0,'2.报价结算清单'!#REF!&lt;&gt;0,'2.报价结算清单'!#REF!&lt;&gt;0),'2.报价结算清单'!#REF!,"")</f>
        <v>#REF!</v>
      </c>
      <c r="D19" s="78" t="e">
        <f>IF(AND('2.报价结算清单'!#REF!&gt;0,'2.报价结算清单'!#REF!&lt;&gt;0,'2.报价结算清单'!#REF!&lt;&gt;0),'2.报价结算清单'!#REF!,"")</f>
        <v>#REF!</v>
      </c>
      <c r="E19" s="78" t="e">
        <f>IF(AND('2.报价结算清单'!#REF!&gt;0,'2.报价结算清单'!#REF!&lt;&gt;0,'2.报价结算清单'!#REF!&lt;&gt;0),'2.报价结算清单'!#REF!,"")</f>
        <v>#REF!</v>
      </c>
      <c r="F19" s="105" t="e">
        <f>_xlfn.IFNA(IF($A19="","",IF(VLOOKUP($A19,'3.框架内物料'!$A:$I,2,0)="","",VLOOKUP($A19,'3.框架内物料'!$A:$I,2,0))),"")</f>
        <v>#REF!</v>
      </c>
      <c r="G19" s="87" t="e">
        <f>IF(AND('2.报价结算清单'!#REF!&gt;0,'2.报价结算清单'!#REF!&lt;&gt;0,'2.报价结算清单'!#REF!&lt;&gt;0),'2.报价结算清单'!#REF!,"")</f>
        <v>#REF!</v>
      </c>
      <c r="H19" s="122" t="e">
        <f>IF(AND('2.报价结算清单'!#REF!&gt;0,'2.报价结算清单'!#REF!&lt;&gt;0,'2.报价结算清单'!#REF!&lt;&gt;0),'2.报价结算清单'!#REF!,"")</f>
        <v>#REF!</v>
      </c>
      <c r="I19" s="105" t="e">
        <f>IF(AND('2.报价结算清单'!#REF!&gt;0,'2.报价结算清单'!#REF!&lt;&gt;0,'2.报价结算清单'!#REF!&lt;&gt;0),'2.报价结算清单'!#REF!,"")</f>
        <v>#REF!</v>
      </c>
      <c r="J19" s="105" t="e">
        <f>IF(AND('2.报价结算清单'!#REF!&gt;0,'2.报价结算清单'!#REF!&lt;&gt;0,'2.报价结算清单'!#REF!&lt;&gt;0),'2.报价结算清单'!#REF!,"")</f>
        <v>#REF!</v>
      </c>
      <c r="K19" s="105" t="e">
        <f>IF(AND('2.报价结算清单'!#REF!&gt;0,'2.报价结算清单'!#REF!&lt;&gt;0,'2.报价结算清单'!#REF!&lt;&gt;0),'2.报价结算清单'!#REF!,"")</f>
        <v>#REF!</v>
      </c>
      <c r="L19" s="105" t="e">
        <f>IF(AND('2.报价结算清单'!#REF!&gt;0,'2.报价结算清单'!#REF!&lt;&gt;0,'2.报价结算清单'!#REF!&lt;&gt;0),"天","")</f>
        <v>#REF!</v>
      </c>
      <c r="M19" s="80" t="e">
        <f t="shared" si="2"/>
        <v>#REF!</v>
      </c>
      <c r="N19" s="78" t="str">
        <f t="shared" si="3"/>
        <v/>
      </c>
      <c r="O19" s="78" t="e">
        <f>IF(AND('2.报价结算清单'!#REF!&gt;0,'2.报价结算清单'!#REF!&lt;&gt;0,'2.报价结算清单'!#REF!&lt;&gt;0),'2.报价结算清单'!#REF!,"")</f>
        <v>#REF!</v>
      </c>
      <c r="P19" s="78" t="e">
        <f>IF(AND('2.报价结算清单'!#REF!&gt;0,'2.报价结算清单'!#REF!&lt;&gt;0,'2.报价结算清单'!#REF!&lt;&gt;0),'2.报价结算清单'!#REF!,"")</f>
        <v>#REF!</v>
      </c>
      <c r="Q19" s="78" t="e">
        <f>IF(F19="",J19,VLOOKUP(F19,框架条目清单!A:K,4,FALSE))</f>
        <v>#REF!</v>
      </c>
      <c r="R19" s="106" t="e">
        <f>IF($A19="","",'2.报价结算清单'!$K$183)</f>
        <v>#REF!</v>
      </c>
      <c r="S19" s="80" t="e">
        <f>IF($A19="","",'2.报价结算清单'!$E$183)</f>
        <v>#REF!</v>
      </c>
      <c r="T19" s="78" t="e">
        <f>IF(F19="","",VLOOKUP(F19,框架条目清单!A:K,7,FALSE))</f>
        <v>#REF!</v>
      </c>
      <c r="U19" s="78" t="e">
        <f>IF(F19="","",VLOOKUP(F19,框架条目清单!A:K,8,FALSE))</f>
        <v>#REF!</v>
      </c>
      <c r="V19" s="78" t="e">
        <f>IF(F19="","",VLOOKUP(F19,框架条目清单!A:K,9,FALSE))</f>
        <v>#REF!</v>
      </c>
    </row>
    <row r="20" spans="1:22">
      <c r="A20" s="78" t="e">
        <f>IF(AND('2.报价结算清单'!#REF!&gt;0,'2.报价结算清单'!#REF!&lt;&gt;0,'2.报价结算清单'!#REF!&lt;&gt;0),'2.报价结算清单'!#REF!,"")</f>
        <v>#REF!</v>
      </c>
      <c r="B20" s="78" t="e">
        <f>_xlfn.IFNA(VLOOKUP(A20,'3.框架内物料'!$A:$I,3,0),A20)</f>
        <v>#REF!</v>
      </c>
      <c r="C20" s="78" t="e">
        <f>IF(AND('2.报价结算清单'!#REF!&gt;0,'2.报价结算清单'!#REF!&lt;&gt;0,'2.报价结算清单'!#REF!&lt;&gt;0),'2.报价结算清单'!#REF!,"")</f>
        <v>#REF!</v>
      </c>
      <c r="D20" s="78" t="e">
        <f>IF(AND('2.报价结算清单'!#REF!&gt;0,'2.报价结算清单'!#REF!&lt;&gt;0,'2.报价结算清单'!#REF!&lt;&gt;0),'2.报价结算清单'!#REF!,"")</f>
        <v>#REF!</v>
      </c>
      <c r="E20" s="78" t="e">
        <f>IF(AND('2.报价结算清单'!#REF!&gt;0,'2.报价结算清单'!#REF!&lt;&gt;0,'2.报价结算清单'!#REF!&lt;&gt;0),'2.报价结算清单'!#REF!,"")</f>
        <v>#REF!</v>
      </c>
      <c r="F20" s="105" t="e">
        <f>_xlfn.IFNA(IF($A20="","",IF(VLOOKUP($A20,'3.框架内物料'!$A:$I,2,0)="","",VLOOKUP($A20,'3.框架内物料'!$A:$I,2,0))),"")</f>
        <v>#REF!</v>
      </c>
      <c r="G20" s="87" t="e">
        <f>IF(AND('2.报价结算清单'!#REF!&gt;0,'2.报价结算清单'!#REF!&lt;&gt;0,'2.报价结算清单'!#REF!&lt;&gt;0),'2.报价结算清单'!#REF!,"")</f>
        <v>#REF!</v>
      </c>
      <c r="H20" s="122" t="e">
        <f>IF(AND('2.报价结算清单'!#REF!&gt;0,'2.报价结算清单'!#REF!&lt;&gt;0,'2.报价结算清单'!#REF!&lt;&gt;0),'2.报价结算清单'!#REF!,"")</f>
        <v>#REF!</v>
      </c>
      <c r="I20" s="105" t="e">
        <f>IF(AND('2.报价结算清单'!#REF!&gt;0,'2.报价结算清单'!#REF!&lt;&gt;0,'2.报价结算清单'!#REF!&lt;&gt;0),'2.报价结算清单'!#REF!,"")</f>
        <v>#REF!</v>
      </c>
      <c r="J20" s="105" t="e">
        <f>IF(AND('2.报价结算清单'!#REF!&gt;0,'2.报价结算清单'!#REF!&lt;&gt;0,'2.报价结算清单'!#REF!&lt;&gt;0),'2.报价结算清单'!#REF!,"")</f>
        <v>#REF!</v>
      </c>
      <c r="K20" s="105" t="e">
        <f>IF(AND('2.报价结算清单'!#REF!&gt;0,'2.报价结算清单'!#REF!&lt;&gt;0,'2.报价结算清单'!#REF!&lt;&gt;0),'2.报价结算清单'!#REF!,"")</f>
        <v>#REF!</v>
      </c>
      <c r="L20" s="105" t="e">
        <f>IF(AND('2.报价结算清单'!#REF!&gt;0,'2.报价结算清单'!#REF!&lt;&gt;0,'2.报价结算清单'!#REF!&lt;&gt;0),"天","")</f>
        <v>#REF!</v>
      </c>
      <c r="M20" s="80" t="e">
        <f t="shared" si="2"/>
        <v>#REF!</v>
      </c>
      <c r="N20" s="78" t="str">
        <f t="shared" si="3"/>
        <v/>
      </c>
      <c r="O20" s="78" t="e">
        <f>IF(AND('2.报价结算清单'!#REF!&gt;0,'2.报价结算清单'!#REF!&lt;&gt;0,'2.报价结算清单'!#REF!&lt;&gt;0),'2.报价结算清单'!#REF!,"")</f>
        <v>#REF!</v>
      </c>
      <c r="P20" s="78" t="e">
        <f>IF(AND('2.报价结算清单'!#REF!&gt;0,'2.报价结算清单'!#REF!&lt;&gt;0,'2.报价结算清单'!#REF!&lt;&gt;0),'2.报价结算清单'!#REF!,"")</f>
        <v>#REF!</v>
      </c>
      <c r="Q20" s="78" t="e">
        <f>IF(F20="",J20,VLOOKUP(F20,框架条目清单!A:K,4,FALSE))</f>
        <v>#REF!</v>
      </c>
      <c r="R20" s="106" t="e">
        <f>IF($A20="","",'2.报价结算清单'!$K$183)</f>
        <v>#REF!</v>
      </c>
      <c r="S20" s="80" t="e">
        <f>IF($A20="","",'2.报价结算清单'!$E$183)</f>
        <v>#REF!</v>
      </c>
      <c r="T20" s="78" t="e">
        <f>IF(F20="","",VLOOKUP(F20,框架条目清单!A:K,7,FALSE))</f>
        <v>#REF!</v>
      </c>
      <c r="U20" s="78" t="e">
        <f>IF(F20="","",VLOOKUP(F20,框架条目清单!A:K,8,FALSE))</f>
        <v>#REF!</v>
      </c>
      <c r="V20" s="78" t="e">
        <f>IF(F20="","",VLOOKUP(F20,框架条目清单!A:K,9,FALSE))</f>
        <v>#REF!</v>
      </c>
    </row>
    <row r="21" spans="1:22">
      <c r="A21" s="78" t="e">
        <f>IF(AND('2.报价结算清单'!#REF!&gt;0,'2.报价结算清单'!#REF!&lt;&gt;0,'2.报价结算清单'!#REF!&lt;&gt;0),'2.报价结算清单'!#REF!,"")</f>
        <v>#REF!</v>
      </c>
      <c r="B21" s="78" t="e">
        <f>_xlfn.IFNA(VLOOKUP(A21,'3.框架内物料'!$A:$I,3,0),A21)</f>
        <v>#REF!</v>
      </c>
      <c r="C21" s="78" t="e">
        <f>IF(AND('2.报价结算清单'!#REF!&gt;0,'2.报价结算清单'!#REF!&lt;&gt;0,'2.报价结算清单'!#REF!&lt;&gt;0),'2.报价结算清单'!#REF!,"")</f>
        <v>#REF!</v>
      </c>
      <c r="D21" s="78" t="e">
        <f>IF(AND('2.报价结算清单'!#REF!&gt;0,'2.报价结算清单'!#REF!&lt;&gt;0,'2.报价结算清单'!#REF!&lt;&gt;0),'2.报价结算清单'!#REF!,"")</f>
        <v>#REF!</v>
      </c>
      <c r="E21" s="78" t="e">
        <f>IF(AND('2.报价结算清单'!#REF!&gt;0,'2.报价结算清单'!#REF!&lt;&gt;0,'2.报价结算清单'!#REF!&lt;&gt;0),'2.报价结算清单'!#REF!,"")</f>
        <v>#REF!</v>
      </c>
      <c r="F21" s="105" t="e">
        <f>_xlfn.IFNA(IF($A21="","",IF(VLOOKUP($A21,'3.框架内物料'!$A:$I,2,0)="","",VLOOKUP($A21,'3.框架内物料'!$A:$I,2,0))),"")</f>
        <v>#REF!</v>
      </c>
      <c r="G21" s="87" t="e">
        <f>IF(AND('2.报价结算清单'!#REF!&gt;0,'2.报价结算清单'!#REF!&lt;&gt;0,'2.报价结算清单'!#REF!&lt;&gt;0),'2.报价结算清单'!#REF!,"")</f>
        <v>#REF!</v>
      </c>
      <c r="H21" s="122" t="e">
        <f>IF(AND('2.报价结算清单'!#REF!&gt;0,'2.报价结算清单'!#REF!&lt;&gt;0,'2.报价结算清单'!#REF!&lt;&gt;0),'2.报价结算清单'!#REF!,"")</f>
        <v>#REF!</v>
      </c>
      <c r="I21" s="105" t="e">
        <f>IF(AND('2.报价结算清单'!#REF!&gt;0,'2.报价结算清单'!#REF!&lt;&gt;0,'2.报价结算清单'!#REF!&lt;&gt;0),'2.报价结算清单'!#REF!,"")</f>
        <v>#REF!</v>
      </c>
      <c r="J21" s="105" t="e">
        <f>IF(AND('2.报价结算清单'!#REF!&gt;0,'2.报价结算清单'!#REF!&lt;&gt;0,'2.报价结算清单'!#REF!&lt;&gt;0),'2.报价结算清单'!#REF!,"")</f>
        <v>#REF!</v>
      </c>
      <c r="K21" s="105" t="e">
        <f>IF(AND('2.报价结算清单'!#REF!&gt;0,'2.报价结算清单'!#REF!&lt;&gt;0,'2.报价结算清单'!#REF!&lt;&gt;0),'2.报价结算清单'!#REF!,"")</f>
        <v>#REF!</v>
      </c>
      <c r="L21" s="105" t="e">
        <f>IF(AND('2.报价结算清单'!#REF!&gt;0,'2.报价结算清单'!#REF!&lt;&gt;0,'2.报价结算清单'!#REF!&lt;&gt;0),"天","")</f>
        <v>#REF!</v>
      </c>
      <c r="M21" s="80" t="e">
        <f t="shared" si="2"/>
        <v>#REF!</v>
      </c>
      <c r="N21" s="78" t="str">
        <f t="shared" si="3"/>
        <v/>
      </c>
      <c r="O21" s="78" t="e">
        <f>IF(AND('2.报价结算清单'!#REF!&gt;0,'2.报价结算清单'!#REF!&lt;&gt;0,'2.报价结算清单'!#REF!&lt;&gt;0),'2.报价结算清单'!#REF!,"")</f>
        <v>#REF!</v>
      </c>
      <c r="P21" s="78" t="e">
        <f>IF(AND('2.报价结算清单'!#REF!&gt;0,'2.报价结算清单'!#REF!&lt;&gt;0,'2.报价结算清单'!#REF!&lt;&gt;0),'2.报价结算清单'!#REF!,"")</f>
        <v>#REF!</v>
      </c>
      <c r="Q21" s="78" t="e">
        <f>IF(F21="",J21,VLOOKUP(F21,框架条目清单!A:K,4,FALSE))</f>
        <v>#REF!</v>
      </c>
      <c r="R21" s="106" t="e">
        <f>IF($A21="","",'2.报价结算清单'!$K$183)</f>
        <v>#REF!</v>
      </c>
      <c r="S21" s="80" t="e">
        <f>IF($A21="","",'2.报价结算清单'!$E$183)</f>
        <v>#REF!</v>
      </c>
      <c r="T21" s="78" t="e">
        <f>IF(F21="","",VLOOKUP(F21,框架条目清单!A:K,7,FALSE))</f>
        <v>#REF!</v>
      </c>
      <c r="U21" s="78" t="e">
        <f>IF(F21="","",VLOOKUP(F21,框架条目清单!A:K,8,FALSE))</f>
        <v>#REF!</v>
      </c>
      <c r="V21" s="78" t="e">
        <f>IF(F21="","",VLOOKUP(F21,框架条目清单!A:K,9,FALSE))</f>
        <v>#REF!</v>
      </c>
    </row>
    <row r="22" spans="1:22">
      <c r="A22" s="78" t="e">
        <f>IF(AND('2.报价结算清单'!#REF!&gt;0,'2.报价结算清单'!#REF!&lt;&gt;0,'2.报价结算清单'!#REF!&lt;&gt;0),'2.报价结算清单'!#REF!,"")</f>
        <v>#REF!</v>
      </c>
      <c r="B22" s="78" t="e">
        <f>_xlfn.IFNA(VLOOKUP(A22,'3.框架内物料'!$A:$I,3,0),A22)</f>
        <v>#REF!</v>
      </c>
      <c r="C22" s="78" t="e">
        <f>IF(AND('2.报价结算清单'!#REF!&gt;0,'2.报价结算清单'!#REF!&lt;&gt;0,'2.报价结算清单'!#REF!&lt;&gt;0),'2.报价结算清单'!#REF!,"")</f>
        <v>#REF!</v>
      </c>
      <c r="D22" s="78" t="e">
        <f>IF(AND('2.报价结算清单'!#REF!&gt;0,'2.报价结算清单'!#REF!&lt;&gt;0,'2.报价结算清单'!#REF!&lt;&gt;0),'2.报价结算清单'!#REF!,"")</f>
        <v>#REF!</v>
      </c>
      <c r="E22" s="78" t="e">
        <f>IF(AND('2.报价结算清单'!#REF!&gt;0,'2.报价结算清单'!#REF!&lt;&gt;0,'2.报价结算清单'!#REF!&lt;&gt;0),'2.报价结算清单'!#REF!,"")</f>
        <v>#REF!</v>
      </c>
      <c r="F22" s="105" t="e">
        <f>_xlfn.IFNA(IF($A22="","",IF(VLOOKUP($A22,'3.框架内物料'!$A:$I,2,0)="","",VLOOKUP($A22,'3.框架内物料'!$A:$I,2,0))),"")</f>
        <v>#REF!</v>
      </c>
      <c r="G22" s="87" t="e">
        <f>IF(AND('2.报价结算清单'!#REF!&gt;0,'2.报价结算清单'!#REF!&lt;&gt;0,'2.报价结算清单'!#REF!&lt;&gt;0),'2.报价结算清单'!#REF!,"")</f>
        <v>#REF!</v>
      </c>
      <c r="H22" s="122" t="e">
        <f>IF(AND('2.报价结算清单'!#REF!&gt;0,'2.报价结算清单'!#REF!&lt;&gt;0,'2.报价结算清单'!#REF!&lt;&gt;0),'2.报价结算清单'!#REF!,"")</f>
        <v>#REF!</v>
      </c>
      <c r="I22" s="105" t="e">
        <f>IF(AND('2.报价结算清单'!#REF!&gt;0,'2.报价结算清单'!#REF!&lt;&gt;0,'2.报价结算清单'!#REF!&lt;&gt;0),'2.报价结算清单'!#REF!,"")</f>
        <v>#REF!</v>
      </c>
      <c r="J22" s="105" t="e">
        <f>IF(AND('2.报价结算清单'!#REF!&gt;0,'2.报价结算清单'!#REF!&lt;&gt;0,'2.报价结算清单'!#REF!&lt;&gt;0),'2.报价结算清单'!#REF!,"")</f>
        <v>#REF!</v>
      </c>
      <c r="K22" s="105" t="e">
        <f>IF(AND('2.报价结算清单'!#REF!&gt;0,'2.报价结算清单'!#REF!&lt;&gt;0,'2.报价结算清单'!#REF!&lt;&gt;0),'2.报价结算清单'!#REF!,"")</f>
        <v>#REF!</v>
      </c>
      <c r="L22" s="105" t="e">
        <f>IF(AND('2.报价结算清单'!#REF!&gt;0,'2.报价结算清单'!#REF!&lt;&gt;0,'2.报价结算清单'!#REF!&lt;&gt;0),"天","")</f>
        <v>#REF!</v>
      </c>
      <c r="M22" s="80" t="e">
        <f t="shared" si="2"/>
        <v>#REF!</v>
      </c>
      <c r="N22" s="78" t="str">
        <f t="shared" si="3"/>
        <v/>
      </c>
      <c r="O22" s="78" t="e">
        <f>IF(AND('2.报价结算清单'!#REF!&gt;0,'2.报价结算清单'!#REF!&lt;&gt;0,'2.报价结算清单'!#REF!&lt;&gt;0),'2.报价结算清单'!#REF!,"")</f>
        <v>#REF!</v>
      </c>
      <c r="P22" s="78" t="e">
        <f>IF(AND('2.报价结算清单'!#REF!&gt;0,'2.报价结算清单'!#REF!&lt;&gt;0,'2.报价结算清单'!#REF!&lt;&gt;0),'2.报价结算清单'!#REF!,"")</f>
        <v>#REF!</v>
      </c>
      <c r="Q22" s="78" t="e">
        <f>IF(F22="",J22,VLOOKUP(F22,框架条目清单!A:K,4,FALSE))</f>
        <v>#REF!</v>
      </c>
      <c r="R22" s="106" t="e">
        <f>IF($A22="","",'2.报价结算清单'!$K$183)</f>
        <v>#REF!</v>
      </c>
      <c r="S22" s="80" t="e">
        <f>IF($A22="","",'2.报价结算清单'!$E$183)</f>
        <v>#REF!</v>
      </c>
      <c r="T22" s="78" t="e">
        <f>IF(F22="","",VLOOKUP(F22,框架条目清单!A:K,7,FALSE))</f>
        <v>#REF!</v>
      </c>
      <c r="U22" s="78" t="e">
        <f>IF(F22="","",VLOOKUP(F22,框架条目清单!A:K,8,FALSE))</f>
        <v>#REF!</v>
      </c>
      <c r="V22" s="78" t="e">
        <f>IF(F22="","",VLOOKUP(F22,框架条目清单!A:K,9,FALSE))</f>
        <v>#REF!</v>
      </c>
    </row>
    <row r="23" spans="1:22">
      <c r="A23" s="78" t="e">
        <f>IF(AND('2.报价结算清单'!#REF!&gt;0,'2.报价结算清单'!#REF!&lt;&gt;0,'2.报价结算清单'!#REF!&lt;&gt;0),'2.报价结算清单'!#REF!,"")</f>
        <v>#REF!</v>
      </c>
      <c r="B23" s="78" t="e">
        <f>_xlfn.IFNA(VLOOKUP(A23,'3.框架内物料'!$A:$I,3,0),A23)</f>
        <v>#REF!</v>
      </c>
      <c r="C23" s="78" t="e">
        <f>IF(AND('2.报价结算清单'!#REF!&gt;0,'2.报价结算清单'!#REF!&lt;&gt;0,'2.报价结算清单'!#REF!&lt;&gt;0),'2.报价结算清单'!#REF!,"")</f>
        <v>#REF!</v>
      </c>
      <c r="D23" s="78" t="e">
        <f>IF(AND('2.报价结算清单'!#REF!&gt;0,'2.报价结算清单'!#REF!&lt;&gt;0,'2.报价结算清单'!#REF!&lt;&gt;0),'2.报价结算清单'!#REF!,"")</f>
        <v>#REF!</v>
      </c>
      <c r="E23" s="78" t="e">
        <f>IF(AND('2.报价结算清单'!#REF!&gt;0,'2.报价结算清单'!#REF!&lt;&gt;0,'2.报价结算清单'!#REF!&lt;&gt;0),'2.报价结算清单'!#REF!,"")</f>
        <v>#REF!</v>
      </c>
      <c r="F23" s="105" t="e">
        <f>_xlfn.IFNA(IF($A23="","",IF(VLOOKUP($A23,'3.框架内物料'!$A:$I,2,0)="","",VLOOKUP($A23,'3.框架内物料'!$A:$I,2,0))),"")</f>
        <v>#REF!</v>
      </c>
      <c r="G23" s="87" t="e">
        <f>IF(AND('2.报价结算清单'!#REF!&gt;0,'2.报价结算清单'!#REF!&lt;&gt;0,'2.报价结算清单'!#REF!&lt;&gt;0),'2.报价结算清单'!#REF!,"")</f>
        <v>#REF!</v>
      </c>
      <c r="H23" s="122" t="e">
        <f>IF(AND('2.报价结算清单'!#REF!&gt;0,'2.报价结算清单'!#REF!&lt;&gt;0,'2.报价结算清单'!#REF!&lt;&gt;0),'2.报价结算清单'!#REF!,"")</f>
        <v>#REF!</v>
      </c>
      <c r="I23" s="105" t="e">
        <f>IF(AND('2.报价结算清单'!#REF!&gt;0,'2.报价结算清单'!#REF!&lt;&gt;0,'2.报价结算清单'!#REF!&lt;&gt;0),'2.报价结算清单'!#REF!,"")</f>
        <v>#REF!</v>
      </c>
      <c r="J23" s="105" t="e">
        <f>IF(AND('2.报价结算清单'!#REF!&gt;0,'2.报价结算清单'!#REF!&lt;&gt;0,'2.报价结算清单'!#REF!&lt;&gt;0),'2.报价结算清单'!#REF!,"")</f>
        <v>#REF!</v>
      </c>
      <c r="K23" s="105" t="e">
        <f>IF(AND('2.报价结算清单'!#REF!&gt;0,'2.报价结算清单'!#REF!&lt;&gt;0,'2.报价结算清单'!#REF!&lt;&gt;0),'2.报价结算清单'!#REF!,"")</f>
        <v>#REF!</v>
      </c>
      <c r="L23" s="105" t="e">
        <f>IF(AND('2.报价结算清单'!#REF!&gt;0,'2.报价结算清单'!#REF!&lt;&gt;0,'2.报价结算清单'!#REF!&lt;&gt;0),"天","")</f>
        <v>#REF!</v>
      </c>
      <c r="M23" s="80" t="e">
        <f t="shared" si="2"/>
        <v>#REF!</v>
      </c>
      <c r="N23" s="78" t="str">
        <f t="shared" si="3"/>
        <v/>
      </c>
      <c r="O23" s="78" t="e">
        <f>IF(AND('2.报价结算清单'!#REF!&gt;0,'2.报价结算清单'!#REF!&lt;&gt;0,'2.报价结算清单'!#REF!&lt;&gt;0),'2.报价结算清单'!#REF!,"")</f>
        <v>#REF!</v>
      </c>
      <c r="P23" s="78" t="e">
        <f>IF(AND('2.报价结算清单'!#REF!&gt;0,'2.报价结算清单'!#REF!&lt;&gt;0,'2.报价结算清单'!#REF!&lt;&gt;0),'2.报价结算清单'!#REF!,"")</f>
        <v>#REF!</v>
      </c>
      <c r="Q23" s="78" t="e">
        <f>IF(F23="",J23,VLOOKUP(F23,框架条目清单!A:K,4,FALSE))</f>
        <v>#REF!</v>
      </c>
      <c r="R23" s="106" t="e">
        <f>IF($A23="","",'2.报价结算清单'!$K$183)</f>
        <v>#REF!</v>
      </c>
      <c r="S23" s="80" t="e">
        <f>IF($A23="","",'2.报价结算清单'!$E$183)</f>
        <v>#REF!</v>
      </c>
      <c r="T23" s="78" t="e">
        <f>IF(F23="","",VLOOKUP(F23,框架条目清单!A:K,7,FALSE))</f>
        <v>#REF!</v>
      </c>
      <c r="U23" s="78" t="e">
        <f>IF(F23="","",VLOOKUP(F23,框架条目清单!A:K,8,FALSE))</f>
        <v>#REF!</v>
      </c>
      <c r="V23" s="78" t="e">
        <f>IF(F23="","",VLOOKUP(F23,框架条目清单!A:K,9,FALSE))</f>
        <v>#REF!</v>
      </c>
    </row>
    <row r="24" spans="1:22">
      <c r="A24" s="78" t="e">
        <f>IF(AND('2.报价结算清单'!#REF!&gt;0,'2.报价结算清单'!#REF!&lt;&gt;0,'2.报价结算清单'!#REF!&lt;&gt;0),'2.报价结算清单'!#REF!,"")</f>
        <v>#REF!</v>
      </c>
      <c r="B24" s="78" t="e">
        <f>_xlfn.IFNA(VLOOKUP(A24,'3.框架内物料'!$A:$I,3,0),A24)</f>
        <v>#REF!</v>
      </c>
      <c r="C24" s="78" t="e">
        <f>IF(AND('2.报价结算清单'!#REF!&gt;0,'2.报价结算清单'!#REF!&lt;&gt;0,'2.报价结算清单'!#REF!&lt;&gt;0),'2.报价结算清单'!#REF!,"")</f>
        <v>#REF!</v>
      </c>
      <c r="D24" s="78" t="e">
        <f>IF(AND('2.报价结算清单'!#REF!&gt;0,'2.报价结算清单'!#REF!&lt;&gt;0,'2.报价结算清单'!#REF!&lt;&gt;0),'2.报价结算清单'!#REF!,"")</f>
        <v>#REF!</v>
      </c>
      <c r="E24" s="78" t="e">
        <f>IF(AND('2.报价结算清单'!#REF!&gt;0,'2.报价结算清单'!#REF!&lt;&gt;0,'2.报价结算清单'!#REF!&lt;&gt;0),'2.报价结算清单'!#REF!,"")</f>
        <v>#REF!</v>
      </c>
      <c r="F24" s="105" t="e">
        <f>_xlfn.IFNA(IF($A24="","",IF(VLOOKUP($A24,'3.框架内物料'!$A:$I,2,0)="","",VLOOKUP($A24,'3.框架内物料'!$A:$I,2,0))),"")</f>
        <v>#REF!</v>
      </c>
      <c r="G24" s="87" t="e">
        <f>IF(AND('2.报价结算清单'!#REF!&gt;0,'2.报价结算清单'!#REF!&lt;&gt;0,'2.报价结算清单'!#REF!&lt;&gt;0),'2.报价结算清单'!#REF!,"")</f>
        <v>#REF!</v>
      </c>
      <c r="H24" s="122" t="e">
        <f>IF(AND('2.报价结算清单'!#REF!&gt;0,'2.报价结算清单'!#REF!&lt;&gt;0,'2.报价结算清单'!#REF!&lt;&gt;0),'2.报价结算清单'!#REF!,"")</f>
        <v>#REF!</v>
      </c>
      <c r="I24" s="105" t="e">
        <f>IF(AND('2.报价结算清单'!#REF!&gt;0,'2.报价结算清单'!#REF!&lt;&gt;0,'2.报价结算清单'!#REF!&lt;&gt;0),'2.报价结算清单'!#REF!,"")</f>
        <v>#REF!</v>
      </c>
      <c r="J24" s="105" t="e">
        <f>IF(AND('2.报价结算清单'!#REF!&gt;0,'2.报价结算清单'!#REF!&lt;&gt;0,'2.报价结算清单'!#REF!&lt;&gt;0),'2.报价结算清单'!#REF!,"")</f>
        <v>#REF!</v>
      </c>
      <c r="K24" s="105" t="e">
        <f>IF(AND('2.报价结算清单'!#REF!&gt;0,'2.报价结算清单'!#REF!&lt;&gt;0,'2.报价结算清单'!#REF!&lt;&gt;0),'2.报价结算清单'!#REF!,"")</f>
        <v>#REF!</v>
      </c>
      <c r="L24" s="105" t="e">
        <f>IF(AND('2.报价结算清单'!#REF!&gt;0,'2.报价结算清单'!#REF!&lt;&gt;0,'2.报价结算清单'!#REF!&lt;&gt;0),"天","")</f>
        <v>#REF!</v>
      </c>
      <c r="M24" s="80" t="e">
        <f t="shared" si="2"/>
        <v>#REF!</v>
      </c>
      <c r="N24" s="78" t="str">
        <f t="shared" si="3"/>
        <v/>
      </c>
      <c r="O24" s="78" t="e">
        <f>IF(AND('2.报价结算清单'!#REF!&gt;0,'2.报价结算清单'!#REF!&lt;&gt;0,'2.报价结算清单'!#REF!&lt;&gt;0),'2.报价结算清单'!#REF!,"")</f>
        <v>#REF!</v>
      </c>
      <c r="P24" s="78" t="e">
        <f>IF(AND('2.报价结算清单'!#REF!&gt;0,'2.报价结算清单'!#REF!&lt;&gt;0,'2.报价结算清单'!#REF!&lt;&gt;0),'2.报价结算清单'!#REF!,"")</f>
        <v>#REF!</v>
      </c>
      <c r="Q24" s="78" t="e">
        <f>IF(F24="",J24,VLOOKUP(F24,框架条目清单!A:K,4,FALSE))</f>
        <v>#REF!</v>
      </c>
      <c r="R24" s="106" t="e">
        <f>IF($A24="","",'2.报价结算清单'!$K$183)</f>
        <v>#REF!</v>
      </c>
      <c r="S24" s="80" t="e">
        <f>IF($A24="","",'2.报价结算清单'!$E$183)</f>
        <v>#REF!</v>
      </c>
      <c r="T24" s="78" t="e">
        <f>IF(F24="","",VLOOKUP(F24,框架条目清单!A:K,7,FALSE))</f>
        <v>#REF!</v>
      </c>
      <c r="U24" s="78" t="e">
        <f>IF(F24="","",VLOOKUP(F24,框架条目清单!A:K,8,FALSE))</f>
        <v>#REF!</v>
      </c>
      <c r="V24" s="78" t="e">
        <f>IF(F24="","",VLOOKUP(F24,框架条目清单!A:K,9,FALSE))</f>
        <v>#REF!</v>
      </c>
    </row>
    <row r="25" spans="1:22">
      <c r="A25" s="78" t="e">
        <f>IF(AND('2.报价结算清单'!#REF!&gt;0,'2.报价结算清单'!#REF!&lt;&gt;0,'2.报价结算清单'!#REF!&lt;&gt;0),'2.报价结算清单'!#REF!,"")</f>
        <v>#REF!</v>
      </c>
      <c r="B25" s="78" t="e">
        <f>_xlfn.IFNA(VLOOKUP(A25,'3.框架内物料'!$A:$I,3,0),A25)</f>
        <v>#REF!</v>
      </c>
      <c r="C25" s="78" t="e">
        <f>IF(AND('2.报价结算清单'!#REF!&gt;0,'2.报价结算清单'!#REF!&lt;&gt;0,'2.报价结算清单'!#REF!&lt;&gt;0),'2.报价结算清单'!#REF!,"")</f>
        <v>#REF!</v>
      </c>
      <c r="D25" s="78" t="e">
        <f>IF(AND('2.报价结算清单'!#REF!&gt;0,'2.报价结算清单'!#REF!&lt;&gt;0,'2.报价结算清单'!#REF!&lt;&gt;0),'2.报价结算清单'!#REF!,"")</f>
        <v>#REF!</v>
      </c>
      <c r="E25" s="78" t="e">
        <f>IF(AND('2.报价结算清单'!#REF!&gt;0,'2.报价结算清单'!#REF!&lt;&gt;0,'2.报价结算清单'!#REF!&lt;&gt;0),'2.报价结算清单'!#REF!,"")</f>
        <v>#REF!</v>
      </c>
      <c r="F25" s="105" t="e">
        <f>_xlfn.IFNA(IF($A25="","",IF(VLOOKUP($A25,'3.框架内物料'!$A:$I,2,0)="","",VLOOKUP($A25,'3.框架内物料'!$A:$I,2,0))),"")</f>
        <v>#REF!</v>
      </c>
      <c r="G25" s="87" t="e">
        <f>IF(AND('2.报价结算清单'!#REF!&gt;0,'2.报价结算清单'!#REF!&lt;&gt;0,'2.报价结算清单'!#REF!&lt;&gt;0),'2.报价结算清单'!#REF!,"")</f>
        <v>#REF!</v>
      </c>
      <c r="H25" s="122" t="e">
        <f>IF(AND('2.报价结算清单'!#REF!&gt;0,'2.报价结算清单'!#REF!&lt;&gt;0,'2.报价结算清单'!#REF!&lt;&gt;0),'2.报价结算清单'!#REF!,"")</f>
        <v>#REF!</v>
      </c>
      <c r="I25" s="105" t="e">
        <f>IF(AND('2.报价结算清单'!#REF!&gt;0,'2.报价结算清单'!#REF!&lt;&gt;0,'2.报价结算清单'!#REF!&lt;&gt;0),'2.报价结算清单'!#REF!,"")</f>
        <v>#REF!</v>
      </c>
      <c r="J25" s="105" t="e">
        <f>IF(AND('2.报价结算清单'!#REF!&gt;0,'2.报价结算清单'!#REF!&lt;&gt;0,'2.报价结算清单'!#REF!&lt;&gt;0),'2.报价结算清单'!#REF!,"")</f>
        <v>#REF!</v>
      </c>
      <c r="K25" s="105" t="e">
        <f>IF(AND('2.报价结算清单'!#REF!&gt;0,'2.报价结算清单'!#REF!&lt;&gt;0,'2.报价结算清单'!#REF!&lt;&gt;0),'2.报价结算清单'!#REF!,"")</f>
        <v>#REF!</v>
      </c>
      <c r="L25" s="105" t="e">
        <f>IF(AND('2.报价结算清单'!#REF!&gt;0,'2.报价结算清单'!#REF!&lt;&gt;0,'2.报价结算清单'!#REF!&lt;&gt;0),"天","")</f>
        <v>#REF!</v>
      </c>
      <c r="M25" s="80" t="e">
        <f t="shared" si="2"/>
        <v>#REF!</v>
      </c>
      <c r="N25" s="78" t="str">
        <f t="shared" si="3"/>
        <v/>
      </c>
      <c r="O25" s="78" t="e">
        <f>IF(AND('2.报价结算清单'!#REF!&gt;0,'2.报价结算清单'!#REF!&lt;&gt;0,'2.报价结算清单'!#REF!&lt;&gt;0),'2.报价结算清单'!#REF!,"")</f>
        <v>#REF!</v>
      </c>
      <c r="P25" s="78" t="e">
        <f>IF(AND('2.报价结算清单'!#REF!&gt;0,'2.报价结算清单'!#REF!&lt;&gt;0,'2.报价结算清单'!#REF!&lt;&gt;0),'2.报价结算清单'!#REF!,"")</f>
        <v>#REF!</v>
      </c>
      <c r="Q25" s="78" t="e">
        <f>IF(F25="",J25,VLOOKUP(F25,框架条目清单!A:K,4,FALSE))</f>
        <v>#REF!</v>
      </c>
      <c r="R25" s="106" t="e">
        <f>IF($A25="","",'2.报价结算清单'!$K$183)</f>
        <v>#REF!</v>
      </c>
      <c r="S25" s="80" t="e">
        <f>IF($A25="","",'2.报价结算清单'!$E$183)</f>
        <v>#REF!</v>
      </c>
      <c r="T25" s="78" t="e">
        <f>IF(F25="","",VLOOKUP(F25,框架条目清单!A:K,7,FALSE))</f>
        <v>#REF!</v>
      </c>
      <c r="U25" s="78" t="e">
        <f>IF(F25="","",VLOOKUP(F25,框架条目清单!A:K,8,FALSE))</f>
        <v>#REF!</v>
      </c>
      <c r="V25" s="78" t="e">
        <f>IF(F25="","",VLOOKUP(F25,框架条目清单!A:K,9,FALSE))</f>
        <v>#REF!</v>
      </c>
    </row>
    <row r="26" spans="1:22">
      <c r="A26" s="78" t="str">
        <f>IF(AND('2.报价结算清单'!$P54&gt;0,'2.报价结算清单'!$B54&lt;&gt;0,'2.报价结算清单'!$F54&lt;&gt;0),'2.报价结算清单'!$F54,"")</f>
        <v/>
      </c>
      <c r="B26" s="78" t="str">
        <f>_xlfn.IFNA(VLOOKUP(A26,'3.框架内物料'!$A:$I,3,0),A26)</f>
        <v/>
      </c>
      <c r="C26" s="78" t="str">
        <f>IF(AND('2.报价结算清单'!$P54&gt;0,'2.报价结算清单'!$B54&lt;&gt;0,'2.报价结算清单'!C54&lt;&gt;0),'2.报价结算清单'!C54,"")</f>
        <v/>
      </c>
      <c r="D26" s="78" t="str">
        <f>IF(AND('2.报价结算清单'!$P54&gt;0,'2.报价结算清单'!$B54&lt;&gt;0,'2.报价结算清单'!D54&lt;&gt;0),'2.报价结算清单'!D54,"")</f>
        <v/>
      </c>
      <c r="E26" s="78" t="str">
        <f>IF(AND('2.报价结算清单'!$P54&gt;0,'2.报价结算清单'!$B54&lt;&gt;0,'2.报价结算清单'!E54&lt;&gt;0),'2.报价结算清单'!E54,"")</f>
        <v/>
      </c>
      <c r="F26" s="105" t="str">
        <f>_xlfn.IFNA(IF($A26="","",IF(VLOOKUP($A26,'3.框架内物料'!$A:$I,2,0)="","",VLOOKUP($A26,'3.框架内物料'!$A:$I,2,0))),"")</f>
        <v/>
      </c>
      <c r="G26" s="87" t="str">
        <f>IF(AND('2.报价结算清单'!$P54&gt;0,'2.报价结算清单'!$B54&lt;&gt;0,'2.报价结算清单'!H54&lt;&gt;0),'2.报价结算清单'!H54,"")</f>
        <v/>
      </c>
      <c r="H26" s="122" t="str">
        <f>IF(AND('2.报价结算清单'!$P54&gt;0,'2.报价结算清单'!$B54&lt;&gt;0,'2.报价结算清单'!$F54&lt;&gt;0),'2.报价结算清单'!J54,"")</f>
        <v/>
      </c>
      <c r="I26" s="105" t="str">
        <f>IF(AND('2.报价结算清单'!$P54&gt;0,'2.报价结算清单'!$B54&lt;&gt;0,'2.报价结算清单'!$F54&lt;&gt;0),'2.报价结算清单'!L54,"")</f>
        <v/>
      </c>
      <c r="J26" s="105" t="str">
        <f>IF(AND('2.报价结算清单'!$P54&gt;0,'2.报价结算清单'!$B54&lt;&gt;0,'2.报价结算清单'!I54&lt;&gt;0),'2.报价结算清单'!I54,"")</f>
        <v/>
      </c>
      <c r="K26" s="105" t="str">
        <f>IF(AND('2.报价结算清单'!$P54&gt;0,'2.报价结算清单'!$B54&lt;&gt;0,'2.报价结算清单'!$F54&lt;&gt;0),'2.报价结算清单'!N54,"")</f>
        <v/>
      </c>
      <c r="L26" s="105" t="str">
        <f>IF(AND('2.报价结算清单'!$P54&gt;0,'2.报价结算清单'!$B54&lt;&gt;0,'2.报价结算清单'!I54&lt;&gt;0),"天","")</f>
        <v/>
      </c>
      <c r="M26" s="80" t="str">
        <f t="shared" si="2"/>
        <v/>
      </c>
      <c r="N26" s="78" t="str">
        <f t="shared" si="3"/>
        <v/>
      </c>
      <c r="O26" s="78" t="str">
        <f>IF(AND('2.报价结算清单'!$P54&gt;0,'2.报价结算清单'!$B54&lt;&gt;0,'2.报价结算清单'!S54&lt;&gt;0),'2.报价结算清单'!S54,"")</f>
        <v/>
      </c>
      <c r="P26" s="78" t="str">
        <f>IF(AND('2.报价结算清单'!$P54&gt;0,'2.报价结算清单'!$B54&lt;&gt;0,'2.报价结算清单'!T54&lt;&gt;0),'2.报价结算清单'!T54,"")</f>
        <v/>
      </c>
      <c r="Q26" s="78" t="str">
        <f>IF(F26="",J26,VLOOKUP(F26,框架条目清单!A:K,4,FALSE))</f>
        <v/>
      </c>
      <c r="R26" s="106" t="str">
        <f>IF($A26="","",'2.报价结算清单'!$K$183)</f>
        <v/>
      </c>
      <c r="S26" s="80" t="str">
        <f>IF($A26="","",'2.报价结算清单'!$E$183)</f>
        <v/>
      </c>
      <c r="T26" s="78" t="str">
        <f>IF(F26="","",VLOOKUP(F26,框架条目清单!A:K,7,FALSE))</f>
        <v/>
      </c>
      <c r="U26" s="78" t="str">
        <f>IF(F26="","",VLOOKUP(F26,框架条目清单!A:K,8,FALSE))</f>
        <v/>
      </c>
      <c r="V26" s="78" t="str">
        <f>IF(F26="","",VLOOKUP(F26,框架条目清单!A:K,9,FALSE))</f>
        <v/>
      </c>
    </row>
    <row r="27" spans="1:22">
      <c r="A27" s="78" t="str">
        <f>IF(AND('2.报价结算清单'!$P55&gt;0,'2.报价结算清单'!$B55&lt;&gt;0,'2.报价结算清单'!$F55&lt;&gt;0),'2.报价结算清单'!$F55,"")</f>
        <v/>
      </c>
      <c r="B27" s="78" t="str">
        <f>_xlfn.IFNA(VLOOKUP(A27,'3.框架内物料'!$A:$I,3,0),A27)</f>
        <v/>
      </c>
      <c r="C27" s="78" t="str">
        <f>IF(AND('2.报价结算清单'!$P55&gt;0,'2.报价结算清单'!$B55&lt;&gt;0,'2.报价结算清单'!C55&lt;&gt;0),'2.报价结算清单'!C55,"")</f>
        <v/>
      </c>
      <c r="D27" s="78" t="str">
        <f>IF(AND('2.报价结算清单'!$P55&gt;0,'2.报价结算清单'!$B55&lt;&gt;0,'2.报价结算清单'!D55&lt;&gt;0),'2.报价结算清单'!D55,"")</f>
        <v/>
      </c>
      <c r="E27" s="78" t="str">
        <f>IF(AND('2.报价结算清单'!$P55&gt;0,'2.报价结算清单'!$B55&lt;&gt;0,'2.报价结算清单'!E55&lt;&gt;0),'2.报价结算清单'!E55,"")</f>
        <v/>
      </c>
      <c r="F27" s="105" t="str">
        <f>_xlfn.IFNA(IF($A27="","",IF(VLOOKUP($A27,'3.框架内物料'!$A:$I,2,0)="","",VLOOKUP($A27,'3.框架内物料'!$A:$I,2,0))),"")</f>
        <v/>
      </c>
      <c r="G27" s="87" t="str">
        <f>IF(AND('2.报价结算清单'!$P55&gt;0,'2.报价结算清单'!$B55&lt;&gt;0,'2.报价结算清单'!H55&lt;&gt;0),'2.报价结算清单'!H55,"")</f>
        <v/>
      </c>
      <c r="H27" s="122" t="str">
        <f>IF(AND('2.报价结算清单'!$P55&gt;0,'2.报价结算清单'!$B55&lt;&gt;0,'2.报价结算清单'!$F55&lt;&gt;0),'2.报价结算清单'!J55,"")</f>
        <v/>
      </c>
      <c r="I27" s="105" t="str">
        <f>IF(AND('2.报价结算清单'!$P55&gt;0,'2.报价结算清单'!$B55&lt;&gt;0,'2.报价结算清单'!$F55&lt;&gt;0),'2.报价结算清单'!L55,"")</f>
        <v/>
      </c>
      <c r="J27" s="105" t="str">
        <f>IF(AND('2.报价结算清单'!$P55&gt;0,'2.报价结算清单'!$B55&lt;&gt;0,'2.报价结算清单'!I55&lt;&gt;0),'2.报价结算清单'!I55,"")</f>
        <v/>
      </c>
      <c r="K27" s="105" t="str">
        <f>IF(AND('2.报价结算清单'!$P55&gt;0,'2.报价结算清单'!$B55&lt;&gt;0,'2.报价结算清单'!$F55&lt;&gt;0),'2.报价结算清单'!N55,"")</f>
        <v/>
      </c>
      <c r="L27" s="105" t="str">
        <f>IF(AND('2.报价结算清单'!$P55&gt;0,'2.报价结算清单'!$B55&lt;&gt;0,'2.报价结算清单'!I55&lt;&gt;0),"天","")</f>
        <v/>
      </c>
      <c r="M27" s="80" t="str">
        <f t="shared" si="2"/>
        <v/>
      </c>
      <c r="N27" s="78" t="str">
        <f t="shared" si="3"/>
        <v/>
      </c>
      <c r="O27" s="78" t="str">
        <f>IF(AND('2.报价结算清单'!$P55&gt;0,'2.报价结算清单'!$B55&lt;&gt;0,'2.报价结算清单'!S55&lt;&gt;0),'2.报价结算清单'!S55,"")</f>
        <v/>
      </c>
      <c r="P27" s="78" t="str">
        <f>IF(AND('2.报价结算清单'!$P55&gt;0,'2.报价结算清单'!$B55&lt;&gt;0,'2.报价结算清单'!T55&lt;&gt;0),'2.报价结算清单'!T55,"")</f>
        <v/>
      </c>
      <c r="Q27" s="78" t="str">
        <f>IF(F27="",J27,VLOOKUP(F27,框架条目清单!A:K,4,FALSE))</f>
        <v/>
      </c>
      <c r="R27" s="106" t="str">
        <f>IF($A27="","",'2.报价结算清单'!$K$183)</f>
        <v/>
      </c>
      <c r="S27" s="80" t="str">
        <f>IF($A27="","",'2.报价结算清单'!$E$183)</f>
        <v/>
      </c>
      <c r="T27" s="78" t="str">
        <f>IF(F27="","",VLOOKUP(F27,框架条目清单!A:K,7,FALSE))</f>
        <v/>
      </c>
      <c r="U27" s="78" t="str">
        <f>IF(F27="","",VLOOKUP(F27,框架条目清单!A:K,8,FALSE))</f>
        <v/>
      </c>
      <c r="V27" s="78" t="str">
        <f>IF(F27="","",VLOOKUP(F27,框架条目清单!A:K,9,FALSE))</f>
        <v/>
      </c>
    </row>
    <row r="28" spans="1:22">
      <c r="A28" s="78" t="str">
        <f>IF(AND('2.报价结算清单'!$P56&gt;0,'2.报价结算清单'!$B56&lt;&gt;0,'2.报价结算清单'!$F56&lt;&gt;0),'2.报价结算清单'!$F56,"")</f>
        <v>C#035</v>
      </c>
      <c r="B28" s="78" t="str">
        <f>_xlfn.IFNA(VLOOKUP(A28,'3.框架内物料'!$A:$I,3,0),A28)</f>
        <v>第三方人员类</v>
      </c>
      <c r="C28" s="78" t="str">
        <f>IF(AND('2.报价结算清单'!$P56&gt;0,'2.报价结算清单'!$B56&lt;&gt;0,'2.报价结算清单'!C56&lt;&gt;0),'2.报价结算清单'!C56,"")</f>
        <v>机场+酒店</v>
      </c>
      <c r="D28" s="78" t="str">
        <f>IF(AND('2.报价结算清单'!$P56&gt;0,'2.报价结算清单'!$B56&lt;&gt;0,'2.报价结算清单'!D56&lt;&gt;0),'2.报价结算清单'!D56,"")</f>
        <v>云摄影</v>
      </c>
      <c r="E28" s="78" t="str">
        <f>IF(AND('2.报价结算清单'!$P56&gt;0,'2.报价结算清单'!$B56&lt;&gt;0,'2.报价结算清单'!E56&lt;&gt;0),'2.报价结算清单'!E56,"")</f>
        <v>云摄影</v>
      </c>
      <c r="F28" s="105" t="str">
        <f>_xlfn.IFNA(IF($A28="","",IF(VLOOKUP($A28,'3.框架内物料'!$A:$I,2,0)="","",VLOOKUP($A28,'3.框架内物料'!$A:$I,2,0))),"")</f>
        <v/>
      </c>
      <c r="G28" s="87" t="str">
        <f>IF(AND('2.报价结算清单'!$P56&gt;0,'2.报价结算清单'!$B56&lt;&gt;0,'2.报价结算清单'!H56&lt;&gt;0),'2.报价结算清单'!H56,"")</f>
        <v>第三方人员类-侧拍摄影摄像-云摄影-摄影师+修图+平台使用-人员劳务费及基础拍摄设备。不含住宿、交通、补贴等费用，每天不超过8小时，彩排与活动日价格一致</v>
      </c>
      <c r="H28" s="122">
        <f>IF(AND('2.报价结算清单'!$P56&gt;0,'2.报价结算清单'!$B56&lt;&gt;0,'2.报价结算清单'!$F56&lt;&gt;0),'2.报价结算清单'!J56,"")</f>
        <v>3498.33</v>
      </c>
      <c r="I28" s="105">
        <f>IF(AND('2.报价结算清单'!$P56&gt;0,'2.报价结算清单'!$B56&lt;&gt;0,'2.报价结算清单'!$F56&lt;&gt;0),'2.报价结算清单'!L56,"")</f>
        <v>5</v>
      </c>
      <c r="J28" s="105" t="str">
        <f>IF(AND('2.报价结算清单'!$P56&gt;0,'2.报价结算清单'!$B56&lt;&gt;0,'2.报价结算清单'!I56&lt;&gt;0),'2.报价结算清单'!I56,"")</f>
        <v>人/天</v>
      </c>
      <c r="K28" s="105">
        <f>IF(AND('2.报价结算清单'!$P56&gt;0,'2.报价结算清单'!$B56&lt;&gt;0,'2.报价结算清单'!$F56&lt;&gt;0),'2.报价结算清单'!N56,"")</f>
        <v>6</v>
      </c>
      <c r="L28" s="105" t="str">
        <f>IF(AND('2.报价结算清单'!$P56&gt;0,'2.报价结算清单'!$B56&lt;&gt;0,'2.报价结算清单'!I56&lt;&gt;0),"天","")</f>
        <v>天</v>
      </c>
      <c r="M28" s="80" t="str">
        <f t="shared" si="2"/>
        <v>框架内</v>
      </c>
      <c r="N28" s="78">
        <f t="shared" si="3"/>
        <v>104949.90000000001</v>
      </c>
      <c r="O28" s="78" t="str">
        <f>IF(AND('2.报价结算清单'!$P56&gt;0,'2.报价结算清单'!$B56&lt;&gt;0,'2.报价结算清单'!S56&lt;&gt;0),'2.报价结算清单'!S56,"")</f>
        <v>主播侧酒店3位，机场2位</v>
      </c>
      <c r="P28" s="78" t="str">
        <f>IF(AND('2.报价结算清单'!$P56&gt;0,'2.报价结算清单'!$B56&lt;&gt;0,'2.报价结算清单'!T56&lt;&gt;0),'2.报价结算清单'!T56,"")</f>
        <v/>
      </c>
      <c r="Q28" s="78" t="str">
        <f>IF(F28="",J28,VLOOKUP(F28,框架条目清单!A:K,4,FALSE))</f>
        <v>人/天</v>
      </c>
      <c r="R28" s="106">
        <f>IF($A28="","",'2.报价结算清单'!$K$183)</f>
        <v>0.06</v>
      </c>
      <c r="S28" s="80" t="str">
        <f>IF($A28="","",'2.报价结算清单'!$E$183)</f>
        <v>CNY</v>
      </c>
      <c r="T28" s="78" t="str">
        <f>IF(F28="","",VLOOKUP(F28,框架条目清单!A:K,7,FALSE))</f>
        <v/>
      </c>
      <c r="U28" s="78" t="str">
        <f>IF(F28="","",VLOOKUP(F28,框架条目清单!A:K,8,FALSE))</f>
        <v/>
      </c>
      <c r="V28" s="78" t="str">
        <f>IF(F28="","",VLOOKUP(F28,框架条目清单!A:K,9,FALSE))</f>
        <v/>
      </c>
    </row>
    <row r="29" spans="1:22">
      <c r="A29" s="78" t="str">
        <f>IF(AND('2.报价结算清单'!$P57&gt;0,'2.报价结算清单'!$B57&lt;&gt;0,'2.报价结算清单'!$F57&lt;&gt;0),'2.报价结算清单'!$F57,"")</f>
        <v>C#035</v>
      </c>
      <c r="B29" s="78" t="str">
        <f>_xlfn.IFNA(VLOOKUP(A29,'3.框架内物料'!$A:$I,3,0),A29)</f>
        <v>第三方人员类</v>
      </c>
      <c r="C29" s="78" t="str">
        <f>IF(AND('2.报价结算清单'!$P57&gt;0,'2.报价结算清单'!$B57&lt;&gt;0,'2.报价结算清单'!C57&lt;&gt;0),'2.报价结算清单'!C57,"")</f>
        <v>机场+酒店</v>
      </c>
      <c r="D29" s="78" t="str">
        <f>IF(AND('2.报价结算清单'!$P57&gt;0,'2.报价结算清单'!$B57&lt;&gt;0,'2.报价结算清单'!D57&lt;&gt;0),'2.报价结算清单'!D57,"")</f>
        <v>云摄影</v>
      </c>
      <c r="E29" s="78" t="str">
        <f>IF(AND('2.报价结算清单'!$P57&gt;0,'2.报价结算清单'!$B57&lt;&gt;0,'2.报价结算清单'!E57&lt;&gt;0),'2.报价结算清单'!E57,"")</f>
        <v>云摄影</v>
      </c>
      <c r="F29" s="105" t="str">
        <f>_xlfn.IFNA(IF($A29="","",IF(VLOOKUP($A29,'3.框架内物料'!$A:$I,2,0)="","",VLOOKUP($A29,'3.框架内物料'!$A:$I,2,0))),"")</f>
        <v/>
      </c>
      <c r="G29" s="87" t="str">
        <f>IF(AND('2.报价结算清单'!$P57&gt;0,'2.报价结算清单'!$B57&lt;&gt;0,'2.报价结算清单'!H57&lt;&gt;0),'2.报价结算清单'!H57,"")</f>
        <v>第三方人员类-侧拍摄影摄像-云摄影-摄影师+修图+平台使用-人员劳务费及基础拍摄设备。不含住宿、交通、补贴等费用，每天不超过8小时，彩排与活动日价格一致</v>
      </c>
      <c r="H29" s="122">
        <f>IF(AND('2.报价结算清单'!$P57&gt;0,'2.报价结算清单'!$B57&lt;&gt;0,'2.报价结算清单'!$F57&lt;&gt;0),'2.报价结算清单'!J57,"")</f>
        <v>3498.33</v>
      </c>
      <c r="I29" s="105">
        <f>IF(AND('2.报价结算清单'!$P57&gt;0,'2.报价结算清单'!$B57&lt;&gt;0,'2.报价结算清单'!$F57&lt;&gt;0),'2.报价结算清单'!L57,"")</f>
        <v>2</v>
      </c>
      <c r="J29" s="105" t="str">
        <f>IF(AND('2.报价结算清单'!$P57&gt;0,'2.报价结算清单'!$B57&lt;&gt;0,'2.报价结算清单'!I57&lt;&gt;0),'2.报价结算清单'!I57,"")</f>
        <v>人/天</v>
      </c>
      <c r="K29" s="105">
        <f>IF(AND('2.报价结算清单'!$P57&gt;0,'2.报价结算清单'!$B57&lt;&gt;0,'2.报价结算清单'!$F57&lt;&gt;0),'2.报价结算清单'!N57,"")</f>
        <v>2</v>
      </c>
      <c r="L29" s="105" t="str">
        <f>IF(AND('2.报价结算清单'!$P57&gt;0,'2.报价结算清单'!$B57&lt;&gt;0,'2.报价结算清单'!I57&lt;&gt;0),"天","")</f>
        <v>天</v>
      </c>
      <c r="M29" s="80" t="str">
        <f t="shared" si="2"/>
        <v>框架内</v>
      </c>
      <c r="N29" s="78">
        <f t="shared" si="3"/>
        <v>13993.32</v>
      </c>
      <c r="O29" s="78" t="str">
        <f>IF(AND('2.报价结算清单'!$P57&gt;0,'2.报价结算清单'!$B57&lt;&gt;0,'2.报价结算清单'!S57&lt;&gt;0),'2.报价结算清单'!S57,"")</f>
        <v>VIP侧机场1位，酒店1位</v>
      </c>
      <c r="P29" s="78" t="str">
        <f>IF(AND('2.报价结算清单'!$P57&gt;0,'2.报价结算清单'!$B57&lt;&gt;0,'2.报价结算清单'!T57&lt;&gt;0),'2.报价结算清单'!T57,"")</f>
        <v/>
      </c>
      <c r="Q29" s="78" t="str">
        <f>IF(F29="",J29,VLOOKUP(F29,框架条目清单!A:K,4,FALSE))</f>
        <v>人/天</v>
      </c>
      <c r="R29" s="106">
        <f>IF($A29="","",'2.报价结算清单'!$K$183)</f>
        <v>0.06</v>
      </c>
      <c r="S29" s="80" t="str">
        <f>IF($A29="","",'2.报价结算清单'!$E$183)</f>
        <v>CNY</v>
      </c>
      <c r="T29" s="78" t="str">
        <f>IF(F29="","",VLOOKUP(F29,框架条目清单!A:K,7,FALSE))</f>
        <v/>
      </c>
      <c r="U29" s="78" t="str">
        <f>IF(F29="","",VLOOKUP(F29,框架条目清单!A:K,8,FALSE))</f>
        <v/>
      </c>
      <c r="V29" s="78" t="str">
        <f>IF(F29="","",VLOOKUP(F29,框架条目清单!A:K,9,FALSE))</f>
        <v/>
      </c>
    </row>
    <row r="30" spans="1:22">
      <c r="A30" s="78" t="str">
        <f>IF(AND('2.报价结算清单'!$P58&gt;0,'2.报价结算清单'!$B58&lt;&gt;0,'2.报价结算清单'!$F58&lt;&gt;0),'2.报价结算清单'!$F58,"")</f>
        <v>C#052</v>
      </c>
      <c r="B30" s="78" t="str">
        <f>_xlfn.IFNA(VLOOKUP(A30,'3.框架内物料'!$A:$I,3,0),A30)</f>
        <v>第三方人员类</v>
      </c>
      <c r="C30" s="78" t="str">
        <f>IF(AND('2.报价结算清单'!$P58&gt;0,'2.报价结算清单'!$B58&lt;&gt;0,'2.报价结算清单'!C58&lt;&gt;0),'2.报价结算清单'!C58,"")</f>
        <v>机场</v>
      </c>
      <c r="D30" s="78" t="str">
        <f>IF(AND('2.报价结算清单'!$P58&gt;0,'2.报价结算清单'!$B58&lt;&gt;0,'2.报价结算清单'!D58&lt;&gt;0),'2.报价结算清单'!D58,"")</f>
        <v>机场礼仪</v>
      </c>
      <c r="E30" s="78" t="str">
        <f>IF(AND('2.报价结算清单'!$P58&gt;0,'2.报价结算清单'!$B58&lt;&gt;0,'2.报价结算清单'!E58&lt;&gt;0),'2.报价结算清单'!E58,"")</f>
        <v>机场礼仪</v>
      </c>
      <c r="F30" s="105" t="str">
        <f>_xlfn.IFNA(IF($A30="","",IF(VLOOKUP($A30,'3.框架内物料'!$A:$I,2,0)="","",VLOOKUP($A30,'3.框架内物料'!$A:$I,2,0))),"")</f>
        <v/>
      </c>
      <c r="G30" s="87" t="str">
        <f>IF(AND('2.报价结算清单'!$P58&gt;0,'2.报价结算清单'!$B58&lt;&gt;0,'2.报价结算清单'!H58&lt;&gt;0),'2.报价结算清单'!H58,"")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H30" s="122">
        <f>IF(AND('2.报价结算清单'!$P58&gt;0,'2.报价结算清单'!$B58&lt;&gt;0,'2.报价结算清单'!$F58&lt;&gt;0),'2.报价结算清单'!J58,"")</f>
        <v>948</v>
      </c>
      <c r="I30" s="105">
        <f>IF(AND('2.报价结算清单'!$P58&gt;0,'2.报价结算清单'!$B58&lt;&gt;0,'2.报价结算清单'!$F58&lt;&gt;0),'2.报价结算清单'!L58,"")</f>
        <v>5</v>
      </c>
      <c r="J30" s="105" t="str">
        <f>IF(AND('2.报价结算清单'!$P58&gt;0,'2.报价结算清单'!$B58&lt;&gt;0,'2.报价结算清单'!I58&lt;&gt;0),'2.报价结算清单'!I58,"")</f>
        <v>人/场</v>
      </c>
      <c r="K30" s="105">
        <f>IF(AND('2.报价结算清单'!$P58&gt;0,'2.报价结算清单'!$B58&lt;&gt;0,'2.报价结算清单'!$F58&lt;&gt;0),'2.报价结算清单'!N58,"")</f>
        <v>3</v>
      </c>
      <c r="L30" s="105" t="str">
        <f>IF(AND('2.报价结算清单'!$P58&gt;0,'2.报价结算清单'!$B58&lt;&gt;0,'2.报价结算清单'!I58&lt;&gt;0),"天","")</f>
        <v>天</v>
      </c>
      <c r="M30" s="80" t="str">
        <f t="shared" si="2"/>
        <v>框架内</v>
      </c>
      <c r="N30" s="78">
        <f t="shared" si="3"/>
        <v>14220</v>
      </c>
      <c r="O30" s="78" t="str">
        <f>IF(AND('2.报价结算清单'!$P58&gt;0,'2.报价结算清单'!$B58&lt;&gt;0,'2.报价结算清单'!S58&lt;&gt;0),'2.报价结算清单'!S58,"")</f>
        <v>机场主播侧3个，VIP侧2个</v>
      </c>
      <c r="P30" s="78" t="str">
        <f>IF(AND('2.报价结算清单'!$P58&gt;0,'2.报价结算清单'!$B58&lt;&gt;0,'2.报价结算清单'!T58&lt;&gt;0),'2.报价结算清单'!T58,"")</f>
        <v/>
      </c>
      <c r="Q30" s="78" t="str">
        <f>IF(F30="",J30,VLOOKUP(F30,框架条目清单!A:K,4,FALSE))</f>
        <v>人/场</v>
      </c>
      <c r="R30" s="106">
        <f>IF($A30="","",'2.报价结算清单'!$K$183)</f>
        <v>0.06</v>
      </c>
      <c r="S30" s="80" t="str">
        <f>IF($A30="","",'2.报价结算清单'!$E$183)</f>
        <v>CNY</v>
      </c>
      <c r="T30" s="78" t="str">
        <f>IF(F30="","",VLOOKUP(F30,框架条目清单!A:K,7,FALSE))</f>
        <v/>
      </c>
      <c r="U30" s="78" t="str">
        <f>IF(F30="","",VLOOKUP(F30,框架条目清单!A:K,8,FALSE))</f>
        <v/>
      </c>
      <c r="V30" s="78" t="str">
        <f>IF(F30="","",VLOOKUP(F30,框架条目清单!A:K,9,FALSE))</f>
        <v/>
      </c>
    </row>
    <row r="31" spans="1:22">
      <c r="A31" s="78" t="str">
        <f>IF(AND('2.报价结算清单'!$P60&gt;0,'2.报价结算清单'!$B60&lt;&gt;0,'2.报价结算清单'!$F60&lt;&gt;0),'2.报价结算清单'!$F60,"")</f>
        <v>C#052</v>
      </c>
      <c r="B31" s="78" t="str">
        <f>_xlfn.IFNA(VLOOKUP(A31,'3.框架内物料'!$A:$I,3,0),A31)</f>
        <v>第三方人员类</v>
      </c>
      <c r="C31" s="78" t="str">
        <f>IF(AND('2.报价结算清单'!$P60&gt;0,'2.报价结算清单'!$B60&lt;&gt;0,'2.报价结算清单'!C60&lt;&gt;0),'2.报价结算清单'!C60,"")</f>
        <v>酒店</v>
      </c>
      <c r="D31" s="78" t="str">
        <f>IF(AND('2.报价结算清单'!$P60&gt;0,'2.报价结算清单'!$B60&lt;&gt;0,'2.报价结算清单'!D60&lt;&gt;0),'2.报价结算清单'!D60,"")</f>
        <v>酒店礼仪</v>
      </c>
      <c r="E31" s="78" t="str">
        <f>IF(AND('2.报价结算清单'!$P60&gt;0,'2.报价结算清单'!$B60&lt;&gt;0,'2.报价结算清单'!E60&lt;&gt;0),'2.报价结算清单'!E60,"")</f>
        <v>酒店礼仪</v>
      </c>
      <c r="F31" s="105" t="str">
        <f>_xlfn.IFNA(IF($A31="","",IF(VLOOKUP($A31,'3.框架内物料'!$A:$I,2,0)="","",VLOOKUP($A31,'3.框架内物料'!$A:$I,2,0))),"")</f>
        <v/>
      </c>
      <c r="G31" s="87" t="str">
        <f>IF(AND('2.报价结算清单'!$P60&gt;0,'2.报价结算清单'!$B60&lt;&gt;0,'2.报价结算清单'!H60&lt;&gt;0),'2.报价结算清单'!H60,"")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H31" s="122">
        <f>IF(AND('2.报价结算清单'!$P60&gt;0,'2.报价结算清单'!$B60&lt;&gt;0,'2.报价结算清单'!$F60&lt;&gt;0),'2.报价结算清单'!J60,"")</f>
        <v>948</v>
      </c>
      <c r="I31" s="105">
        <f>IF(AND('2.报价结算清单'!$P60&gt;0,'2.报价结算清单'!$B60&lt;&gt;0,'2.报价结算清单'!$F60&lt;&gt;0),'2.报价结算清单'!L60,"")</f>
        <v>5</v>
      </c>
      <c r="J31" s="105" t="str">
        <f>IF(AND('2.报价结算清单'!$P60&gt;0,'2.报价结算清单'!$B60&lt;&gt;0,'2.报价结算清单'!I60&lt;&gt;0),'2.报价结算清单'!I60,"")</f>
        <v>人/场</v>
      </c>
      <c r="K31" s="105">
        <f>IF(AND('2.报价结算清单'!$P60&gt;0,'2.报价结算清单'!$B60&lt;&gt;0,'2.报价结算清单'!$F60&lt;&gt;0),'2.报价结算清单'!N60,"")</f>
        <v>7</v>
      </c>
      <c r="L31" s="105" t="str">
        <f>IF(AND('2.报价结算清单'!$P60&gt;0,'2.报价结算清单'!$B60&lt;&gt;0,'2.报价结算清单'!I60&lt;&gt;0),"天","")</f>
        <v>天</v>
      </c>
      <c r="M31" s="80" t="str">
        <f t="shared" si="2"/>
        <v>框架内</v>
      </c>
      <c r="N31" s="78">
        <f t="shared" si="3"/>
        <v>33180</v>
      </c>
      <c r="O31" s="78" t="str">
        <f>IF(AND('2.报价结算清单'!$P60&gt;0,'2.报价结算清单'!$B60&lt;&gt;0,'2.报价结算清单'!S60&lt;&gt;0),'2.报价结算清单'!S60,"")</f>
        <v>主播酒店礼仪</v>
      </c>
      <c r="P31" s="78" t="str">
        <f>IF(AND('2.报价结算清单'!$P60&gt;0,'2.报价结算清单'!$B60&lt;&gt;0,'2.报价结算清单'!T60&lt;&gt;0),'2.报价结算清单'!T60,"")</f>
        <v/>
      </c>
      <c r="Q31" s="78" t="str">
        <f>IF(F31="",J31,VLOOKUP(F31,框架条目清单!A:K,4,FALSE))</f>
        <v>人/场</v>
      </c>
      <c r="R31" s="106">
        <f>IF($A31="","",'2.报价结算清单'!$K$183)</f>
        <v>0.06</v>
      </c>
      <c r="S31" s="80" t="str">
        <f>IF($A31="","",'2.报价结算清单'!$E$183)</f>
        <v>CNY</v>
      </c>
      <c r="T31" s="78" t="str">
        <f>IF(F31="","",VLOOKUP(F31,框架条目清单!A:K,7,FALSE))</f>
        <v/>
      </c>
      <c r="U31" s="78" t="str">
        <f>IF(F31="","",VLOOKUP(F31,框架条目清单!A:K,8,FALSE))</f>
        <v/>
      </c>
      <c r="V31" s="78" t="str">
        <f>IF(F31="","",VLOOKUP(F31,框架条目清单!A:K,9,FALSE))</f>
        <v/>
      </c>
    </row>
    <row r="32" spans="1:22">
      <c r="A32" s="78" t="str">
        <f>IF(AND('2.报价结算清单'!$P61&gt;0,'2.报价结算清单'!$B61&lt;&gt;0,'2.报价结算清单'!$F61&lt;&gt;0),'2.报价结算清单'!$F61,"")</f>
        <v>K#010</v>
      </c>
      <c r="B32" s="78" t="str">
        <f>_xlfn.IFNA(VLOOKUP(A32,'3.框架内物料'!$A:$I,3,0),A32)</f>
        <v>报批及安保</v>
      </c>
      <c r="C32" s="78" t="str">
        <f>IF(AND('2.报价结算清单'!$P61&gt;0,'2.报价结算清单'!$B61&lt;&gt;0,'2.报价结算清单'!C61&lt;&gt;0),'2.报价结算清单'!C61,"")</f>
        <v>酒店</v>
      </c>
      <c r="D32" s="78" t="str">
        <f>IF(AND('2.报价结算清单'!$P61&gt;0,'2.报价结算清单'!$B61&lt;&gt;0,'2.报价结算清单'!D61&lt;&gt;0),'2.报价结算清单'!D61,"")</f>
        <v>酒店安保</v>
      </c>
      <c r="E32" s="78" t="str">
        <f>IF(AND('2.报价结算清单'!$P61&gt;0,'2.报价结算清单'!$B61&lt;&gt;0,'2.报价结算清单'!E61&lt;&gt;0),'2.报价结算清单'!E61,"")</f>
        <v>酒店安保</v>
      </c>
      <c r="F32" s="105" t="str">
        <f>_xlfn.IFNA(IF($A32="","",IF(VLOOKUP($A32,'3.框架内物料'!$A:$I,2,0)="","",VLOOKUP($A32,'3.框架内物料'!$A:$I,2,0))),"")</f>
        <v/>
      </c>
      <c r="G32" s="87" t="str">
        <f>IF(AND('2.报价结算清单'!$P61&gt;0,'2.报价结算清单'!$B61&lt;&gt;0,'2.报价结算清单'!H61&lt;&gt;0),'2.报价结算清单'!H61,"")</f>
        <v>报批及安保-运营人员-保障组-高级保安-内场安保（对形象有要求）人员劳务费，每场不超过8小时，含个税</v>
      </c>
      <c r="H32" s="122">
        <f>IF(AND('2.报价结算清单'!$P61&gt;0,'2.报价结算清单'!$B61&lt;&gt;0,'2.报价结算清单'!$F61&lt;&gt;0),'2.报价结算清单'!J61,"")</f>
        <v>742</v>
      </c>
      <c r="I32" s="105">
        <f>IF(AND('2.报价结算清单'!$P61&gt;0,'2.报价结算清单'!$B61&lt;&gt;0,'2.报价结算清单'!$F61&lt;&gt;0),'2.报价结算清单'!L61,"")</f>
        <v>20</v>
      </c>
      <c r="J32" s="105" t="str">
        <f>IF(AND('2.报价结算清单'!$P61&gt;0,'2.报价结算清单'!$B61&lt;&gt;0,'2.报价结算清单'!I61&lt;&gt;0),'2.报价结算清单'!I61,"")</f>
        <v>人/场</v>
      </c>
      <c r="K32" s="105">
        <f>IF(AND('2.报价结算清单'!$P61&gt;0,'2.报价结算清单'!$B61&lt;&gt;0,'2.报价结算清单'!$F61&lt;&gt;0),'2.报价结算清单'!N61,"")</f>
        <v>7</v>
      </c>
      <c r="L32" s="105" t="str">
        <f>IF(AND('2.报价结算清单'!$P61&gt;0,'2.报价结算清单'!$B61&lt;&gt;0,'2.报价结算清单'!I61&lt;&gt;0),"天","")</f>
        <v>天</v>
      </c>
      <c r="M32" s="80" t="str">
        <f t="shared" si="2"/>
        <v>框架内</v>
      </c>
      <c r="N32" s="78">
        <f t="shared" si="3"/>
        <v>103880</v>
      </c>
      <c r="O32" s="78" t="str">
        <f>IF(AND('2.报价结算清单'!$P61&gt;0,'2.报价结算清单'!$B61&lt;&gt;0,'2.报价结算清单'!S61&lt;&gt;0),'2.报价结算清单'!S61,"")</f>
        <v>主播侧24小时安保倒班巡逻</v>
      </c>
      <c r="P32" s="78" t="str">
        <f>IF(AND('2.报价结算清单'!$P61&gt;0,'2.报价结算清单'!$B61&lt;&gt;0,'2.报价结算清单'!T61&lt;&gt;0),'2.报价结算清单'!T61,"")</f>
        <v/>
      </c>
      <c r="Q32" s="78" t="str">
        <f>IF(F32="",J32,VLOOKUP(F32,框架条目清单!A:K,4,FALSE))</f>
        <v>人/场</v>
      </c>
      <c r="R32" s="106">
        <f>IF($A32="","",'2.报价结算清单'!$K$183)</f>
        <v>0.06</v>
      </c>
      <c r="S32" s="80" t="str">
        <f>IF($A32="","",'2.报价结算清单'!$E$183)</f>
        <v>CNY</v>
      </c>
      <c r="T32" s="78" t="str">
        <f>IF(F32="","",VLOOKUP(F32,框架条目清单!A:K,7,FALSE))</f>
        <v/>
      </c>
      <c r="U32" s="78" t="str">
        <f>IF(F32="","",VLOOKUP(F32,框架条目清单!A:K,8,FALSE))</f>
        <v/>
      </c>
      <c r="V32" s="78" t="str">
        <f>IF(F32="","",VLOOKUP(F32,框架条目清单!A:K,9,FALSE))</f>
        <v/>
      </c>
    </row>
    <row r="33" spans="1:22">
      <c r="A33" s="78" t="e">
        <f>IF(AND('2.报价结算清单'!#REF!&gt;0,'2.报价结算清单'!#REF!&lt;&gt;0,'2.报价结算清单'!#REF!&lt;&gt;0),'2.报价结算清单'!#REF!,"")</f>
        <v>#REF!</v>
      </c>
      <c r="B33" s="78" t="e">
        <f>_xlfn.IFNA(VLOOKUP(A33,'3.框架内物料'!$A:$I,3,0),A33)</f>
        <v>#REF!</v>
      </c>
      <c r="C33" s="78" t="e">
        <f>IF(AND('2.报价结算清单'!#REF!&gt;0,'2.报价结算清单'!#REF!&lt;&gt;0,'2.报价结算清单'!#REF!&lt;&gt;0),'2.报价结算清单'!#REF!,"")</f>
        <v>#REF!</v>
      </c>
      <c r="D33" s="78" t="e">
        <f>IF(AND('2.报价结算清单'!#REF!&gt;0,'2.报价结算清单'!#REF!&lt;&gt;0,'2.报价结算清单'!#REF!&lt;&gt;0),'2.报价结算清单'!#REF!,"")</f>
        <v>#REF!</v>
      </c>
      <c r="E33" s="78" t="e">
        <f>IF(AND('2.报价结算清单'!#REF!&gt;0,'2.报价结算清单'!#REF!&lt;&gt;0,'2.报价结算清单'!#REF!&lt;&gt;0),'2.报价结算清单'!#REF!,"")</f>
        <v>#REF!</v>
      </c>
      <c r="F33" s="105" t="e">
        <f>_xlfn.IFNA(IF($A33="","",IF(VLOOKUP($A33,'3.框架内物料'!$A:$I,2,0)="","",VLOOKUP($A33,'3.框架内物料'!$A:$I,2,0))),"")</f>
        <v>#REF!</v>
      </c>
      <c r="G33" s="87" t="e">
        <f>IF(AND('2.报价结算清单'!#REF!&gt;0,'2.报价结算清单'!#REF!&lt;&gt;0,'2.报价结算清单'!#REF!&lt;&gt;0),'2.报价结算清单'!#REF!,"")</f>
        <v>#REF!</v>
      </c>
      <c r="H33" s="122" t="e">
        <f>IF(AND('2.报价结算清单'!#REF!&gt;0,'2.报价结算清单'!#REF!&lt;&gt;0,'2.报价结算清单'!#REF!&lt;&gt;0),'2.报价结算清单'!#REF!,"")</f>
        <v>#REF!</v>
      </c>
      <c r="I33" s="105" t="e">
        <f>IF(AND('2.报价结算清单'!#REF!&gt;0,'2.报价结算清单'!#REF!&lt;&gt;0,'2.报价结算清单'!#REF!&lt;&gt;0),'2.报价结算清单'!#REF!,"")</f>
        <v>#REF!</v>
      </c>
      <c r="J33" s="105" t="e">
        <f>IF(AND('2.报价结算清单'!#REF!&gt;0,'2.报价结算清单'!#REF!&lt;&gt;0,'2.报价结算清单'!#REF!&lt;&gt;0),'2.报价结算清单'!#REF!,"")</f>
        <v>#REF!</v>
      </c>
      <c r="K33" s="105" t="e">
        <f>IF(AND('2.报价结算清单'!#REF!&gt;0,'2.报价结算清单'!#REF!&lt;&gt;0,'2.报价结算清单'!#REF!&lt;&gt;0),'2.报价结算清单'!#REF!,"")</f>
        <v>#REF!</v>
      </c>
      <c r="L33" s="105" t="e">
        <f>IF(AND('2.报价结算清单'!#REF!&gt;0,'2.报价结算清单'!#REF!&lt;&gt;0,'2.报价结算清单'!#REF!&lt;&gt;0),"天","")</f>
        <v>#REF!</v>
      </c>
      <c r="M33" s="80" t="e">
        <f t="shared" si="2"/>
        <v>#REF!</v>
      </c>
      <c r="N33" s="78" t="str">
        <f t="shared" si="3"/>
        <v/>
      </c>
      <c r="O33" s="78" t="e">
        <f>IF(AND('2.报价结算清单'!#REF!&gt;0,'2.报价结算清单'!#REF!&lt;&gt;0,'2.报价结算清单'!#REF!&lt;&gt;0),'2.报价结算清单'!#REF!,"")</f>
        <v>#REF!</v>
      </c>
      <c r="P33" s="78" t="e">
        <f>IF(AND('2.报价结算清单'!#REF!&gt;0,'2.报价结算清单'!#REF!&lt;&gt;0,'2.报价结算清单'!#REF!&lt;&gt;0),'2.报价结算清单'!#REF!,"")</f>
        <v>#REF!</v>
      </c>
      <c r="Q33" s="78" t="e">
        <f>IF(F33="",J33,VLOOKUP(F33,框架条目清单!A:K,4,FALSE))</f>
        <v>#REF!</v>
      </c>
      <c r="R33" s="106" t="e">
        <f>IF($A33="","",'2.报价结算清单'!$K$183)</f>
        <v>#REF!</v>
      </c>
      <c r="S33" s="80" t="e">
        <f>IF($A33="","",'2.报价结算清单'!$E$183)</f>
        <v>#REF!</v>
      </c>
      <c r="T33" s="78" t="e">
        <f>IF(F33="","",VLOOKUP(F33,框架条目清单!A:K,7,FALSE))</f>
        <v>#REF!</v>
      </c>
      <c r="U33" s="78" t="e">
        <f>IF(F33="","",VLOOKUP(F33,框架条目清单!A:K,8,FALSE))</f>
        <v>#REF!</v>
      </c>
      <c r="V33" s="78" t="e">
        <f>IF(F33="","",VLOOKUP(F33,框架条目清单!A:K,9,FALSE))</f>
        <v>#REF!</v>
      </c>
    </row>
    <row r="34" spans="1:22">
      <c r="A34" s="78" t="str">
        <f>IF(AND('2.报价结算清单'!$P62&gt;0,'2.报价结算清单'!$B62&lt;&gt;0,'2.报价结算清单'!$F62&lt;&gt;0),'2.报价结算清单'!$F62,"")</f>
        <v>K#010</v>
      </c>
      <c r="B34" s="78" t="str">
        <f>_xlfn.IFNA(VLOOKUP(A34,'3.框架内物料'!$A:$I,3,0),A34)</f>
        <v>报批及安保</v>
      </c>
      <c r="C34" s="78" t="str">
        <f>IF(AND('2.报价结算清单'!$P62&gt;0,'2.报价结算清单'!$B62&lt;&gt;0,'2.报价结算清单'!C62&lt;&gt;0),'2.报价结算清单'!C62,"")</f>
        <v>酒店</v>
      </c>
      <c r="D34" s="78" t="str">
        <f>IF(AND('2.报价结算清单'!$P62&gt;0,'2.报价结算清单'!$B62&lt;&gt;0,'2.报价结算清单'!D62&lt;&gt;0),'2.报价结算清单'!D62,"")</f>
        <v>酒店安保</v>
      </c>
      <c r="E34" s="78" t="str">
        <f>IF(AND('2.报价结算清单'!$P62&gt;0,'2.报价结算清单'!$B62&lt;&gt;0,'2.报价结算清单'!E62&lt;&gt;0),'2.报价结算清单'!E62,"")</f>
        <v>酒店安保</v>
      </c>
      <c r="F34" s="105" t="str">
        <f>_xlfn.IFNA(IF($A34="","",IF(VLOOKUP($A34,'3.框架内物料'!$A:$I,2,0)="","",VLOOKUP($A34,'3.框架内物料'!$A:$I,2,0))),"")</f>
        <v/>
      </c>
      <c r="G34" s="87" t="str">
        <f>IF(AND('2.报价结算清单'!$P62&gt;0,'2.报价结算清单'!$B62&lt;&gt;0,'2.报价结算清单'!H62&lt;&gt;0),'2.报价结算清单'!H62,"")</f>
        <v>报批及安保-运营人员-保障组-高级保安-内场安保（对形象有要求）人员劳务费，每场不超过8小时，含个税</v>
      </c>
      <c r="H34" s="122">
        <f>IF(AND('2.报价结算清单'!$P62&gt;0,'2.报价结算清单'!$B62&lt;&gt;0,'2.报价结算清单'!$F62&lt;&gt;0),'2.报价结算清单'!J62,"")</f>
        <v>742</v>
      </c>
      <c r="I34" s="105">
        <f>IF(AND('2.报价结算清单'!$P62&gt;0,'2.报价结算清单'!$B62&lt;&gt;0,'2.报价结算清单'!$F62&lt;&gt;0),'2.报价结算清单'!L62,"")</f>
        <v>4</v>
      </c>
      <c r="J34" s="105" t="str">
        <f>IF(AND('2.报价结算清单'!$P62&gt;0,'2.报价结算清单'!$B62&lt;&gt;0,'2.报价结算清单'!I62&lt;&gt;0),'2.报价结算清单'!I62,"")</f>
        <v>人/场</v>
      </c>
      <c r="K34" s="105">
        <f>IF(AND('2.报价结算清单'!$P62&gt;0,'2.报价结算清单'!$B62&lt;&gt;0,'2.报价结算清单'!$F62&lt;&gt;0),'2.报价结算清单'!N62,"")</f>
        <v>3</v>
      </c>
      <c r="L34" s="105" t="str">
        <f>IF(AND('2.报价结算清单'!$P62&gt;0,'2.报价结算清单'!$B62&lt;&gt;0,'2.报价结算清单'!I62&lt;&gt;0),"天","")</f>
        <v>天</v>
      </c>
      <c r="M34" s="80" t="str">
        <f t="shared" si="2"/>
        <v>框架内</v>
      </c>
      <c r="N34" s="78">
        <f t="shared" si="3"/>
        <v>8904</v>
      </c>
      <c r="O34" s="78" t="str">
        <f>IF(AND('2.报价结算清单'!$P62&gt;0,'2.报价结算清单'!$B62&lt;&gt;0,'2.报价结算清单'!S62&lt;&gt;0),'2.报价结算清单'!S62,"")</f>
        <v>VIP酒店安保</v>
      </c>
      <c r="P34" s="78" t="str">
        <f>IF(AND('2.报价结算清单'!$P62&gt;0,'2.报价结算清单'!$B62&lt;&gt;0,'2.报价结算清单'!T62&lt;&gt;0),'2.报价结算清单'!T62,"")</f>
        <v/>
      </c>
      <c r="Q34" s="78" t="str">
        <f>IF(F34="",J34,VLOOKUP(F34,框架条目清单!A:K,4,FALSE))</f>
        <v>人/场</v>
      </c>
      <c r="R34" s="106">
        <f>IF($A34="","",'2.报价结算清单'!$K$183)</f>
        <v>0.06</v>
      </c>
      <c r="S34" s="80" t="str">
        <f>IF($A34="","",'2.报价结算清单'!$E$183)</f>
        <v>CNY</v>
      </c>
      <c r="T34" s="78" t="str">
        <f>IF(F34="","",VLOOKUP(F34,框架条目清单!A:K,7,FALSE))</f>
        <v/>
      </c>
      <c r="U34" s="78" t="str">
        <f>IF(F34="","",VLOOKUP(F34,框架条目清单!A:K,8,FALSE))</f>
        <v/>
      </c>
      <c r="V34" s="78" t="str">
        <f>IF(F34="","",VLOOKUP(F34,框架条目清单!A:K,9,FALSE))</f>
        <v/>
      </c>
    </row>
    <row r="35" spans="1:22">
      <c r="A35" s="78" t="str">
        <f>IF(AND('2.报价结算清单'!$P65&gt;0,'2.报价结算清单'!$B65&lt;&gt;0,'2.报价结算清单'!$F65&lt;&gt;0),'2.报价结算清单'!$F65,"")</f>
        <v/>
      </c>
      <c r="B35" s="78" t="str">
        <f>_xlfn.IFNA(VLOOKUP(A35,'3.框架内物料'!$A:$I,3,0),A35)</f>
        <v/>
      </c>
      <c r="C35" s="78" t="str">
        <f>IF(AND('2.报价结算清单'!$P65&gt;0,'2.报价结算清单'!$B65&lt;&gt;0,'2.报价结算清单'!C65&lt;&gt;0),'2.报价结算清单'!C65,"")</f>
        <v/>
      </c>
      <c r="D35" s="78" t="str">
        <f>IF(AND('2.报价结算清单'!$P65&gt;0,'2.报价结算清单'!$B65&lt;&gt;0,'2.报价结算清单'!D65&lt;&gt;0),'2.报价结算清单'!D65,"")</f>
        <v/>
      </c>
      <c r="E35" s="78" t="str">
        <f>IF(AND('2.报价结算清单'!$P65&gt;0,'2.报价结算清单'!$B65&lt;&gt;0,'2.报价结算清单'!E65&lt;&gt;0),'2.报价结算清单'!E65,"")</f>
        <v/>
      </c>
      <c r="F35" s="105" t="str">
        <f>_xlfn.IFNA(IF($A35="","",IF(VLOOKUP($A35,'3.框架内物料'!$A:$I,2,0)="","",VLOOKUP($A35,'3.框架内物料'!$A:$I,2,0))),"")</f>
        <v/>
      </c>
      <c r="G35" s="87" t="str">
        <f>IF(AND('2.报价结算清单'!$P65&gt;0,'2.报价结算清单'!$B65&lt;&gt;0,'2.报价结算清单'!H65&lt;&gt;0),'2.报价结算清单'!H65,"")</f>
        <v/>
      </c>
      <c r="H35" s="122" t="str">
        <f>IF(AND('2.报价结算清单'!$P65&gt;0,'2.报价结算清单'!$B65&lt;&gt;0,'2.报价结算清单'!$F65&lt;&gt;0),'2.报价结算清单'!J65,"")</f>
        <v/>
      </c>
      <c r="I35" s="105" t="str">
        <f>IF(AND('2.报价结算清单'!$P65&gt;0,'2.报价结算清单'!$B65&lt;&gt;0,'2.报价结算清单'!$F65&lt;&gt;0),'2.报价结算清单'!L65,"")</f>
        <v/>
      </c>
      <c r="J35" s="105" t="str">
        <f>IF(AND('2.报价结算清单'!$P65&gt;0,'2.报价结算清单'!$B65&lt;&gt;0,'2.报价结算清单'!I65&lt;&gt;0),'2.报价结算清单'!I65,"")</f>
        <v/>
      </c>
      <c r="K35" s="105" t="str">
        <f>IF(AND('2.报价结算清单'!$P65&gt;0,'2.报价结算清单'!$B65&lt;&gt;0,'2.报价结算清单'!$F65&lt;&gt;0),'2.报价结算清单'!N65,"")</f>
        <v/>
      </c>
      <c r="L35" s="105" t="str">
        <f>IF(AND('2.报价结算清单'!$P65&gt;0,'2.报价结算清单'!$B65&lt;&gt;0,'2.报价结算清单'!I65&lt;&gt;0),"天","")</f>
        <v/>
      </c>
      <c r="M35" s="80" t="str">
        <f t="shared" si="2"/>
        <v/>
      </c>
      <c r="N35" s="78" t="str">
        <f t="shared" si="3"/>
        <v/>
      </c>
      <c r="O35" s="78" t="str">
        <f>IF(AND('2.报价结算清单'!$P65&gt;0,'2.报价结算清单'!$B65&lt;&gt;0,'2.报价结算清单'!S65&lt;&gt;0),'2.报价结算清单'!S65,"")</f>
        <v/>
      </c>
      <c r="P35" s="78" t="str">
        <f>IF(AND('2.报价结算清单'!$P65&gt;0,'2.报价结算清单'!$B65&lt;&gt;0,'2.报价结算清单'!T65&lt;&gt;0),'2.报价结算清单'!T65,"")</f>
        <v/>
      </c>
      <c r="Q35" s="78" t="str">
        <f>IF(F35="",J35,VLOOKUP(F35,框架条目清单!A:K,4,FALSE))</f>
        <v/>
      </c>
      <c r="R35" s="106" t="str">
        <f>IF($A35="","",'2.报价结算清单'!$K$183)</f>
        <v/>
      </c>
      <c r="S35" s="80" t="str">
        <f>IF($A35="","",'2.报价结算清单'!$E$183)</f>
        <v/>
      </c>
      <c r="T35" s="78" t="str">
        <f>IF(F35="","",VLOOKUP(F35,框架条目清单!A:K,7,FALSE))</f>
        <v/>
      </c>
      <c r="U35" s="78" t="str">
        <f>IF(F35="","",VLOOKUP(F35,框架条目清单!A:K,8,FALSE))</f>
        <v/>
      </c>
      <c r="V35" s="78" t="str">
        <f>IF(F35="","",VLOOKUP(F35,框架条目清单!A:K,9,FALSE))</f>
        <v/>
      </c>
    </row>
    <row r="36" spans="1:22">
      <c r="A36" s="78" t="str">
        <f>IF(AND('2.报价结算清单'!$P66&gt;0,'2.报价结算清单'!$B66&lt;&gt;0,'2.报价结算清单'!$F66&lt;&gt;0),'2.报价结算清单'!$F66,"")</f>
        <v/>
      </c>
      <c r="B36" s="78" t="str">
        <f>_xlfn.IFNA(VLOOKUP(A36,'3.框架内物料'!$A:$I,3,0),A36)</f>
        <v/>
      </c>
      <c r="C36" s="78" t="str">
        <f>IF(AND('2.报价结算清单'!$P66&gt;0,'2.报价结算清单'!$B66&lt;&gt;0,'2.报价结算清单'!C66&lt;&gt;0),'2.报价结算清单'!C66,"")</f>
        <v/>
      </c>
      <c r="D36" s="78" t="str">
        <f>IF(AND('2.报价结算清单'!$P66&gt;0,'2.报价结算清单'!$B66&lt;&gt;0,'2.报价结算清单'!D66&lt;&gt;0),'2.报价结算清单'!D66,"")</f>
        <v/>
      </c>
      <c r="E36" s="78" t="str">
        <f>IF(AND('2.报价结算清单'!$P66&gt;0,'2.报价结算清单'!$B66&lt;&gt;0,'2.报价结算清单'!E66&lt;&gt;0),'2.报价结算清单'!E66,"")</f>
        <v/>
      </c>
      <c r="F36" s="105" t="str">
        <f>_xlfn.IFNA(IF($A36="","",IF(VLOOKUP($A36,'3.框架内物料'!$A:$I,2,0)="","",VLOOKUP($A36,'3.框架内物料'!$A:$I,2,0))),"")</f>
        <v/>
      </c>
      <c r="G36" s="87" t="str">
        <f>IF(AND('2.报价结算清单'!$P66&gt;0,'2.报价结算清单'!$B66&lt;&gt;0,'2.报价结算清单'!H66&lt;&gt;0),'2.报价结算清单'!H66,"")</f>
        <v/>
      </c>
      <c r="H36" s="122" t="str">
        <f>IF(AND('2.报价结算清单'!$P66&gt;0,'2.报价结算清单'!$B66&lt;&gt;0,'2.报价结算清单'!$F66&lt;&gt;0),'2.报价结算清单'!J66,"")</f>
        <v/>
      </c>
      <c r="I36" s="105" t="str">
        <f>IF(AND('2.报价结算清单'!$P66&gt;0,'2.报价结算清单'!$B66&lt;&gt;0,'2.报价结算清单'!$F66&lt;&gt;0),'2.报价结算清单'!L66,"")</f>
        <v/>
      </c>
      <c r="J36" s="105" t="str">
        <f>IF(AND('2.报价结算清单'!$P66&gt;0,'2.报价结算清单'!$B66&lt;&gt;0,'2.报价结算清单'!I66&lt;&gt;0),'2.报价结算清单'!I66,"")</f>
        <v/>
      </c>
      <c r="K36" s="105" t="str">
        <f>IF(AND('2.报价结算清单'!$P66&gt;0,'2.报价结算清单'!$B66&lt;&gt;0,'2.报价结算清单'!$F66&lt;&gt;0),'2.报价结算清单'!N66,"")</f>
        <v/>
      </c>
      <c r="L36" s="105" t="str">
        <f>IF(AND('2.报价结算清单'!$P66&gt;0,'2.报价结算清单'!$B66&lt;&gt;0,'2.报价结算清单'!I66&lt;&gt;0),"天","")</f>
        <v/>
      </c>
      <c r="M36" s="80" t="str">
        <f t="shared" si="2"/>
        <v/>
      </c>
      <c r="N36" s="78" t="str">
        <f t="shared" si="3"/>
        <v/>
      </c>
      <c r="O36" s="78" t="str">
        <f>IF(AND('2.报价结算清单'!$P66&gt;0,'2.报价结算清单'!$B66&lt;&gt;0,'2.报价结算清单'!S66&lt;&gt;0),'2.报价结算清单'!S66,"")</f>
        <v/>
      </c>
      <c r="P36" s="78" t="str">
        <f>IF(AND('2.报价结算清单'!$P66&gt;0,'2.报价结算清单'!$B66&lt;&gt;0,'2.报价结算清单'!T66&lt;&gt;0),'2.报价结算清单'!T66,"")</f>
        <v/>
      </c>
      <c r="Q36" s="78" t="str">
        <f>IF(F36="",J36,VLOOKUP(F36,框架条目清单!A:K,4,FALSE))</f>
        <v/>
      </c>
      <c r="R36" s="106" t="str">
        <f>IF($A36="","",'2.报价结算清单'!$K$183)</f>
        <v/>
      </c>
      <c r="S36" s="80" t="str">
        <f>IF($A36="","",'2.报价结算清单'!$E$183)</f>
        <v/>
      </c>
      <c r="T36" s="78" t="str">
        <f>IF(F36="","",VLOOKUP(F36,框架条目清单!A:K,7,FALSE))</f>
        <v/>
      </c>
      <c r="U36" s="78" t="str">
        <f>IF(F36="","",VLOOKUP(F36,框架条目清单!A:K,8,FALSE))</f>
        <v/>
      </c>
      <c r="V36" s="78" t="str">
        <f>IF(F36="","",VLOOKUP(F36,框架条目清单!A:K,9,FALSE))</f>
        <v/>
      </c>
    </row>
    <row r="37" spans="1:22">
      <c r="A37" s="78" t="str">
        <f>IF(AND('2.报价结算清单'!$P67&gt;0,'2.报价结算清单'!$B67&lt;&gt;0,'2.报价结算清单'!$F67&lt;&gt;0),'2.报价结算清单'!$F67,"")</f>
        <v>D#001</v>
      </c>
      <c r="B37" s="78" t="str">
        <f>_xlfn.IFNA(VLOOKUP(A37,'3.框架内物料'!$A:$I,3,0),A37)</f>
        <v>Onsite 人员</v>
      </c>
      <c r="C37" s="78" t="str">
        <f>IF(AND('2.报价结算清单'!$P67&gt;0,'2.报价结算清单'!$B67&lt;&gt;0,'2.报价结算清单'!C67&lt;&gt;0),'2.报价结算清单'!C67,"")</f>
        <v>工作人员</v>
      </c>
      <c r="D37" s="78" t="str">
        <f>IF(AND('2.报价结算清单'!$P67&gt;0,'2.报价结算清单'!$B67&lt;&gt;0,'2.报价结算清单'!D67&lt;&gt;0),'2.报价结算清单'!D67,"")</f>
        <v>工作人员</v>
      </c>
      <c r="E37" s="78" t="str">
        <f>IF(AND('2.报价结算清单'!$P67&gt;0,'2.报价结算清单'!$B67&lt;&gt;0,'2.报价结算清单'!E67&lt;&gt;0),'2.报价结算清单'!E67,"")</f>
        <v>项目总监</v>
      </c>
      <c r="F37" s="105" t="str">
        <f>_xlfn.IFNA(IF($A37="","",IF(VLOOKUP($A37,'3.框架内物料'!$A:$I,2,0)="","",VLOOKUP($A37,'3.框架内物料'!$A:$I,2,0))),"")</f>
        <v/>
      </c>
      <c r="G37" s="87" t="str">
        <f>IF(AND('2.报价结算清单'!$P67&gt;0,'2.报价结算清单'!$B67&lt;&gt;0,'2.报价结算清单'!H67&lt;&gt;0),'2.报价结算清单'!H67,"")</f>
        <v>Onsite 人员-服务人员-项目总监-人员劳务费。不含住宿、交通、补贴等费用，每天不超过8小时</v>
      </c>
      <c r="H37" s="122">
        <f>IF(AND('2.报价结算清单'!$P67&gt;0,'2.报价结算清单'!$B67&lt;&gt;0,'2.报价结算清单'!$F67&lt;&gt;0),'2.报价结算清单'!J67,"")</f>
        <v>1060</v>
      </c>
      <c r="I37" s="105">
        <f>IF(AND('2.报价结算清单'!$P67&gt;0,'2.报价结算清单'!$B67&lt;&gt;0,'2.报价结算清单'!$F67&lt;&gt;0),'2.报价结算清单'!L67,"")</f>
        <v>1</v>
      </c>
      <c r="J37" s="105" t="str">
        <f>IF(AND('2.报价结算清单'!$P67&gt;0,'2.报价结算清单'!$B67&lt;&gt;0,'2.报价结算清单'!I67&lt;&gt;0),'2.报价结算清单'!I67,"")</f>
        <v>人/天</v>
      </c>
      <c r="K37" s="105">
        <f>IF(AND('2.报价结算清单'!$P67&gt;0,'2.报价结算清单'!$B67&lt;&gt;0,'2.报价结算清单'!$F67&lt;&gt;0),'2.报价结算清单'!N67,"")</f>
        <v>9</v>
      </c>
      <c r="L37" s="105" t="str">
        <f>IF(AND('2.报价结算清单'!$P67&gt;0,'2.报价结算清单'!$B67&lt;&gt;0,'2.报价结算清单'!I67&lt;&gt;0),"天","")</f>
        <v>天</v>
      </c>
      <c r="M37" s="80" t="str">
        <f t="shared" si="2"/>
        <v>框架内</v>
      </c>
      <c r="N37" s="78">
        <f t="shared" si="3"/>
        <v>9540</v>
      </c>
      <c r="O37" s="78" t="str">
        <f>IF(AND('2.报价结算清单'!$P67&gt;0,'2.报价结算清单'!$B67&lt;&gt;0,'2.报价结算清单'!S67&lt;&gt;0),'2.报价结算清单'!S67,"")</f>
        <v/>
      </c>
      <c r="P37" s="78" t="str">
        <f>IF(AND('2.报价结算清单'!$P67&gt;0,'2.报价结算清单'!$B67&lt;&gt;0,'2.报价结算清单'!T67&lt;&gt;0),'2.报价结算清单'!T67,"")</f>
        <v/>
      </c>
      <c r="Q37" s="78" t="str">
        <f>IF(F37="",J37,VLOOKUP(F37,框架条目清单!A:K,4,FALSE))</f>
        <v>人/天</v>
      </c>
      <c r="R37" s="106">
        <f>IF($A37="","",'2.报价结算清单'!$K$183)</f>
        <v>0.06</v>
      </c>
      <c r="S37" s="80" t="str">
        <f>IF($A37="","",'2.报价结算清单'!$E$183)</f>
        <v>CNY</v>
      </c>
      <c r="T37" s="78" t="str">
        <f>IF(F37="","",VLOOKUP(F37,框架条目清单!A:K,7,FALSE))</f>
        <v/>
      </c>
      <c r="U37" s="78" t="str">
        <f>IF(F37="","",VLOOKUP(F37,框架条目清单!A:K,8,FALSE))</f>
        <v/>
      </c>
      <c r="V37" s="78" t="str">
        <f>IF(F37="","",VLOOKUP(F37,框架条目清单!A:K,9,FALSE))</f>
        <v/>
      </c>
    </row>
    <row r="38" spans="1:22">
      <c r="A38" s="78" t="str">
        <f>IF(AND('2.报价结算清单'!$P68&gt;0,'2.报价结算清单'!$B68&lt;&gt;0,'2.报价结算清单'!$F68&lt;&gt;0),'2.报价结算清单'!$F68,"")</f>
        <v>D#002</v>
      </c>
      <c r="B38" s="78" t="str">
        <f>_xlfn.IFNA(VLOOKUP(A38,'3.框架内物料'!$A:$I,3,0),A38)</f>
        <v>Onsite 人员</v>
      </c>
      <c r="C38" s="78" t="str">
        <f>IF(AND('2.报价结算清单'!$P68&gt;0,'2.报价结算清单'!$B68&lt;&gt;0,'2.报价结算清单'!C68&lt;&gt;0),'2.报价结算清单'!C68,"")</f>
        <v>工作人员</v>
      </c>
      <c r="D38" s="78" t="str">
        <f>IF(AND('2.报价结算清单'!$P68&gt;0,'2.报价结算清单'!$B68&lt;&gt;0,'2.报价结算清单'!D68&lt;&gt;0),'2.报价结算清单'!D68,"")</f>
        <v>工作人员</v>
      </c>
      <c r="E38" s="78" t="str">
        <f>IF(AND('2.报价结算清单'!$P68&gt;0,'2.报价结算清单'!$B68&lt;&gt;0,'2.报价结算清单'!E68&lt;&gt;0),'2.报价结算清单'!E68,"")</f>
        <v>项目经理</v>
      </c>
      <c r="F38" s="105" t="str">
        <f>_xlfn.IFNA(IF($A38="","",IF(VLOOKUP($A38,'3.框架内物料'!$A:$I,2,0)="","",VLOOKUP($A38,'3.框架内物料'!$A:$I,2,0))),"")</f>
        <v/>
      </c>
      <c r="G38" s="87" t="str">
        <f>IF(AND('2.报价结算清单'!$P68&gt;0,'2.报价结算清单'!$B68&lt;&gt;0,'2.报价结算清单'!H68&lt;&gt;0),'2.报价结算清单'!H68,"")</f>
        <v>Onsite 人员-服务人员-项目经理-人员劳务费。不含住宿、交通、补贴等费用，每天不超过8小时</v>
      </c>
      <c r="H38" s="122">
        <f>IF(AND('2.报价结算清单'!$P68&gt;0,'2.报价结算清单'!$B68&lt;&gt;0,'2.报价结算清单'!$F68&lt;&gt;0),'2.报价结算清单'!J68,"")</f>
        <v>848</v>
      </c>
      <c r="I38" s="105">
        <f>IF(AND('2.报价结算清单'!$P68&gt;0,'2.报价结算清单'!$B68&lt;&gt;0,'2.报价结算清单'!$F68&lt;&gt;0),'2.报价结算清单'!L68,"")</f>
        <v>1</v>
      </c>
      <c r="J38" s="105" t="str">
        <f>IF(AND('2.报价结算清单'!$P68&gt;0,'2.报价结算清单'!$B68&lt;&gt;0,'2.报价结算清单'!I68&lt;&gt;0),'2.报价结算清单'!I68,"")</f>
        <v>人/天</v>
      </c>
      <c r="K38" s="105">
        <f>IF(AND('2.报价结算清单'!$P68&gt;0,'2.报价结算清单'!$B68&lt;&gt;0,'2.报价结算清单'!$F68&lt;&gt;0),'2.报价结算清单'!N68,"")</f>
        <v>9</v>
      </c>
      <c r="L38" s="105" t="str">
        <f>IF(AND('2.报价结算清单'!$P68&gt;0,'2.报价结算清单'!$B68&lt;&gt;0,'2.报价结算清单'!I68&lt;&gt;0),"天","")</f>
        <v>天</v>
      </c>
      <c r="M38" s="80" t="str">
        <f t="shared" si="2"/>
        <v>框架内</v>
      </c>
      <c r="N38" s="78">
        <f t="shared" si="3"/>
        <v>7632</v>
      </c>
      <c r="O38" s="78" t="str">
        <f>IF(AND('2.报价结算清单'!$P68&gt;0,'2.报价结算清单'!$B68&lt;&gt;0,'2.报价结算清单'!S68&lt;&gt;0),'2.报价结算清单'!S68,"")</f>
        <v/>
      </c>
      <c r="P38" s="78" t="str">
        <f>IF(AND('2.报价结算清单'!$P68&gt;0,'2.报价结算清单'!$B68&lt;&gt;0,'2.报价结算清单'!T68&lt;&gt;0),'2.报价结算清单'!T68,"")</f>
        <v/>
      </c>
      <c r="Q38" s="78" t="str">
        <f>IF(F38="",J38,VLOOKUP(F38,框架条目清单!A:K,4,FALSE))</f>
        <v>人/天</v>
      </c>
      <c r="R38" s="106">
        <f>IF($A38="","",'2.报价结算清单'!$K$183)</f>
        <v>0.06</v>
      </c>
      <c r="S38" s="80" t="str">
        <f>IF($A38="","",'2.报价结算清单'!$E$183)</f>
        <v>CNY</v>
      </c>
      <c r="T38" s="78" t="str">
        <f>IF(F38="","",VLOOKUP(F38,框架条目清单!A:K,7,FALSE))</f>
        <v/>
      </c>
      <c r="U38" s="78" t="str">
        <f>IF(F38="","",VLOOKUP(F38,框架条目清单!A:K,8,FALSE))</f>
        <v/>
      </c>
      <c r="V38" s="78" t="str">
        <f>IF(F38="","",VLOOKUP(F38,框架条目清单!A:K,9,FALSE))</f>
        <v/>
      </c>
    </row>
    <row r="39" spans="1:22">
      <c r="A39" s="78" t="str">
        <f>IF(AND('2.报价结算清单'!$P69&gt;0,'2.报价结算清单'!$B69&lt;&gt;0,'2.报价结算清单'!$F69&lt;&gt;0),'2.报价结算清单'!$F69,"")</f>
        <v>D#003</v>
      </c>
      <c r="B39" s="78" t="str">
        <f>_xlfn.IFNA(VLOOKUP(A39,'3.框架内物料'!$A:$I,3,0),A39)</f>
        <v>Onsite 人员</v>
      </c>
      <c r="C39" s="78" t="str">
        <f>IF(AND('2.报价结算清单'!$P69&gt;0,'2.报价结算清单'!$B69&lt;&gt;0,'2.报价结算清单'!C69&lt;&gt;0),'2.报价结算清单'!C69,"")</f>
        <v>工作人员</v>
      </c>
      <c r="D39" s="78" t="str">
        <f>IF(AND('2.报价结算清单'!$P69&gt;0,'2.报价结算清单'!$B69&lt;&gt;0,'2.报价结算清单'!D69&lt;&gt;0),'2.报价结算清单'!D69,"")</f>
        <v>工作人员</v>
      </c>
      <c r="E39" s="78" t="str">
        <f>IF(AND('2.报价结算清单'!$P69&gt;0,'2.报价结算清单'!$B69&lt;&gt;0,'2.报价结算清单'!E69&lt;&gt;0),'2.报价结算清单'!E69,"")</f>
        <v>项目助理</v>
      </c>
      <c r="F39" s="105" t="str">
        <f>_xlfn.IFNA(IF($A39="","",IF(VLOOKUP($A39,'3.框架内物料'!$A:$I,2,0)="","",VLOOKUP($A39,'3.框架内物料'!$A:$I,2,0))),"")</f>
        <v/>
      </c>
      <c r="G39" s="87" t="str">
        <f>IF(AND('2.报价结算清单'!$P69&gt;0,'2.报价结算清单'!$B69&lt;&gt;0,'2.报价结算清单'!H69&lt;&gt;0),'2.报价结算清单'!H69,"")</f>
        <v>Onsite 人员-服务人员-项目助理-人员劳务费。不含住宿、交通、补贴等费用，每天不超过8小时</v>
      </c>
      <c r="H39" s="122">
        <f>IF(AND('2.报价结算清单'!$P69&gt;0,'2.报价结算清单'!$B69&lt;&gt;0,'2.报价结算清单'!$F69&lt;&gt;0),'2.报价结算清单'!J69,"")</f>
        <v>530</v>
      </c>
      <c r="I39" s="105">
        <f>IF(AND('2.报价结算清单'!$P69&gt;0,'2.报价结算清单'!$B69&lt;&gt;0,'2.报价结算清单'!$F69&lt;&gt;0),'2.报价结算清单'!L69,"")</f>
        <v>5</v>
      </c>
      <c r="J39" s="105" t="str">
        <f>IF(AND('2.报价结算清单'!$P69&gt;0,'2.报价结算清单'!$B69&lt;&gt;0,'2.报价结算清单'!I69&lt;&gt;0),'2.报价结算清单'!I69,"")</f>
        <v>人/天</v>
      </c>
      <c r="K39" s="105">
        <f>IF(AND('2.报价结算清单'!$P69&gt;0,'2.报价结算清单'!$B69&lt;&gt;0,'2.报价结算清单'!$F69&lt;&gt;0),'2.报价结算清单'!N69,"")</f>
        <v>9</v>
      </c>
      <c r="L39" s="105" t="str">
        <f>IF(AND('2.报价结算清单'!$P69&gt;0,'2.报价结算清单'!$B69&lt;&gt;0,'2.报价结算清单'!I69&lt;&gt;0),"天","")</f>
        <v>天</v>
      </c>
      <c r="M39" s="80" t="str">
        <f t="shared" si="2"/>
        <v>框架内</v>
      </c>
      <c r="N39" s="78">
        <f t="shared" si="3"/>
        <v>23850</v>
      </c>
      <c r="O39" s="78" t="str">
        <f>IF(AND('2.报价结算清单'!$P69&gt;0,'2.报价结算清单'!$B69&lt;&gt;0,'2.报价结算清单'!S69&lt;&gt;0),'2.报价结算清单'!S69,"")</f>
        <v/>
      </c>
      <c r="P39" s="78" t="str">
        <f>IF(AND('2.报价结算清单'!$P69&gt;0,'2.报价结算清单'!$B69&lt;&gt;0,'2.报价结算清单'!T69&lt;&gt;0),'2.报价结算清单'!T69,"")</f>
        <v/>
      </c>
      <c r="Q39" s="78" t="str">
        <f>IF(F39="",J39,VLOOKUP(F39,框架条目清单!A:K,4,FALSE))</f>
        <v>人/天</v>
      </c>
      <c r="R39" s="106">
        <f>IF($A39="","",'2.报价结算清单'!$K$183)</f>
        <v>0.06</v>
      </c>
      <c r="S39" s="80" t="str">
        <f>IF($A39="","",'2.报价结算清单'!$E$183)</f>
        <v>CNY</v>
      </c>
      <c r="T39" s="78" t="str">
        <f>IF(F39="","",VLOOKUP(F39,框架条目清单!A:K,7,FALSE))</f>
        <v/>
      </c>
      <c r="U39" s="78" t="str">
        <f>IF(F39="","",VLOOKUP(F39,框架条目清单!A:K,8,FALSE))</f>
        <v/>
      </c>
      <c r="V39" s="78" t="str">
        <f>IF(F39="","",VLOOKUP(F39,框架条目清单!A:K,9,FALSE))</f>
        <v/>
      </c>
    </row>
    <row r="40" spans="1:22">
      <c r="A40" s="78" t="str">
        <f>IF(AND('2.报价结算清单'!$P70&gt;0,'2.报价结算清单'!$B70&lt;&gt;0,'2.报价结算清单'!$F70&lt;&gt;0),'2.报价结算清单'!$F70,"")</f>
        <v>D#004</v>
      </c>
      <c r="B40" s="78" t="str">
        <f>_xlfn.IFNA(VLOOKUP(A40,'3.框架内物料'!$A:$I,3,0),A40)</f>
        <v>Onsite 人员</v>
      </c>
      <c r="C40" s="78" t="str">
        <f>IF(AND('2.报价结算清单'!$P70&gt;0,'2.报价结算清单'!$B70&lt;&gt;0,'2.报价结算清单'!C70&lt;&gt;0),'2.报价结算清单'!C70,"")</f>
        <v>工作人员</v>
      </c>
      <c r="D40" s="78" t="str">
        <f>IF(AND('2.报价结算清单'!$P70&gt;0,'2.报价结算清单'!$B70&lt;&gt;0,'2.报价结算清单'!D70&lt;&gt;0),'2.报价结算清单'!D70,"")</f>
        <v>工作人员</v>
      </c>
      <c r="E40" s="78" t="str">
        <f>IF(AND('2.报价结算清单'!$P70&gt;0,'2.报价结算清单'!$B70&lt;&gt;0,'2.报价结算清单'!E70&lt;&gt;0),'2.报价结算清单'!E70,"")</f>
        <v>地接上会服务人员</v>
      </c>
      <c r="F40" s="105" t="str">
        <f>_xlfn.IFNA(IF($A40="","",IF(VLOOKUP($A40,'3.框架内物料'!$A:$I,2,0)="","",VLOOKUP($A40,'3.框架内物料'!$A:$I,2,0))),"")</f>
        <v/>
      </c>
      <c r="G40" s="87" t="str">
        <f>IF(AND('2.报价结算清单'!$P70&gt;0,'2.报价结算清单'!$B70&lt;&gt;0,'2.报价结算清单'!H70&lt;&gt;0),'2.报价结算清单'!H70,"")</f>
        <v>Onsite 人员-服务人员-地接上会服务人员-人员劳务费。不含住宿、交通、补贴等费用，每天不超过8小时</v>
      </c>
      <c r="H40" s="122">
        <f>IF(AND('2.报价结算清单'!$P70&gt;0,'2.报价结算清单'!$B70&lt;&gt;0,'2.报价结算清单'!$F70&lt;&gt;0),'2.报价结算清单'!J70,"")</f>
        <v>530</v>
      </c>
      <c r="I40" s="105">
        <f>IF(AND('2.报价结算清单'!$P70&gt;0,'2.报价结算清单'!$B70&lt;&gt;0,'2.报价结算清单'!$F70&lt;&gt;0),'2.报价结算清单'!L70,"")</f>
        <v>42</v>
      </c>
      <c r="J40" s="105" t="str">
        <f>IF(AND('2.报价结算清单'!$P70&gt;0,'2.报价结算清单'!$B70&lt;&gt;0,'2.报价结算清单'!I70&lt;&gt;0),'2.报价结算清单'!I70,"")</f>
        <v>人/天</v>
      </c>
      <c r="K40" s="105">
        <f>IF(AND('2.报价结算清单'!$P70&gt;0,'2.报价结算清单'!$B70&lt;&gt;0,'2.报价结算清单'!$F70&lt;&gt;0),'2.报价结算清单'!N70,"")</f>
        <v>8</v>
      </c>
      <c r="L40" s="105" t="str">
        <f>IF(AND('2.报价结算清单'!$P70&gt;0,'2.报价结算清单'!$B70&lt;&gt;0,'2.报价结算清单'!I70&lt;&gt;0),"天","")</f>
        <v>天</v>
      </c>
      <c r="M40" s="80" t="str">
        <f t="shared" si="2"/>
        <v>框架内</v>
      </c>
      <c r="N40" s="78">
        <f t="shared" si="3"/>
        <v>178080</v>
      </c>
      <c r="O40" s="78" t="str">
        <f>IF(AND('2.报价结算清单'!$P70&gt;0,'2.报价结算清单'!$B70&lt;&gt;0,'2.报价结算清单'!S70&lt;&gt;0),'2.报价结算清单'!S70,"")</f>
        <v>机场预计6，火车站4个，两家酒店每家8个，会场车辆调度3个，车辆调度3个，主播1v1小管家10</v>
      </c>
      <c r="P40" s="78" t="str">
        <f>IF(AND('2.报价结算清单'!$P70&gt;0,'2.报价结算清单'!$B70&lt;&gt;0,'2.报价结算清单'!T70&lt;&gt;0),'2.报价结算清单'!T70,"")</f>
        <v/>
      </c>
      <c r="Q40" s="78" t="str">
        <f>IF(F40="",J40,VLOOKUP(F40,框架条目清单!A:K,4,FALSE))</f>
        <v>人/天</v>
      </c>
      <c r="R40" s="106">
        <f>IF($A40="","",'2.报价结算清单'!$K$183)</f>
        <v>0.06</v>
      </c>
      <c r="S40" s="80" t="str">
        <f>IF($A40="","",'2.报价结算清单'!$E$183)</f>
        <v>CNY</v>
      </c>
      <c r="T40" s="78" t="str">
        <f>IF(F40="","",VLOOKUP(F40,框架条目清单!A:K,7,FALSE))</f>
        <v/>
      </c>
      <c r="U40" s="78" t="str">
        <f>IF(F40="","",VLOOKUP(F40,框架条目清单!A:K,8,FALSE))</f>
        <v/>
      </c>
      <c r="V40" s="78" t="str">
        <f>IF(F40="","",VLOOKUP(F40,框架条目清单!A:K,9,FALSE))</f>
        <v/>
      </c>
    </row>
    <row r="41" spans="1:22">
      <c r="A41" s="78" t="str">
        <f>IF(AND('2.报价结算清单'!$P71&gt;0,'2.报价结算清单'!$B71&lt;&gt;0,'2.报价结算清单'!$F71&lt;&gt;0),'2.报价结算清单'!$F71,"")</f>
        <v/>
      </c>
      <c r="B41" s="78" t="str">
        <f>_xlfn.IFNA(VLOOKUP(A41,'3.框架内物料'!$A:$I,3,0),A41)</f>
        <v/>
      </c>
      <c r="C41" s="78" t="str">
        <f>IF(AND('2.报价结算清单'!$P71&gt;0,'2.报价结算清单'!$B71&lt;&gt;0,'2.报价结算清单'!C71&lt;&gt;0),'2.报价结算清单'!C71,"")</f>
        <v/>
      </c>
      <c r="D41" s="78" t="str">
        <f>IF(AND('2.报价结算清单'!$P71&gt;0,'2.报价结算清单'!$B71&lt;&gt;0,'2.报价结算清单'!D71&lt;&gt;0),'2.报价结算清单'!D71,"")</f>
        <v/>
      </c>
      <c r="E41" s="78" t="str">
        <f>IF(AND('2.报价结算清单'!$P71&gt;0,'2.报价结算清单'!$B71&lt;&gt;0,'2.报价结算清单'!E71&lt;&gt;0),'2.报价结算清单'!E71,"")</f>
        <v/>
      </c>
      <c r="F41" s="105" t="str">
        <f>_xlfn.IFNA(IF($A41="","",IF(VLOOKUP($A41,'3.框架内物料'!$A:$I,2,0)="","",VLOOKUP($A41,'3.框架内物料'!$A:$I,2,0))),"")</f>
        <v/>
      </c>
      <c r="G41" s="87" t="str">
        <f>IF(AND('2.报价结算清单'!$P71&gt;0,'2.报价结算清单'!$B71&lt;&gt;0,'2.报价结算清单'!H71&lt;&gt;0),'2.报价结算清单'!H71,"")</f>
        <v/>
      </c>
      <c r="H41" s="122" t="str">
        <f>IF(AND('2.报价结算清单'!$P71&gt;0,'2.报价结算清单'!$B71&lt;&gt;0,'2.报价结算清单'!$F71&lt;&gt;0),'2.报价结算清单'!J71,"")</f>
        <v/>
      </c>
      <c r="I41" s="105" t="str">
        <f>IF(AND('2.报价结算清单'!$P71&gt;0,'2.报价结算清单'!$B71&lt;&gt;0,'2.报价结算清单'!$F71&lt;&gt;0),'2.报价结算清单'!L71,"")</f>
        <v/>
      </c>
      <c r="J41" s="105" t="str">
        <f>IF(AND('2.报价结算清单'!$P71&gt;0,'2.报价结算清单'!$B71&lt;&gt;0,'2.报价结算清单'!I71&lt;&gt;0),'2.报价结算清单'!I71,"")</f>
        <v/>
      </c>
      <c r="K41" s="105" t="str">
        <f>IF(AND('2.报价结算清单'!$P71&gt;0,'2.报价结算清单'!$B71&lt;&gt;0,'2.报价结算清单'!$F71&lt;&gt;0),'2.报价结算清单'!N71,"")</f>
        <v/>
      </c>
      <c r="L41" s="105" t="str">
        <f>IF(AND('2.报价结算清单'!$P71&gt;0,'2.报价结算清单'!$B71&lt;&gt;0,'2.报价结算清单'!I71&lt;&gt;0),"天","")</f>
        <v/>
      </c>
      <c r="M41" s="80" t="str">
        <f t="shared" si="2"/>
        <v/>
      </c>
      <c r="N41" s="78" t="str">
        <f t="shared" si="3"/>
        <v/>
      </c>
      <c r="O41" s="78" t="str">
        <f>IF(AND('2.报价结算清单'!$P71&gt;0,'2.报价结算清单'!$B71&lt;&gt;0,'2.报价结算清单'!S71&lt;&gt;0),'2.报价结算清单'!S71,"")</f>
        <v/>
      </c>
      <c r="P41" s="78" t="str">
        <f>IF(AND('2.报价结算清单'!$P71&gt;0,'2.报价结算清单'!$B71&lt;&gt;0,'2.报价结算清单'!T71&lt;&gt;0),'2.报价结算清单'!T71,"")</f>
        <v/>
      </c>
      <c r="Q41" s="78" t="str">
        <f>IF(F41="",J41,VLOOKUP(F41,框架条目清单!A:K,4,FALSE))</f>
        <v/>
      </c>
      <c r="R41" s="106" t="str">
        <f>IF($A41="","",'2.报价结算清单'!$K$183)</f>
        <v/>
      </c>
      <c r="S41" s="80" t="str">
        <f>IF($A41="","",'2.报价结算清单'!$E$183)</f>
        <v/>
      </c>
      <c r="T41" s="78" t="str">
        <f>IF(F41="","",VLOOKUP(F41,框架条目清单!A:K,7,FALSE))</f>
        <v/>
      </c>
      <c r="U41" s="78" t="str">
        <f>IF(F41="","",VLOOKUP(F41,框架条目清单!A:K,8,FALSE))</f>
        <v/>
      </c>
      <c r="V41" s="78" t="str">
        <f>IF(F41="","",VLOOKUP(F41,框架条目清单!A:K,9,FALSE))</f>
        <v/>
      </c>
    </row>
    <row r="42" spans="1:22">
      <c r="A42" s="78" t="str">
        <f>IF(AND('2.报价结算清单'!$P72&gt;0,'2.报价结算清单'!$B72&lt;&gt;0,'2.报价结算清单'!$F72&lt;&gt;0),'2.报价结算清单'!$F72,"")</f>
        <v/>
      </c>
      <c r="B42" s="78" t="str">
        <f>_xlfn.IFNA(VLOOKUP(A42,'3.框架内物料'!$A:$I,3,0),A42)</f>
        <v/>
      </c>
      <c r="C42" s="78" t="str">
        <f>IF(AND('2.报价结算清单'!$P72&gt;0,'2.报价结算清单'!$B72&lt;&gt;0,'2.报价结算清单'!C72&lt;&gt;0),'2.报价结算清单'!C72,"")</f>
        <v/>
      </c>
      <c r="D42" s="78" t="str">
        <f>IF(AND('2.报价结算清单'!$P72&gt;0,'2.报价结算清单'!$B72&lt;&gt;0,'2.报价结算清单'!D72&lt;&gt;0),'2.报价结算清单'!D72,"")</f>
        <v/>
      </c>
      <c r="E42" s="78" t="str">
        <f>IF(AND('2.报价结算清单'!$P72&gt;0,'2.报价结算清单'!$B72&lt;&gt;0,'2.报价结算清单'!E72&lt;&gt;0),'2.报价结算清单'!E72,"")</f>
        <v/>
      </c>
      <c r="F42" s="105" t="str">
        <f>_xlfn.IFNA(IF($A42="","",IF(VLOOKUP($A42,'3.框架内物料'!$A:$I,2,0)="","",VLOOKUP($A42,'3.框架内物料'!$A:$I,2,0))),"")</f>
        <v/>
      </c>
      <c r="G42" s="87" t="str">
        <f>IF(AND('2.报价结算清单'!$P72&gt;0,'2.报价结算清单'!$B72&lt;&gt;0,'2.报价结算清单'!H72&lt;&gt;0),'2.报价结算清单'!H72,"")</f>
        <v/>
      </c>
      <c r="H42" s="122" t="str">
        <f>IF(AND('2.报价结算清单'!$P72&gt;0,'2.报价结算清单'!$B72&lt;&gt;0,'2.报价结算清单'!$F72&lt;&gt;0),'2.报价结算清单'!J72,"")</f>
        <v/>
      </c>
      <c r="I42" s="105" t="str">
        <f>IF(AND('2.报价结算清单'!$P72&gt;0,'2.报价结算清单'!$B72&lt;&gt;0,'2.报价结算清单'!$F72&lt;&gt;0),'2.报价结算清单'!L72,"")</f>
        <v/>
      </c>
      <c r="J42" s="105" t="str">
        <f>IF(AND('2.报价结算清单'!$P72&gt;0,'2.报价结算清单'!$B72&lt;&gt;0,'2.报价结算清单'!I72&lt;&gt;0),'2.报价结算清单'!I72,"")</f>
        <v/>
      </c>
      <c r="K42" s="105" t="str">
        <f>IF(AND('2.报价结算清单'!$P72&gt;0,'2.报价结算清单'!$B72&lt;&gt;0,'2.报价结算清单'!$F72&lt;&gt;0),'2.报价结算清单'!N72,"")</f>
        <v/>
      </c>
      <c r="L42" s="105" t="str">
        <f>IF(AND('2.报价结算清单'!$P72&gt;0,'2.报价结算清单'!$B72&lt;&gt;0,'2.报价结算清单'!I72&lt;&gt;0),"天","")</f>
        <v/>
      </c>
      <c r="M42" s="80" t="str">
        <f t="shared" si="2"/>
        <v/>
      </c>
      <c r="N42" s="78" t="str">
        <f t="shared" si="3"/>
        <v/>
      </c>
      <c r="O42" s="78" t="str">
        <f>IF(AND('2.报价结算清单'!$P72&gt;0,'2.报价结算清单'!$B72&lt;&gt;0,'2.报价结算清单'!S72&lt;&gt;0),'2.报价结算清单'!S72,"")</f>
        <v/>
      </c>
      <c r="P42" s="78" t="str">
        <f>IF(AND('2.报价结算清单'!$P72&gt;0,'2.报价结算清单'!$B72&lt;&gt;0,'2.报价结算清单'!T72&lt;&gt;0),'2.报价结算清单'!T72,"")</f>
        <v/>
      </c>
      <c r="Q42" s="78" t="str">
        <f>IF(F42="",J42,VLOOKUP(F42,框架条目清单!A:K,4,FALSE))</f>
        <v/>
      </c>
      <c r="R42" s="106" t="str">
        <f>IF($A42="","",'2.报价结算清单'!$K$183)</f>
        <v/>
      </c>
      <c r="S42" s="80" t="str">
        <f>IF($A42="","",'2.报价结算清单'!$E$183)</f>
        <v/>
      </c>
      <c r="T42" s="78" t="str">
        <f>IF(F42="","",VLOOKUP(F42,框架条目清单!A:K,7,FALSE))</f>
        <v/>
      </c>
      <c r="U42" s="78" t="str">
        <f>IF(F42="","",VLOOKUP(F42,框架条目清单!A:K,8,FALSE))</f>
        <v/>
      </c>
      <c r="V42" s="78" t="str">
        <f>IF(F42="","",VLOOKUP(F42,框架条目清单!A:K,9,FALSE))</f>
        <v/>
      </c>
    </row>
    <row r="43" spans="1:22">
      <c r="A43" s="78" t="str">
        <f>IF(AND('2.报价结算清单'!$P73&gt;0,'2.报价结算清单'!$B73&lt;&gt;0,'2.报价结算清单'!$F73&lt;&gt;0),'2.报价结算清单'!$F73,"")</f>
        <v/>
      </c>
      <c r="B43" s="78" t="str">
        <f>_xlfn.IFNA(VLOOKUP(A43,'3.框架内物料'!$A:$I,3,0),A43)</f>
        <v/>
      </c>
      <c r="C43" s="78" t="str">
        <f>IF(AND('2.报价结算清单'!$P73&gt;0,'2.报价结算清单'!$B73&lt;&gt;0,'2.报价结算清单'!C73&lt;&gt;0),'2.报价结算清单'!C73,"")</f>
        <v/>
      </c>
      <c r="D43" s="78" t="str">
        <f>IF(AND('2.报价结算清单'!$P73&gt;0,'2.报价结算清单'!$B73&lt;&gt;0,'2.报价结算清单'!D73&lt;&gt;0),'2.报价结算清单'!D73,"")</f>
        <v/>
      </c>
      <c r="E43" s="78" t="str">
        <f>IF(AND('2.报价结算清单'!$P73&gt;0,'2.报价结算清单'!$B73&lt;&gt;0,'2.报价结算清单'!E73&lt;&gt;0),'2.报价结算清单'!E73,"")</f>
        <v/>
      </c>
      <c r="F43" s="105" t="str">
        <f>_xlfn.IFNA(IF($A43="","",IF(VLOOKUP($A43,'3.框架内物料'!$A:$I,2,0)="","",VLOOKUP($A43,'3.框架内物料'!$A:$I,2,0))),"")</f>
        <v/>
      </c>
      <c r="G43" s="87" t="str">
        <f>IF(AND('2.报价结算清单'!$P73&gt;0,'2.报价结算清单'!$B73&lt;&gt;0,'2.报价结算清单'!H73&lt;&gt;0),'2.报价结算清单'!H73,"")</f>
        <v/>
      </c>
      <c r="H43" s="122" t="str">
        <f>IF(AND('2.报价结算清单'!$P73&gt;0,'2.报价结算清单'!$B73&lt;&gt;0,'2.报价结算清单'!$F73&lt;&gt;0),'2.报价结算清单'!J73,"")</f>
        <v/>
      </c>
      <c r="I43" s="105" t="str">
        <f>IF(AND('2.报价结算清单'!$P73&gt;0,'2.报价结算清单'!$B73&lt;&gt;0,'2.报价结算清单'!$F73&lt;&gt;0),'2.报价结算清单'!L73,"")</f>
        <v/>
      </c>
      <c r="J43" s="105" t="str">
        <f>IF(AND('2.报价结算清单'!$P73&gt;0,'2.报价结算清单'!$B73&lt;&gt;0,'2.报价结算清单'!I73&lt;&gt;0),'2.报价结算清单'!I73,"")</f>
        <v/>
      </c>
      <c r="K43" s="105" t="str">
        <f>IF(AND('2.报价结算清单'!$P73&gt;0,'2.报价结算清单'!$B73&lt;&gt;0,'2.报价结算清单'!$F73&lt;&gt;0),'2.报价结算清单'!N73,"")</f>
        <v/>
      </c>
      <c r="L43" s="105" t="str">
        <f>IF(AND('2.报价结算清单'!$P73&gt;0,'2.报价结算清单'!$B73&lt;&gt;0,'2.报价结算清单'!I73&lt;&gt;0),"天","")</f>
        <v/>
      </c>
      <c r="M43" s="80" t="str">
        <f t="shared" si="2"/>
        <v/>
      </c>
      <c r="N43" s="78" t="str">
        <f t="shared" si="3"/>
        <v/>
      </c>
      <c r="O43" s="78" t="str">
        <f>IF(AND('2.报价结算清单'!$P73&gt;0,'2.报价结算清单'!$B73&lt;&gt;0,'2.报价结算清单'!S73&lt;&gt;0),'2.报价结算清单'!S73,"")</f>
        <v/>
      </c>
      <c r="P43" s="78" t="str">
        <f>IF(AND('2.报价结算清单'!$P73&gt;0,'2.报价结算清单'!$B73&lt;&gt;0,'2.报价结算清单'!T73&lt;&gt;0),'2.报价结算清单'!T73,"")</f>
        <v/>
      </c>
      <c r="Q43" s="78" t="str">
        <f>IF(F43="",J43,VLOOKUP(F43,框架条目清单!A:K,4,FALSE))</f>
        <v/>
      </c>
      <c r="R43" s="106" t="str">
        <f>IF($A43="","",'2.报价结算清单'!$K$183)</f>
        <v/>
      </c>
      <c r="S43" s="80" t="str">
        <f>IF($A43="","",'2.报价结算清单'!$E$183)</f>
        <v/>
      </c>
      <c r="T43" s="78" t="str">
        <f>IF(F43="","",VLOOKUP(F43,框架条目清单!A:K,7,FALSE))</f>
        <v/>
      </c>
      <c r="U43" s="78" t="str">
        <f>IF(F43="","",VLOOKUP(F43,框架条目清单!A:K,8,FALSE))</f>
        <v/>
      </c>
      <c r="V43" s="78" t="str">
        <f>IF(F43="","",VLOOKUP(F43,框架条目清单!A:K,9,FALSE))</f>
        <v/>
      </c>
    </row>
    <row r="44" spans="1:22">
      <c r="A44" s="78" t="str">
        <f>IF(AND('2.报价结算清单'!$P74&gt;0,'2.报价结算清单'!$B74&lt;&gt;0,'2.报价结算清单'!$F74&lt;&gt;0),'2.报价结算清单'!$F74,"")</f>
        <v/>
      </c>
      <c r="B44" s="78" t="str">
        <f>_xlfn.IFNA(VLOOKUP(A44,'3.框架内物料'!$A:$I,3,0),A44)</f>
        <v/>
      </c>
      <c r="C44" s="78" t="str">
        <f>IF(AND('2.报价结算清单'!$P74&gt;0,'2.报价结算清单'!$B74&lt;&gt;0,'2.报价结算清单'!C74&lt;&gt;0),'2.报价结算清单'!C74,"")</f>
        <v/>
      </c>
      <c r="D44" s="78" t="str">
        <f>IF(AND('2.报价结算清单'!$P74&gt;0,'2.报价结算清单'!$B74&lt;&gt;0,'2.报价结算清单'!D74&lt;&gt;0),'2.报价结算清单'!D74,"")</f>
        <v/>
      </c>
      <c r="E44" s="78" t="str">
        <f>IF(AND('2.报价结算清单'!$P74&gt;0,'2.报价结算清单'!$B74&lt;&gt;0,'2.报价结算清单'!E74&lt;&gt;0),'2.报价结算清单'!E74,"")</f>
        <v/>
      </c>
      <c r="F44" s="105" t="str">
        <f>_xlfn.IFNA(IF($A44="","",IF(VLOOKUP($A44,'3.框架内物料'!$A:$I,2,0)="","",VLOOKUP($A44,'3.框架内物料'!$A:$I,2,0))),"")</f>
        <v/>
      </c>
      <c r="G44" s="87" t="str">
        <f>IF(AND('2.报价结算清单'!$P74&gt;0,'2.报价结算清单'!$B74&lt;&gt;0,'2.报价结算清单'!H74&lt;&gt;0),'2.报价结算清单'!H74,"")</f>
        <v/>
      </c>
      <c r="H44" s="122" t="str">
        <f>IF(AND('2.报价结算清单'!$P74&gt;0,'2.报价结算清单'!$B74&lt;&gt;0,'2.报价结算清单'!$F74&lt;&gt;0),'2.报价结算清单'!J74,"")</f>
        <v/>
      </c>
      <c r="I44" s="105" t="str">
        <f>IF(AND('2.报价结算清单'!$P74&gt;0,'2.报价结算清单'!$B74&lt;&gt;0,'2.报价结算清单'!$F74&lt;&gt;0),'2.报价结算清单'!L74,"")</f>
        <v/>
      </c>
      <c r="J44" s="105" t="str">
        <f>IF(AND('2.报价结算清单'!$P74&gt;0,'2.报价结算清单'!$B74&lt;&gt;0,'2.报价结算清单'!I74&lt;&gt;0),'2.报价结算清单'!I74,"")</f>
        <v/>
      </c>
      <c r="K44" s="105" t="str">
        <f>IF(AND('2.报价结算清单'!$P74&gt;0,'2.报价结算清单'!$B74&lt;&gt;0,'2.报价结算清单'!$F74&lt;&gt;0),'2.报价结算清单'!N74,"")</f>
        <v/>
      </c>
      <c r="L44" s="105" t="str">
        <f>IF(AND('2.报价结算清单'!$P74&gt;0,'2.报价结算清单'!$B74&lt;&gt;0,'2.报价结算清单'!I74&lt;&gt;0),"天","")</f>
        <v/>
      </c>
      <c r="M44" s="80" t="str">
        <f t="shared" si="2"/>
        <v/>
      </c>
      <c r="N44" s="78" t="str">
        <f t="shared" si="3"/>
        <v/>
      </c>
      <c r="O44" s="78" t="str">
        <f>IF(AND('2.报价结算清单'!$P74&gt;0,'2.报价结算清单'!$B74&lt;&gt;0,'2.报价结算清单'!S74&lt;&gt;0),'2.报价结算清单'!S74,"")</f>
        <v/>
      </c>
      <c r="P44" s="78" t="str">
        <f>IF(AND('2.报价结算清单'!$P74&gt;0,'2.报价结算清单'!$B74&lt;&gt;0,'2.报价结算清单'!T74&lt;&gt;0),'2.报价结算清单'!T74,"")</f>
        <v/>
      </c>
      <c r="Q44" s="78" t="str">
        <f>IF(F44="",J44,VLOOKUP(F44,框架条目清单!A:K,4,FALSE))</f>
        <v/>
      </c>
      <c r="R44" s="106" t="str">
        <f>IF($A44="","",'2.报价结算清单'!$K$183)</f>
        <v/>
      </c>
      <c r="S44" s="80" t="str">
        <f>IF($A44="","",'2.报价结算清单'!$E$183)</f>
        <v/>
      </c>
      <c r="T44" s="78" t="str">
        <f>IF(F44="","",VLOOKUP(F44,框架条目清单!A:K,7,FALSE))</f>
        <v/>
      </c>
      <c r="U44" s="78" t="str">
        <f>IF(F44="","",VLOOKUP(F44,框架条目清单!A:K,8,FALSE))</f>
        <v/>
      </c>
      <c r="V44" s="78" t="str">
        <f>IF(F44="","",VLOOKUP(F44,框架条目清单!A:K,9,FALSE))</f>
        <v/>
      </c>
    </row>
    <row r="45" spans="1:22">
      <c r="A45" s="78" t="str">
        <f>IF(AND('2.报价结算清单'!$P75&gt;0,'2.报价结算清单'!$B75&lt;&gt;0,'2.报价结算清单'!$F75&lt;&gt;0),'2.报价结算清单'!$F75,"")</f>
        <v/>
      </c>
      <c r="B45" s="78" t="str">
        <f>_xlfn.IFNA(VLOOKUP(A45,'3.框架内物料'!$A:$I,3,0),A45)</f>
        <v/>
      </c>
      <c r="C45" s="78" t="str">
        <f>IF(AND('2.报价结算清单'!$P75&gt;0,'2.报价结算清单'!$B75&lt;&gt;0,'2.报价结算清单'!C75&lt;&gt;0),'2.报价结算清单'!C75,"")</f>
        <v/>
      </c>
      <c r="D45" s="78" t="str">
        <f>IF(AND('2.报价结算清单'!$P75&gt;0,'2.报价结算清单'!$B75&lt;&gt;0,'2.报价结算清单'!D75&lt;&gt;0),'2.报价结算清单'!D75,"")</f>
        <v/>
      </c>
      <c r="E45" s="78" t="str">
        <f>IF(AND('2.报价结算清单'!$P75&gt;0,'2.报价结算清单'!$B75&lt;&gt;0,'2.报价结算清单'!E75&lt;&gt;0),'2.报价结算清单'!E75,"")</f>
        <v/>
      </c>
      <c r="F45" s="105" t="str">
        <f>_xlfn.IFNA(IF($A45="","",IF(VLOOKUP($A45,'3.框架内物料'!$A:$I,2,0)="","",VLOOKUP($A45,'3.框架内物料'!$A:$I,2,0))),"")</f>
        <v/>
      </c>
      <c r="G45" s="87" t="str">
        <f>IF(AND('2.报价结算清单'!$P75&gt;0,'2.报价结算清单'!$B75&lt;&gt;0,'2.报价结算清单'!H75&lt;&gt;0),'2.报价结算清单'!H75,"")</f>
        <v/>
      </c>
      <c r="H45" s="122" t="str">
        <f>IF(AND('2.报价结算清单'!$P75&gt;0,'2.报价结算清单'!$B75&lt;&gt;0,'2.报价结算清单'!$F75&lt;&gt;0),'2.报价结算清单'!J75,"")</f>
        <v/>
      </c>
      <c r="I45" s="105" t="str">
        <f>IF(AND('2.报价结算清单'!$P75&gt;0,'2.报价结算清单'!$B75&lt;&gt;0,'2.报价结算清单'!$F75&lt;&gt;0),'2.报价结算清单'!L75,"")</f>
        <v/>
      </c>
      <c r="J45" s="105" t="str">
        <f>IF(AND('2.报价结算清单'!$P75&gt;0,'2.报价结算清单'!$B75&lt;&gt;0,'2.报价结算清单'!I75&lt;&gt;0),'2.报价结算清单'!I75,"")</f>
        <v/>
      </c>
      <c r="K45" s="105" t="str">
        <f>IF(AND('2.报价结算清单'!$P75&gt;0,'2.报价结算清单'!$B75&lt;&gt;0,'2.报价结算清单'!$F75&lt;&gt;0),'2.报价结算清单'!N75,"")</f>
        <v/>
      </c>
      <c r="L45" s="105" t="str">
        <f>IF(AND('2.报价结算清单'!$P75&gt;0,'2.报价结算清单'!$B75&lt;&gt;0,'2.报价结算清单'!I75&lt;&gt;0),"天","")</f>
        <v/>
      </c>
      <c r="M45" s="80" t="str">
        <f t="shared" si="2"/>
        <v/>
      </c>
      <c r="N45" s="78" t="str">
        <f t="shared" si="3"/>
        <v/>
      </c>
      <c r="O45" s="78" t="str">
        <f>IF(AND('2.报价结算清单'!$P75&gt;0,'2.报价结算清单'!$B75&lt;&gt;0,'2.报价结算清单'!S75&lt;&gt;0),'2.报价结算清单'!S75,"")</f>
        <v/>
      </c>
      <c r="P45" s="78" t="str">
        <f>IF(AND('2.报价结算清单'!$P75&gt;0,'2.报价结算清单'!$B75&lt;&gt;0,'2.报价结算清单'!T75&lt;&gt;0),'2.报价结算清单'!T75,"")</f>
        <v/>
      </c>
      <c r="Q45" s="78" t="str">
        <f>IF(F45="",J45,VLOOKUP(F45,框架条目清单!A:K,4,FALSE))</f>
        <v/>
      </c>
      <c r="R45" s="106" t="str">
        <f>IF($A45="","",'2.报价结算清单'!$K$183)</f>
        <v/>
      </c>
      <c r="S45" s="80" t="str">
        <f>IF($A45="","",'2.报价结算清单'!$E$183)</f>
        <v/>
      </c>
      <c r="T45" s="78" t="str">
        <f>IF(F45="","",VLOOKUP(F45,框架条目清单!A:K,7,FALSE))</f>
        <v/>
      </c>
      <c r="U45" s="78" t="str">
        <f>IF(F45="","",VLOOKUP(F45,框架条目清单!A:K,8,FALSE))</f>
        <v/>
      </c>
      <c r="V45" s="78" t="str">
        <f>IF(F45="","",VLOOKUP(F45,框架条目清单!A:K,9,FALSE))</f>
        <v/>
      </c>
    </row>
    <row r="46" spans="1:22">
      <c r="A46" s="78" t="str">
        <f>IF(AND('2.报价结算清单'!$P76&gt;0,'2.报价结算清单'!$B76&lt;&gt;0,'2.报价结算清单'!$F76&lt;&gt;0),'2.报价结算清单'!$F76,"")</f>
        <v/>
      </c>
      <c r="B46" s="78" t="str">
        <f>_xlfn.IFNA(VLOOKUP(A46,'3.框架内物料'!$A:$I,3,0),A46)</f>
        <v/>
      </c>
      <c r="C46" s="78" t="str">
        <f>IF(AND('2.报价结算清单'!$P76&gt;0,'2.报价结算清单'!$B76&lt;&gt;0,'2.报价结算清单'!C76&lt;&gt;0),'2.报价结算清单'!C76,"")</f>
        <v/>
      </c>
      <c r="D46" s="78" t="str">
        <f>IF(AND('2.报价结算清单'!$P76&gt;0,'2.报价结算清单'!$B76&lt;&gt;0,'2.报价结算清单'!D76&lt;&gt;0),'2.报价结算清单'!D76,"")</f>
        <v/>
      </c>
      <c r="E46" s="78" t="str">
        <f>IF(AND('2.报价结算清单'!$P76&gt;0,'2.报价结算清单'!$B76&lt;&gt;0,'2.报价结算清单'!E76&lt;&gt;0),'2.报价结算清单'!E76,"")</f>
        <v/>
      </c>
      <c r="F46" s="105" t="str">
        <f>_xlfn.IFNA(IF($A46="","",IF(VLOOKUP($A46,'3.框架内物料'!$A:$I,2,0)="","",VLOOKUP($A46,'3.框架内物料'!$A:$I,2,0))),"")</f>
        <v/>
      </c>
      <c r="G46" s="87" t="str">
        <f>IF(AND('2.报价结算清单'!$P76&gt;0,'2.报价结算清单'!$B76&lt;&gt;0,'2.报价结算清单'!H76&lt;&gt;0),'2.报价结算清单'!H76,"")</f>
        <v/>
      </c>
      <c r="H46" s="122" t="str">
        <f>IF(AND('2.报价结算清单'!$P76&gt;0,'2.报价结算清单'!$B76&lt;&gt;0,'2.报价结算清单'!$F76&lt;&gt;0),'2.报价结算清单'!J76,"")</f>
        <v/>
      </c>
      <c r="I46" s="105" t="str">
        <f>IF(AND('2.报价结算清单'!$P76&gt;0,'2.报价结算清单'!$B76&lt;&gt;0,'2.报价结算清单'!$F76&lt;&gt;0),'2.报价结算清单'!L76,"")</f>
        <v/>
      </c>
      <c r="J46" s="105" t="str">
        <f>IF(AND('2.报价结算清单'!$P76&gt;0,'2.报价结算清单'!$B76&lt;&gt;0,'2.报价结算清单'!I76&lt;&gt;0),'2.报价结算清单'!I76,"")</f>
        <v/>
      </c>
      <c r="K46" s="105" t="str">
        <f>IF(AND('2.报价结算清单'!$P76&gt;0,'2.报价结算清单'!$B76&lt;&gt;0,'2.报价结算清单'!$F76&lt;&gt;0),'2.报价结算清单'!N76,"")</f>
        <v/>
      </c>
      <c r="L46" s="105" t="str">
        <f>IF(AND('2.报价结算清单'!$P76&gt;0,'2.报价结算清单'!$B76&lt;&gt;0,'2.报价结算清单'!I76&lt;&gt;0),"天","")</f>
        <v/>
      </c>
      <c r="M46" s="80" t="str">
        <f t="shared" si="2"/>
        <v/>
      </c>
      <c r="N46" s="78" t="str">
        <f t="shared" si="3"/>
        <v/>
      </c>
      <c r="O46" s="78" t="str">
        <f>IF(AND('2.报价结算清单'!$P76&gt;0,'2.报价结算清单'!$B76&lt;&gt;0,'2.报价结算清单'!S76&lt;&gt;0),'2.报价结算清单'!S76,"")</f>
        <v/>
      </c>
      <c r="P46" s="78" t="str">
        <f>IF(AND('2.报价结算清单'!$P76&gt;0,'2.报价结算清单'!$B76&lt;&gt;0,'2.报价结算清单'!T76&lt;&gt;0),'2.报价结算清单'!T76,"")</f>
        <v/>
      </c>
      <c r="Q46" s="78" t="str">
        <f>IF(F46="",J46,VLOOKUP(F46,框架条目清单!A:K,4,FALSE))</f>
        <v/>
      </c>
      <c r="R46" s="106" t="str">
        <f>IF($A46="","",'2.报价结算清单'!$K$183)</f>
        <v/>
      </c>
      <c r="S46" s="80" t="str">
        <f>IF($A46="","",'2.报价结算清单'!$E$183)</f>
        <v/>
      </c>
      <c r="T46" s="78" t="str">
        <f>IF(F46="","",VLOOKUP(F46,框架条目清单!A:K,7,FALSE))</f>
        <v/>
      </c>
      <c r="U46" s="78" t="str">
        <f>IF(F46="","",VLOOKUP(F46,框架条目清单!A:K,8,FALSE))</f>
        <v/>
      </c>
      <c r="V46" s="78" t="str">
        <f>IF(F46="","",VLOOKUP(F46,框架条目清单!A:K,9,FALSE))</f>
        <v/>
      </c>
    </row>
    <row r="47" spans="1:22">
      <c r="A47" s="78" t="str">
        <f>IF(AND('2.报价结算清单'!$P77&gt;0,'2.报价结算清单'!$B77&lt;&gt;0,'2.报价结算清单'!$F77&lt;&gt;0),'2.报价结算清单'!$F77,"")</f>
        <v/>
      </c>
      <c r="B47" s="78" t="str">
        <f>_xlfn.IFNA(VLOOKUP(A47,'3.框架内物料'!$A:$I,3,0),A47)</f>
        <v/>
      </c>
      <c r="C47" s="78" t="str">
        <f>IF(AND('2.报价结算清单'!$P77&gt;0,'2.报价结算清单'!$B77&lt;&gt;0,'2.报价结算清单'!C77&lt;&gt;0),'2.报价结算清单'!C77,"")</f>
        <v/>
      </c>
      <c r="D47" s="78" t="str">
        <f>IF(AND('2.报价结算清单'!$P77&gt;0,'2.报价结算清单'!$B77&lt;&gt;0,'2.报价结算清单'!D77&lt;&gt;0),'2.报价结算清单'!D77,"")</f>
        <v/>
      </c>
      <c r="E47" s="78" t="str">
        <f>IF(AND('2.报价结算清单'!$P77&gt;0,'2.报价结算清单'!$B77&lt;&gt;0,'2.报价结算清单'!E77&lt;&gt;0),'2.报价结算清单'!E77,"")</f>
        <v/>
      </c>
      <c r="F47" s="105" t="str">
        <f>_xlfn.IFNA(IF($A47="","",IF(VLOOKUP($A47,'3.框架内物料'!$A:$I,2,0)="","",VLOOKUP($A47,'3.框架内物料'!$A:$I,2,0))),"")</f>
        <v/>
      </c>
      <c r="G47" s="87" t="str">
        <f>IF(AND('2.报价结算清单'!$P77&gt;0,'2.报价结算清单'!$B77&lt;&gt;0,'2.报价结算清单'!H77&lt;&gt;0),'2.报价结算清单'!H77,"")</f>
        <v/>
      </c>
      <c r="H47" s="122" t="str">
        <f>IF(AND('2.报价结算清单'!$P77&gt;0,'2.报价结算清单'!$B77&lt;&gt;0,'2.报价结算清单'!$F77&lt;&gt;0),'2.报价结算清单'!J77,"")</f>
        <v/>
      </c>
      <c r="I47" s="105" t="str">
        <f>IF(AND('2.报价结算清单'!$P77&gt;0,'2.报价结算清单'!$B77&lt;&gt;0,'2.报价结算清单'!$F77&lt;&gt;0),'2.报价结算清单'!L77,"")</f>
        <v/>
      </c>
      <c r="J47" s="105" t="str">
        <f>IF(AND('2.报价结算清单'!$P77&gt;0,'2.报价结算清单'!$B77&lt;&gt;0,'2.报价结算清单'!I77&lt;&gt;0),'2.报价结算清单'!I77,"")</f>
        <v/>
      </c>
      <c r="K47" s="105" t="str">
        <f>IF(AND('2.报价结算清单'!$P77&gt;0,'2.报价结算清单'!$B77&lt;&gt;0,'2.报价结算清单'!$F77&lt;&gt;0),'2.报价结算清单'!N77,"")</f>
        <v/>
      </c>
      <c r="L47" s="105" t="str">
        <f>IF(AND('2.报价结算清单'!$P77&gt;0,'2.报价结算清单'!$B77&lt;&gt;0,'2.报价结算清单'!I77&lt;&gt;0),"天","")</f>
        <v/>
      </c>
      <c r="M47" s="80" t="str">
        <f t="shared" ref="M47:M71" si="4">IF(A47="框架外物料","框架外",IF(A47="据实结算","据实结算",IF(A47="","","框架内")))</f>
        <v/>
      </c>
      <c r="N47" s="78" t="str">
        <f t="shared" ref="N47:N71" si="5">IFERROR(IF(H47*I47*K47=0,"",H47*I47*K47),"")</f>
        <v/>
      </c>
      <c r="O47" s="78" t="str">
        <f>IF(AND('2.报价结算清单'!$P77&gt;0,'2.报价结算清单'!$B77&lt;&gt;0,'2.报价结算清单'!S77&lt;&gt;0),'2.报价结算清单'!S77,"")</f>
        <v/>
      </c>
      <c r="P47" s="78" t="str">
        <f>IF(AND('2.报价结算清单'!$P77&gt;0,'2.报价结算清单'!$B77&lt;&gt;0,'2.报价结算清单'!T77&lt;&gt;0),'2.报价结算清单'!T77,"")</f>
        <v/>
      </c>
      <c r="Q47" s="78" t="str">
        <f>IF(F47="",J47,VLOOKUP(F47,框架条目清单!A:K,4,FALSE))</f>
        <v/>
      </c>
      <c r="R47" s="106" t="str">
        <f>IF($A47="","",'2.报价结算清单'!$K$183)</f>
        <v/>
      </c>
      <c r="S47" s="80" t="str">
        <f>IF($A47="","",'2.报价结算清单'!$E$183)</f>
        <v/>
      </c>
      <c r="T47" s="78" t="str">
        <f>IF(F47="","",VLOOKUP(F47,框架条目清单!A:K,7,FALSE))</f>
        <v/>
      </c>
      <c r="U47" s="78" t="str">
        <f>IF(F47="","",VLOOKUP(F47,框架条目清单!A:K,8,FALSE))</f>
        <v/>
      </c>
      <c r="V47" s="78" t="str">
        <f>IF(F47="","",VLOOKUP(F47,框架条目清单!A:K,9,FALSE))</f>
        <v/>
      </c>
    </row>
    <row r="48" spans="1:22">
      <c r="A48" s="78" t="str">
        <f>IF(AND('2.报价结算清单'!$P78&gt;0,'2.报价结算清单'!$B78&lt;&gt;0,'2.报价结算清单'!$F78&lt;&gt;0),'2.报价结算清单'!$F78,"")</f>
        <v/>
      </c>
      <c r="B48" s="78" t="str">
        <f>_xlfn.IFNA(VLOOKUP(A48,'3.框架内物料'!$A:$I,3,0),A48)</f>
        <v/>
      </c>
      <c r="C48" s="78" t="str">
        <f>IF(AND('2.报价结算清单'!$P78&gt;0,'2.报价结算清单'!$B78&lt;&gt;0,'2.报价结算清单'!C78&lt;&gt;0),'2.报价结算清单'!C78,"")</f>
        <v/>
      </c>
      <c r="D48" s="78" t="str">
        <f>IF(AND('2.报价结算清单'!$P78&gt;0,'2.报价结算清单'!$B78&lt;&gt;0,'2.报价结算清单'!D78&lt;&gt;0),'2.报价结算清单'!D78,"")</f>
        <v/>
      </c>
      <c r="E48" s="78" t="str">
        <f>IF(AND('2.报价结算清单'!$P78&gt;0,'2.报价结算清单'!$B78&lt;&gt;0,'2.报价结算清单'!E78&lt;&gt;0),'2.报价结算清单'!E78,"")</f>
        <v/>
      </c>
      <c r="F48" s="105" t="str">
        <f>_xlfn.IFNA(IF($A48="","",IF(VLOOKUP($A48,'3.框架内物料'!$A:$I,2,0)="","",VLOOKUP($A48,'3.框架内物料'!$A:$I,2,0))),"")</f>
        <v/>
      </c>
      <c r="G48" s="87" t="str">
        <f>IF(AND('2.报价结算清单'!$P78&gt;0,'2.报价结算清单'!$B78&lt;&gt;0,'2.报价结算清单'!H78&lt;&gt;0),'2.报价结算清单'!H78,"")</f>
        <v/>
      </c>
      <c r="H48" s="122" t="str">
        <f>IF(AND('2.报价结算清单'!$P78&gt;0,'2.报价结算清单'!$B78&lt;&gt;0,'2.报价结算清单'!$F78&lt;&gt;0),'2.报价结算清单'!J78,"")</f>
        <v/>
      </c>
      <c r="I48" s="105" t="str">
        <f>IF(AND('2.报价结算清单'!$P78&gt;0,'2.报价结算清单'!$B78&lt;&gt;0,'2.报价结算清单'!$F78&lt;&gt;0),'2.报价结算清单'!L78,"")</f>
        <v/>
      </c>
      <c r="J48" s="105" t="str">
        <f>IF(AND('2.报价结算清单'!$P78&gt;0,'2.报价结算清单'!$B78&lt;&gt;0,'2.报价结算清单'!I78&lt;&gt;0),'2.报价结算清单'!I78,"")</f>
        <v/>
      </c>
      <c r="K48" s="105" t="str">
        <f>IF(AND('2.报价结算清单'!$P78&gt;0,'2.报价结算清单'!$B78&lt;&gt;0,'2.报价结算清单'!$F78&lt;&gt;0),'2.报价结算清单'!N78,"")</f>
        <v/>
      </c>
      <c r="L48" s="105" t="str">
        <f>IF(AND('2.报价结算清单'!$P78&gt;0,'2.报价结算清单'!$B78&lt;&gt;0,'2.报价结算清单'!I78&lt;&gt;0),"天","")</f>
        <v/>
      </c>
      <c r="M48" s="80" t="str">
        <f t="shared" si="4"/>
        <v/>
      </c>
      <c r="N48" s="78" t="str">
        <f t="shared" si="5"/>
        <v/>
      </c>
      <c r="O48" s="78" t="str">
        <f>IF(AND('2.报价结算清单'!$P78&gt;0,'2.报价结算清单'!$B78&lt;&gt;0,'2.报价结算清单'!S78&lt;&gt;0),'2.报价结算清单'!S78,"")</f>
        <v/>
      </c>
      <c r="P48" s="78" t="str">
        <f>IF(AND('2.报价结算清单'!$P78&gt;0,'2.报价结算清单'!$B78&lt;&gt;0,'2.报价结算清单'!T78&lt;&gt;0),'2.报价结算清单'!T78,"")</f>
        <v/>
      </c>
      <c r="Q48" s="78" t="str">
        <f>IF(F48="",J48,VLOOKUP(F48,框架条目清单!A:K,4,FALSE))</f>
        <v/>
      </c>
      <c r="R48" s="106" t="str">
        <f>IF($A48="","",'2.报价结算清单'!$K$183)</f>
        <v/>
      </c>
      <c r="S48" s="80" t="str">
        <f>IF($A48="","",'2.报价结算清单'!$E$183)</f>
        <v/>
      </c>
      <c r="T48" s="78" t="str">
        <f>IF(F48="","",VLOOKUP(F48,框架条目清单!A:K,7,FALSE))</f>
        <v/>
      </c>
      <c r="U48" s="78" t="str">
        <f>IF(F48="","",VLOOKUP(F48,框架条目清单!A:K,8,FALSE))</f>
        <v/>
      </c>
      <c r="V48" s="78" t="str">
        <f>IF(F48="","",VLOOKUP(F48,框架条目清单!A:K,9,FALSE))</f>
        <v/>
      </c>
    </row>
    <row r="49" spans="1:22">
      <c r="A49" s="78" t="str">
        <f>IF(AND('2.报价结算清单'!$P79&gt;0,'2.报价结算清单'!$B79&lt;&gt;0,'2.报价结算清单'!$F79&lt;&gt;0),'2.报价结算清单'!$F79,"")</f>
        <v>H#001</v>
      </c>
      <c r="B49" s="78" t="str">
        <f>_xlfn.IFNA(VLOOKUP(A49,'3.框架内物料'!$A:$I,3,0),A49)</f>
        <v>机酒餐</v>
      </c>
      <c r="C49" s="78" t="str">
        <f>IF(AND('2.报价结算清单'!$P79&gt;0,'2.报价结算清单'!$B79&lt;&gt;0,'2.报价结算清单'!C79&lt;&gt;0),'2.报价结算清单'!C79,"")</f>
        <v>大交通</v>
      </c>
      <c r="D49" s="78" t="str">
        <f>IF(AND('2.报价结算清单'!$P79&gt;0,'2.报价结算清单'!$B79&lt;&gt;0,'2.报价结算清单'!D79&lt;&gt;0),'2.报价结算清单'!D79,"")</f>
        <v>大交通</v>
      </c>
      <c r="E49" s="78" t="str">
        <f>IF(AND('2.报价结算清单'!$P79&gt;0,'2.报价结算清单'!$B79&lt;&gt;0,'2.报价结算清单'!E79&lt;&gt;0),'2.报价结算清单'!E79,"")</f>
        <v>主播大交通</v>
      </c>
      <c r="F49" s="105" t="str">
        <f>_xlfn.IFNA(IF($A49="","",IF(VLOOKUP($A49,'3.框架内物料'!$A:$I,2,0)="","",VLOOKUP($A49,'3.框架内物料'!$A:$I,2,0))),"")</f>
        <v/>
      </c>
      <c r="G49" s="87" t="str">
        <f>IF(AND('2.报价结算清单'!$P79&gt;0,'2.报价结算清单'!$B79&lt;&gt;0,'2.报价结算清单'!H79&lt;&gt;0),'2.报价结算清单'!H79,"")</f>
        <v>机酒餐-交通费-机票-机票-经济舱，不能为全价票</v>
      </c>
      <c r="H49" s="122">
        <f>IF(AND('2.报价结算清单'!$P79&gt;0,'2.报价结算清单'!$B79&lt;&gt;0,'2.报价结算清单'!$F79&lt;&gt;0),'2.报价结算清单'!J79,"")</f>
        <v>1300</v>
      </c>
      <c r="I49" s="105">
        <f>IF(AND('2.报价结算清单'!$P79&gt;0,'2.报价结算清单'!$B79&lt;&gt;0,'2.报价结算清单'!$F79&lt;&gt;0),'2.报价结算清单'!L79,"")</f>
        <v>260</v>
      </c>
      <c r="J49" s="105" t="str">
        <f>IF(AND('2.报价结算清单'!$P79&gt;0,'2.报价结算清单'!$B79&lt;&gt;0,'2.报价结算清单'!I79&lt;&gt;0),'2.报价结算清单'!I79,"")</f>
        <v>次</v>
      </c>
      <c r="K49" s="105">
        <f>IF(AND('2.报价结算清单'!$P79&gt;0,'2.报价结算清单'!$B79&lt;&gt;0,'2.报价结算清单'!$F79&lt;&gt;0),'2.报价结算清单'!N79,"")</f>
        <v>2</v>
      </c>
      <c r="L49" s="105" t="str">
        <f>IF(AND('2.报价结算清单'!$P79&gt;0,'2.报价结算清单'!$B79&lt;&gt;0,'2.报价结算清单'!I79&lt;&gt;0),"天","")</f>
        <v>天</v>
      </c>
      <c r="M49" s="80" t="str">
        <f t="shared" si="4"/>
        <v>框架内</v>
      </c>
      <c r="N49" s="78">
        <f t="shared" si="5"/>
        <v>676000</v>
      </c>
      <c r="O49" s="78" t="str">
        <f>IF(AND('2.报价结算清单'!$P79&gt;0,'2.报价结算清单'!$B79&lt;&gt;0,'2.报价结算清单'!S79&lt;&gt;0),'2.报价结算清单'!S79,"")</f>
        <v/>
      </c>
      <c r="P49" s="78" t="str">
        <f>IF(AND('2.报价结算清单'!$P79&gt;0,'2.报价结算清单'!$B79&lt;&gt;0,'2.报价结算清单'!T79&lt;&gt;0),'2.报价结算清单'!T79,"")</f>
        <v/>
      </c>
      <c r="Q49" s="78" t="str">
        <f>IF(F49="",J49,VLOOKUP(F49,框架条目清单!A:K,4,FALSE))</f>
        <v>次</v>
      </c>
      <c r="R49" s="106">
        <f>IF($A49="","",'2.报价结算清单'!$K$183)</f>
        <v>0.06</v>
      </c>
      <c r="S49" s="80" t="str">
        <f>IF($A49="","",'2.报价结算清单'!$E$183)</f>
        <v>CNY</v>
      </c>
      <c r="T49" s="78" t="str">
        <f>IF(F49="","",VLOOKUP(F49,框架条目清单!A:K,7,FALSE))</f>
        <v/>
      </c>
      <c r="U49" s="78" t="str">
        <f>IF(F49="","",VLOOKUP(F49,框架条目清单!A:K,8,FALSE))</f>
        <v/>
      </c>
      <c r="V49" s="78" t="str">
        <f>IF(F49="","",VLOOKUP(F49,框架条目清单!A:K,9,FALSE))</f>
        <v/>
      </c>
    </row>
    <row r="50" spans="1:22">
      <c r="A50" s="78" t="str">
        <f>IF(AND('2.报价结算清单'!$P83&gt;0,'2.报价结算清单'!$B83&lt;&gt;0,'2.报价结算清单'!$F83&lt;&gt;0),'2.报价结算清单'!$F83,"")</f>
        <v>H#002</v>
      </c>
      <c r="B50" s="78" t="str">
        <f>_xlfn.IFNA(VLOOKUP(A50,'3.框架内物料'!$A:$I,3,0),A50)</f>
        <v>机酒餐</v>
      </c>
      <c r="C50" s="78" t="str">
        <f>IF(AND('2.报价结算清单'!$P83&gt;0,'2.报价结算清单'!$B83&lt;&gt;0,'2.报价结算清单'!C83&lt;&gt;0),'2.报价结算清单'!C83,"")</f>
        <v>大交通</v>
      </c>
      <c r="D50" s="78" t="str">
        <f>IF(AND('2.报价结算清单'!$P83&gt;0,'2.报价结算清单'!$B83&lt;&gt;0,'2.报价结算清单'!D83&lt;&gt;0),'2.报价结算清单'!D83,"")</f>
        <v>大交通</v>
      </c>
      <c r="E50" s="78" t="str">
        <f>IF(AND('2.报价结算清单'!$P83&gt;0,'2.报价结算清单'!$B83&lt;&gt;0,'2.报价结算清单'!E83&lt;&gt;0),'2.报价结算清单'!E83,"")</f>
        <v>主播高铁</v>
      </c>
      <c r="F50" s="105" t="str">
        <f>_xlfn.IFNA(IF($A50="","",IF(VLOOKUP($A50,'3.框架内物料'!$A:$I,2,0)="","",VLOOKUP($A50,'3.框架内物料'!$A:$I,2,0))),"")</f>
        <v/>
      </c>
      <c r="G50" s="87" t="str">
        <f>IF(AND('2.报价结算清单'!$P83&gt;0,'2.报价结算清单'!$B83&lt;&gt;0,'2.报价结算清单'!H83&lt;&gt;0),'2.报价结算清单'!H83,"")</f>
        <v>机酒餐-交通费-高铁-高铁-二等座</v>
      </c>
      <c r="H50" s="122">
        <f>IF(AND('2.报价结算清单'!$P83&gt;0,'2.报价结算清单'!$B83&lt;&gt;0,'2.报价结算清单'!$F83&lt;&gt;0),'2.报价结算清单'!J83,"")</f>
        <v>600</v>
      </c>
      <c r="I50" s="105">
        <f>IF(AND('2.报价结算清单'!$P83&gt;0,'2.报价结算清单'!$B83&lt;&gt;0,'2.报价结算清单'!$F83&lt;&gt;0),'2.报价结算清单'!L83,"")</f>
        <v>20</v>
      </c>
      <c r="J50" s="105" t="str">
        <f>IF(AND('2.报价结算清单'!$P83&gt;0,'2.报价结算清单'!$B83&lt;&gt;0,'2.报价结算清单'!I83&lt;&gt;0),'2.报价结算清单'!I83,"")</f>
        <v>次</v>
      </c>
      <c r="K50" s="105">
        <f>IF(AND('2.报价结算清单'!$P83&gt;0,'2.报价结算清单'!$B83&lt;&gt;0,'2.报价结算清单'!$F83&lt;&gt;0),'2.报价结算清单'!N83,"")</f>
        <v>2</v>
      </c>
      <c r="L50" s="105" t="str">
        <f>IF(AND('2.报价结算清单'!$P83&gt;0,'2.报价结算清单'!$B83&lt;&gt;0,'2.报价结算清单'!I83&lt;&gt;0),"天","")</f>
        <v>天</v>
      </c>
      <c r="M50" s="80" t="str">
        <f t="shared" si="4"/>
        <v>框架内</v>
      </c>
      <c r="N50" s="78">
        <f t="shared" si="5"/>
        <v>24000</v>
      </c>
      <c r="O50" s="78" t="str">
        <f>IF(AND('2.报价结算清单'!$P83&gt;0,'2.报价结算清单'!$B83&lt;&gt;0,'2.报价结算清单'!S83&lt;&gt;0),'2.报价结算清单'!S83,"")</f>
        <v/>
      </c>
      <c r="P50" s="78" t="str">
        <f>IF(AND('2.报价结算清单'!$P83&gt;0,'2.报价结算清单'!$B83&lt;&gt;0,'2.报价结算清单'!T83&lt;&gt;0),'2.报价结算清单'!T83,"")</f>
        <v/>
      </c>
      <c r="Q50" s="78" t="str">
        <f>IF(F50="",J50,VLOOKUP(F50,框架条目清单!A:K,4,FALSE))</f>
        <v>次</v>
      </c>
      <c r="R50" s="106">
        <f>IF($A50="","",'2.报价结算清单'!$K$183)</f>
        <v>0.06</v>
      </c>
      <c r="S50" s="80" t="str">
        <f>IF($A50="","",'2.报价结算清单'!$E$183)</f>
        <v>CNY</v>
      </c>
      <c r="T50" s="78" t="str">
        <f>IF(F50="","",VLOOKUP(F50,框架条目清单!A:K,7,FALSE))</f>
        <v/>
      </c>
      <c r="U50" s="78" t="str">
        <f>IF(F50="","",VLOOKUP(F50,框架条目清单!A:K,8,FALSE))</f>
        <v/>
      </c>
      <c r="V50" s="78" t="str">
        <f>IF(F50="","",VLOOKUP(F50,框架条目清单!A:K,9,FALSE))</f>
        <v/>
      </c>
    </row>
    <row r="51" spans="1:22">
      <c r="A51" s="78" t="str">
        <f>IF(AND('2.报价结算清单'!$P84&gt;0,'2.报价结算清单'!$B84&lt;&gt;0,'2.报价结算清单'!$F84&lt;&gt;0),'2.报价结算清单'!$F84,"")</f>
        <v>H#003</v>
      </c>
      <c r="B51" s="78" t="str">
        <f>_xlfn.IFNA(VLOOKUP(A51,'3.框架内物料'!$A:$I,3,0),A51)</f>
        <v>机酒餐</v>
      </c>
      <c r="C51" s="78" t="str">
        <f>IF(AND('2.报价结算清单'!$P84&gt;0,'2.报价结算清单'!$B84&lt;&gt;0,'2.报价结算清单'!C84&lt;&gt;0),'2.报价结算清单'!C84,"")</f>
        <v>市内交通</v>
      </c>
      <c r="D51" s="78" t="str">
        <f>IF(AND('2.报价结算清单'!$P84&gt;0,'2.报价结算清单'!$B84&lt;&gt;0,'2.报价结算清单'!D84&lt;&gt;0),'2.报价结算清单'!D84,"")</f>
        <v>市内交通</v>
      </c>
      <c r="E51" s="78" t="str">
        <f>IF(AND('2.报价结算清单'!$P84&gt;0,'2.报价结算清单'!$B84&lt;&gt;0,'2.报价结算清单'!E84&lt;&gt;0),'2.报价结算清单'!E84,"")</f>
        <v>工作人员市内交通</v>
      </c>
      <c r="F51" s="105" t="str">
        <f>_xlfn.IFNA(IF($A51="","",IF(VLOOKUP($A51,'3.框架内物料'!$A:$I,2,0)="","",VLOOKUP($A51,'3.框架内物料'!$A:$I,2,0))),"")</f>
        <v/>
      </c>
      <c r="G51" s="87" t="str">
        <f>IF(AND('2.报价结算清单'!$P84&gt;0,'2.报价结算清单'!$B84&lt;&gt;0,'2.报价结算清单'!H84&lt;&gt;0),'2.报价结算清单'!H84,"")</f>
        <v>机酒餐-交通费-市内交通-打车-出租车、快车实报实销；不能为高档车辆</v>
      </c>
      <c r="H51" s="122">
        <f>IF(AND('2.报价结算清单'!$P84&gt;0,'2.报价结算清单'!$B84&lt;&gt;0,'2.报价结算清单'!$F84&lt;&gt;0),'2.报价结算清单'!J84,"")</f>
        <v>100</v>
      </c>
      <c r="I51" s="105">
        <f>IF(AND('2.报价结算清单'!$P84&gt;0,'2.报价结算清单'!$B84&lt;&gt;0,'2.报价结算清单'!$F84&lt;&gt;0),'2.报价结算清单'!L84,"")</f>
        <v>9</v>
      </c>
      <c r="J51" s="105" t="str">
        <f>IF(AND('2.报价结算清单'!$P84&gt;0,'2.报价结算清单'!$B84&lt;&gt;0,'2.报价结算清单'!I84&lt;&gt;0),'2.报价结算清单'!I84,"")</f>
        <v>次</v>
      </c>
      <c r="K51" s="105">
        <f>IF(AND('2.报价结算清单'!$P84&gt;0,'2.报价结算清单'!$B84&lt;&gt;0,'2.报价结算清单'!$F84&lt;&gt;0),'2.报价结算清单'!N84,"")</f>
        <v>7</v>
      </c>
      <c r="L51" s="105" t="str">
        <f>IF(AND('2.报价结算清单'!$P84&gt;0,'2.报价结算清单'!$B84&lt;&gt;0,'2.报价结算清单'!I84&lt;&gt;0),"天","")</f>
        <v>天</v>
      </c>
      <c r="M51" s="80" t="str">
        <f t="shared" si="4"/>
        <v>框架内</v>
      </c>
      <c r="N51" s="78">
        <f t="shared" si="5"/>
        <v>6300</v>
      </c>
      <c r="O51" s="78" t="str">
        <f>IF(AND('2.报价结算清单'!$P84&gt;0,'2.报价结算清单'!$B84&lt;&gt;0,'2.报价结算清单'!S84&lt;&gt;0),'2.报价结算清单'!S84,"")</f>
        <v>工作人员全程打车费用</v>
      </c>
      <c r="P51" s="78" t="str">
        <f>IF(AND('2.报价结算清单'!$P84&gt;0,'2.报价结算清单'!$B84&lt;&gt;0,'2.报价结算清单'!T84&lt;&gt;0),'2.报价结算清单'!T84,"")</f>
        <v/>
      </c>
      <c r="Q51" s="78" t="str">
        <f>IF(F51="",J51,VLOOKUP(F51,框架条目清单!A:K,4,FALSE))</f>
        <v>次</v>
      </c>
      <c r="R51" s="106">
        <f>IF($A51="","",'2.报价结算清单'!$K$183)</f>
        <v>0.06</v>
      </c>
      <c r="S51" s="80" t="str">
        <f>IF($A51="","",'2.报价结算清单'!$E$183)</f>
        <v>CNY</v>
      </c>
      <c r="T51" s="78" t="str">
        <f>IF(F51="","",VLOOKUP(F51,框架条目清单!A:K,7,FALSE))</f>
        <v/>
      </c>
      <c r="U51" s="78" t="str">
        <f>IF(F51="","",VLOOKUP(F51,框架条目清单!A:K,8,FALSE))</f>
        <v/>
      </c>
      <c r="V51" s="78" t="str">
        <f>IF(F51="","",VLOOKUP(F51,框架条目清单!A:K,9,FALSE))</f>
        <v/>
      </c>
    </row>
    <row r="52" spans="1:22">
      <c r="A52" s="78" t="str">
        <f>IF(AND('2.报价结算清单'!$P85&gt;0,'2.报价结算清单'!$B85&lt;&gt;0,'2.报价结算清单'!$F85&lt;&gt;0),'2.报价结算清单'!$F85,"")</f>
        <v>H#004</v>
      </c>
      <c r="B52" s="78" t="str">
        <f>_xlfn.IFNA(VLOOKUP(A52,'3.框架内物料'!$A:$I,3,0),A52)</f>
        <v>机酒餐</v>
      </c>
      <c r="C52" s="78" t="str">
        <f>IF(AND('2.报价结算清单'!$P85&gt;0,'2.报价结算清单'!$B85&lt;&gt;0,'2.报价结算清单'!C85&lt;&gt;0),'2.报价结算清单'!C85,"")</f>
        <v>住宿</v>
      </c>
      <c r="D52" s="78" t="str">
        <f>IF(AND('2.报价结算清单'!$P85&gt;0,'2.报价结算清单'!$B85&lt;&gt;0,'2.报价结算清单'!D85&lt;&gt;0),'2.报价结算清单'!D85,"")</f>
        <v>住宿</v>
      </c>
      <c r="E52" s="78" t="str">
        <f>IF(AND('2.报价结算清单'!$P85&gt;0,'2.报价结算清单'!$B85&lt;&gt;0,'2.报价结算清单'!E85&lt;&gt;0),'2.报价结算清单'!E85,"")</f>
        <v>工作人员踩线住宿</v>
      </c>
      <c r="F52" s="105" t="str">
        <f>_xlfn.IFNA(IF($A52="","",IF(VLOOKUP($A52,'3.框架内物料'!$A:$I,2,0)="","",VLOOKUP($A52,'3.框架内物料'!$A:$I,2,0))),"")</f>
        <v/>
      </c>
      <c r="G52" s="87" t="str">
        <f>IF(AND('2.报价结算清单'!$P85&gt;0,'2.报价结算清单'!$B85&lt;&gt;0,'2.报价结算清单'!H85&lt;&gt;0),'2.报价结算清单'!H85,"")</f>
        <v>机酒餐-住宿费-酒店-酒店-二人一间，一线城市北、上、广、深，不得超过500元/间/晚
二、三线城市不得超过400元/间/晚，数量上限为20夜/城市</v>
      </c>
      <c r="H52" s="122">
        <f>IF(AND('2.报价结算清单'!$P85&gt;0,'2.报价结算清单'!$B85&lt;&gt;0,'2.报价结算清单'!$F85&lt;&gt;0),'2.报价结算清单'!J85,"")</f>
        <v>400</v>
      </c>
      <c r="I52" s="105">
        <f>IF(AND('2.报价结算清单'!$P85&gt;0,'2.报价结算清单'!$B85&lt;&gt;0,'2.报价结算清单'!$F85&lt;&gt;0),'2.报价结算清单'!L85,"")</f>
        <v>2</v>
      </c>
      <c r="J52" s="105" t="str">
        <f>IF(AND('2.报价结算清单'!$P85&gt;0,'2.报价结算清单'!$B85&lt;&gt;0,'2.报价结算清单'!I85&lt;&gt;0),'2.报价结算清单'!I85,"")</f>
        <v>天</v>
      </c>
      <c r="K52" s="105">
        <f>IF(AND('2.报价结算清单'!$P85&gt;0,'2.报价结算清单'!$B85&lt;&gt;0,'2.报价结算清单'!$F85&lt;&gt;0),'2.报价结算清单'!N85,"")</f>
        <v>2</v>
      </c>
      <c r="L52" s="105" t="str">
        <f>IF(AND('2.报价结算清单'!$P85&gt;0,'2.报价结算清单'!$B85&lt;&gt;0,'2.报价结算清单'!I85&lt;&gt;0),"天","")</f>
        <v>天</v>
      </c>
      <c r="M52" s="80" t="str">
        <f t="shared" si="4"/>
        <v>框架内</v>
      </c>
      <c r="N52" s="78">
        <f t="shared" si="5"/>
        <v>1600</v>
      </c>
      <c r="O52" s="78" t="str">
        <f>IF(AND('2.报价结算清单'!$P85&gt;0,'2.报价结算清单'!$B85&lt;&gt;0,'2.报价结算清单'!S85&lt;&gt;0),'2.报价结算清单'!S85,"")</f>
        <v>工作人员踩线住宿</v>
      </c>
      <c r="P52" s="78" t="str">
        <f>IF(AND('2.报价结算清单'!$P85&gt;0,'2.报价结算清单'!$B85&lt;&gt;0,'2.报价结算清单'!T85&lt;&gt;0),'2.报价结算清单'!T85,"")</f>
        <v/>
      </c>
      <c r="Q52" s="78" t="str">
        <f>IF(F52="",J52,VLOOKUP(F52,框架条目清单!A:K,4,FALSE))</f>
        <v>天</v>
      </c>
      <c r="R52" s="106">
        <f>IF($A52="","",'2.报价结算清单'!$K$183)</f>
        <v>0.06</v>
      </c>
      <c r="S52" s="80" t="str">
        <f>IF($A52="","",'2.报价结算清单'!$E$183)</f>
        <v>CNY</v>
      </c>
      <c r="T52" s="78" t="str">
        <f>IF(F52="","",VLOOKUP(F52,框架条目清单!A:K,7,FALSE))</f>
        <v/>
      </c>
      <c r="U52" s="78" t="str">
        <f>IF(F52="","",VLOOKUP(F52,框架条目清单!A:K,8,FALSE))</f>
        <v/>
      </c>
      <c r="V52" s="78" t="str">
        <f>IF(F52="","",VLOOKUP(F52,框架条目清单!A:K,9,FALSE))</f>
        <v/>
      </c>
    </row>
    <row r="53" spans="1:22">
      <c r="A53" s="78" t="str">
        <f>IF(AND('2.报价结算清单'!$P87&gt;0,'2.报价结算清单'!$B87&lt;&gt;0,'2.报价结算清单'!$F87&lt;&gt;0),'2.报价结算清单'!$F87,"")</f>
        <v>H#005</v>
      </c>
      <c r="B53" s="78" t="str">
        <f>_xlfn.IFNA(VLOOKUP(A53,'3.框架内物料'!$A:$I,3,0),A53)</f>
        <v>机酒餐</v>
      </c>
      <c r="C53" s="78" t="str">
        <f>IF(AND('2.报价结算清单'!$P87&gt;0,'2.报价结算清单'!$B87&lt;&gt;0,'2.报价结算清单'!C87&lt;&gt;0),'2.报价结算清单'!C87,"")</f>
        <v>餐饮</v>
      </c>
      <c r="D53" s="78" t="str">
        <f>IF(AND('2.报价结算清单'!$P87&gt;0,'2.报价结算清单'!$B87&lt;&gt;0,'2.报价结算清单'!D87&lt;&gt;0),'2.报价结算清单'!D87,"")</f>
        <v>餐饮</v>
      </c>
      <c r="E53" s="78" t="str">
        <f>IF(AND('2.报价结算清单'!$P87&gt;0,'2.报价结算清单'!$B87&lt;&gt;0,'2.报价结算清单'!E87&lt;&gt;0),'2.报价结算清单'!E87,"")</f>
        <v>工作人员用餐</v>
      </c>
      <c r="F53" s="105" t="str">
        <f>_xlfn.IFNA(IF($A53="","",IF(VLOOKUP($A53,'3.框架内物料'!$A:$I,2,0)="","",VLOOKUP($A53,'3.框架内物料'!$A:$I,2,0))),"")</f>
        <v/>
      </c>
      <c r="G53" s="87" t="str">
        <f>IF(AND('2.报价结算清单'!$P87&gt;0,'2.报价结算清单'!$B87&lt;&gt;0,'2.报价结算清单'!H87&lt;&gt;0),'2.报价结算清单'!H87,"")</f>
        <v>机酒餐-餐费-餐费-餐费-乙方人员餐费不得超过100元/人/天
已含餐费的第三方人员不得重复收费</v>
      </c>
      <c r="H53" s="122">
        <f>IF(AND('2.报价结算清单'!$P87&gt;0,'2.报价结算清单'!$B87&lt;&gt;0,'2.报价结算清单'!$F87&lt;&gt;0),'2.报价结算清单'!J87,"")</f>
        <v>100</v>
      </c>
      <c r="I53" s="105">
        <f>IF(AND('2.报价结算清单'!$P87&gt;0,'2.报价结算清单'!$B87&lt;&gt;0,'2.报价结算清单'!$F87&lt;&gt;0),'2.报价结算清单'!L87,"")</f>
        <v>9</v>
      </c>
      <c r="J53" s="105" t="str">
        <f>IF(AND('2.报价结算清单'!$P87&gt;0,'2.报价结算清单'!$B87&lt;&gt;0,'2.报价结算清单'!I87&lt;&gt;0),'2.报价结算清单'!I87,"")</f>
        <v>天</v>
      </c>
      <c r="K53" s="105">
        <f>IF(AND('2.报价结算清单'!$P87&gt;0,'2.报价结算清单'!$B87&lt;&gt;0,'2.报价结算清单'!$F87&lt;&gt;0),'2.报价结算清单'!N87,"")</f>
        <v>9</v>
      </c>
      <c r="L53" s="105" t="str">
        <f>IF(AND('2.报价结算清单'!$P87&gt;0,'2.报价结算清单'!$B87&lt;&gt;0,'2.报价结算清单'!I87&lt;&gt;0),"天","")</f>
        <v>天</v>
      </c>
      <c r="M53" s="80" t="str">
        <f t="shared" si="4"/>
        <v>框架内</v>
      </c>
      <c r="N53" s="78">
        <f t="shared" si="5"/>
        <v>8100</v>
      </c>
      <c r="O53" s="78" t="str">
        <f>IF(AND('2.报价结算清单'!$P87&gt;0,'2.报价结算清单'!$B87&lt;&gt;0,'2.报价结算清单'!S87&lt;&gt;0),'2.报价结算清单'!S87,"")</f>
        <v/>
      </c>
      <c r="P53" s="78" t="str">
        <f>IF(AND('2.报价结算清单'!$P87&gt;0,'2.报价结算清单'!$B87&lt;&gt;0,'2.报价结算清单'!T87&lt;&gt;0),'2.报价结算清单'!T87,"")</f>
        <v/>
      </c>
      <c r="Q53" s="78" t="str">
        <f>IF(F53="",J53,VLOOKUP(F53,框架条目清单!A:K,4,FALSE))</f>
        <v>天</v>
      </c>
      <c r="R53" s="106">
        <f>IF($A53="","",'2.报价结算清单'!$K$183)</f>
        <v>0.06</v>
      </c>
      <c r="S53" s="80" t="str">
        <f>IF($A53="","",'2.报价结算清单'!$E$183)</f>
        <v>CNY</v>
      </c>
      <c r="T53" s="78" t="str">
        <f>IF(F53="","",VLOOKUP(F53,框架条目清单!A:K,7,FALSE))</f>
        <v/>
      </c>
      <c r="U53" s="78" t="str">
        <f>IF(F53="","",VLOOKUP(F53,框架条目清单!A:K,8,FALSE))</f>
        <v/>
      </c>
      <c r="V53" s="78" t="str">
        <f>IF(F53="","",VLOOKUP(F53,框架条目清单!A:K,9,FALSE))</f>
        <v/>
      </c>
    </row>
    <row r="54" spans="1:22">
      <c r="A54" s="78" t="str">
        <f>IF(AND('2.报价结算清单'!$P125&gt;0,'2.报价结算清单'!$B125&lt;&gt;0,'2.报价结算清单'!$F125&lt;&gt;0),'2.报价结算清单'!$F125,"")</f>
        <v>G#001</v>
      </c>
      <c r="B54" s="78" t="str">
        <f>_xlfn.IFNA(VLOOKUP(A54,'3.框架内物料'!$A:$I,3,0),A54)</f>
        <v>接待用车</v>
      </c>
      <c r="C54" s="78" t="str">
        <f>IF(AND('2.报价结算清单'!$P125&gt;0,'2.报价结算清单'!$B125&lt;&gt;0,'2.报价结算清单'!C125&lt;&gt;0),'2.报价结算清单'!C125,"")</f>
        <v>主播接待</v>
      </c>
      <c r="D54" s="78" t="str">
        <f>IF(AND('2.报价结算清单'!$P125&gt;0,'2.报价结算清单'!$B125&lt;&gt;0,'2.报价结算清单'!D125&lt;&gt;0),'2.报价结算清单'!D125,"")</f>
        <v>主播接待</v>
      </c>
      <c r="E54" s="78" t="str">
        <f>IF(AND('2.报价结算清单'!$P125&gt;0,'2.报价结算清单'!$B125&lt;&gt;0,'2.报价结算清单'!E125&lt;&gt;0),'2.报价结算清单'!E125,"")</f>
        <v>小交通</v>
      </c>
      <c r="F54" s="105" t="str">
        <f>_xlfn.IFNA(IF($A54="","",IF(VLOOKUP($A54,'3.框架内物料'!$A:$I,2,0)="","",VLOOKUP($A54,'3.框架内物料'!$A:$I,2,0))),"")</f>
        <v/>
      </c>
      <c r="G54" s="87" t="str">
        <f>IF(AND('2.报价结算清单'!$P125&gt;0,'2.报价结算清单'!$B125&lt;&gt;0,'2.报价结算清单'!H125&lt;&gt;0),'2.报价结算清单'!H125,"")</f>
        <v>接待用车-车辆-车辆物流-运营车辆-接送机-GL8，60公里内，高速费另计</v>
      </c>
      <c r="H54" s="122">
        <f>IF(AND('2.报价结算清单'!$P125&gt;0,'2.报价结算清单'!$B125&lt;&gt;0,'2.报价结算清单'!$F125&lt;&gt;0),'2.报价结算清单'!J125,"")</f>
        <v>530</v>
      </c>
      <c r="I54" s="105">
        <f>IF(AND('2.报价结算清单'!$P125&gt;0,'2.报价结算清单'!$B125&lt;&gt;0,'2.报价结算清单'!$F125&lt;&gt;0),'2.报价结算清单'!L125,"")</f>
        <v>280</v>
      </c>
      <c r="J54" s="105" t="str">
        <f>IF(AND('2.报价结算清单'!$P125&gt;0,'2.报价结算清单'!$B125&lt;&gt;0,'2.报价结算清单'!I125&lt;&gt;0),'2.报价结算清单'!I125,"")</f>
        <v>辆/趟</v>
      </c>
      <c r="K54" s="105">
        <f>IF(AND('2.报价结算清单'!$P125&gt;0,'2.报价结算清单'!$B125&lt;&gt;0,'2.报价结算清单'!$F125&lt;&gt;0),'2.报价结算清单'!N125,"")</f>
        <v>2</v>
      </c>
      <c r="L54" s="105" t="str">
        <f>IF(AND('2.报价结算清单'!$P125&gt;0,'2.报价结算清单'!$B125&lt;&gt;0,'2.报价结算清单'!I125&lt;&gt;0),"天","")</f>
        <v>天</v>
      </c>
      <c r="M54" s="80" t="str">
        <f t="shared" si="4"/>
        <v>框架内</v>
      </c>
      <c r="N54" s="78">
        <f t="shared" si="5"/>
        <v>296800</v>
      </c>
      <c r="O54" s="78" t="str">
        <f>IF(AND('2.报价结算清单'!$P125&gt;0,'2.报价结算清单'!$B125&lt;&gt;0,'2.报价结算清单'!S125&lt;&gt;0),'2.报价结算清单'!S125,"")</f>
        <v>接机+送机</v>
      </c>
      <c r="P54" s="78" t="str">
        <f>IF(AND('2.报价结算清单'!$P125&gt;0,'2.报价结算清单'!$B125&lt;&gt;0,'2.报价结算清单'!T125&lt;&gt;0),'2.报价结算清单'!T125,"")</f>
        <v/>
      </c>
      <c r="Q54" s="78" t="str">
        <f>IF(F54="",J54,VLOOKUP(F54,框架条目清单!A:K,4,FALSE))</f>
        <v>辆/趟</v>
      </c>
      <c r="R54" s="106">
        <f>IF($A54="","",'2.报价结算清单'!$K$183)</f>
        <v>0.06</v>
      </c>
      <c r="S54" s="80" t="str">
        <f>IF($A54="","",'2.报价结算清单'!$E$183)</f>
        <v>CNY</v>
      </c>
      <c r="T54" s="78" t="str">
        <f>IF(F54="","",VLOOKUP(F54,框架条目清单!A:K,7,FALSE))</f>
        <v/>
      </c>
      <c r="U54" s="78" t="str">
        <f>IF(F54="","",VLOOKUP(F54,框架条目清单!A:K,8,FALSE))</f>
        <v/>
      </c>
      <c r="V54" s="78" t="str">
        <f>IF(F54="","",VLOOKUP(F54,框架条目清单!A:K,9,FALSE))</f>
        <v/>
      </c>
    </row>
    <row r="55" spans="1:22">
      <c r="A55" s="78" t="str">
        <f>IF(AND('2.报价结算清单'!$P140&gt;0,'2.报价结算清单'!$B140&lt;&gt;0,'2.报价结算清单'!$F140&lt;&gt;0),'2.报价结算清单'!$F140,"")</f>
        <v>框架外物料</v>
      </c>
      <c r="B55" s="78" t="str">
        <f>_xlfn.IFNA(VLOOKUP(A55,'3.框架内物料'!$A:$I,3,0),A55)</f>
        <v>框架外物料</v>
      </c>
      <c r="C55" s="78" t="str">
        <f>IF(AND('2.报价结算清单'!$P140&gt;0,'2.报价结算清单'!$B140&lt;&gt;0,'2.报价结算清单'!C140&lt;&gt;0),'2.报价结算清单'!C140,"")</f>
        <v>嘉宾保险</v>
      </c>
      <c r="D55" s="78" t="str">
        <f>IF(AND('2.报价结算清单'!$P140&gt;0,'2.报价结算清单'!$B140&lt;&gt;0,'2.报价结算清单'!D140&lt;&gt;0),'2.报价结算清单'!D140,"")</f>
        <v>嘉宾保险</v>
      </c>
      <c r="E55" s="78" t="str">
        <f>IF(AND('2.报价结算清单'!$P140&gt;0,'2.报价结算清单'!$B140&lt;&gt;0,'2.报价结算清单'!E140&lt;&gt;0),'2.报价结算清单'!E140,"")</f>
        <v>嘉宾保险</v>
      </c>
      <c r="F55" s="105" t="str">
        <f>_xlfn.IFNA(IF($A55="","",IF(VLOOKUP($A55,'3.框架内物料'!$A:$I,2,0)="","",VLOOKUP($A55,'3.框架内物料'!$A:$I,2,0))),"")</f>
        <v/>
      </c>
      <c r="G55" s="87" t="str">
        <f>IF(AND('2.报价结算清单'!$P140&gt;0,'2.报价结算清单'!$B140&lt;&gt;0,'2.报价结算清单'!H140&lt;&gt;0),'2.报价结算清单'!H140,"")</f>
        <v>嘉宾活动意外险</v>
      </c>
      <c r="H55" s="122">
        <f>IF(AND('2.报价结算清单'!$P140&gt;0,'2.报价结算清单'!$B140&lt;&gt;0,'2.报价结算清单'!$F140&lt;&gt;0),'2.报价结算清单'!J140,"")</f>
        <v>31.8</v>
      </c>
      <c r="I55" s="105">
        <f>IF(AND('2.报价结算清单'!$P140&gt;0,'2.报价结算清单'!$B140&lt;&gt;0,'2.报价结算清单'!$F140&lt;&gt;0),'2.报价结算清单'!L140,"")</f>
        <v>400</v>
      </c>
      <c r="J55" s="105" t="str">
        <f>IF(AND('2.报价结算清单'!$P140&gt;0,'2.报价结算清单'!$B140&lt;&gt;0,'2.报价结算清单'!I140&lt;&gt;0),'2.报价结算清单'!I140,"")</f>
        <v>人</v>
      </c>
      <c r="K55" s="105">
        <f>IF(AND('2.报价结算清单'!$P140&gt;0,'2.报价结算清单'!$B140&lt;&gt;0,'2.报价结算清单'!$F140&lt;&gt;0),'2.报价结算清单'!N140,"")</f>
        <v>1</v>
      </c>
      <c r="L55" s="105" t="str">
        <f>IF(AND('2.报价结算清单'!$P140&gt;0,'2.报价结算清单'!$B140&lt;&gt;0,'2.报价结算清单'!I140&lt;&gt;0),"天","")</f>
        <v>天</v>
      </c>
      <c r="M55" s="80" t="str">
        <f t="shared" si="4"/>
        <v>框架外</v>
      </c>
      <c r="N55" s="78">
        <f t="shared" si="5"/>
        <v>12720</v>
      </c>
      <c r="O55" s="78" t="str">
        <f>IF(AND('2.报价结算清单'!$P140&gt;0,'2.报价结算清单'!$B140&lt;&gt;0,'2.报价结算清单'!S140&lt;&gt;0),'2.报价结算清单'!S140,"")</f>
        <v/>
      </c>
      <c r="P55" s="78" t="str">
        <f>IF(AND('2.报价结算清单'!$P140&gt;0,'2.报价结算清单'!$B140&lt;&gt;0,'2.报价结算清单'!T140&lt;&gt;0),'2.报价结算清单'!T140,"")</f>
        <v/>
      </c>
      <c r="Q55" s="78" t="str">
        <f>IF(F55="",J55,VLOOKUP(F55,框架条目清单!A:K,4,FALSE))</f>
        <v>人</v>
      </c>
      <c r="R55" s="106">
        <f>IF($A55="","",'2.报价结算清单'!$K$183)</f>
        <v>0.06</v>
      </c>
      <c r="S55" s="80" t="str">
        <f>IF($A55="","",'2.报价结算清单'!$E$183)</f>
        <v>CNY</v>
      </c>
      <c r="T55" s="78" t="str">
        <f>IF(F55="","",VLOOKUP(F55,框架条目清单!A:K,7,FALSE))</f>
        <v/>
      </c>
      <c r="U55" s="78" t="str">
        <f>IF(F55="","",VLOOKUP(F55,框架条目清单!A:K,8,FALSE))</f>
        <v/>
      </c>
      <c r="V55" s="78" t="str">
        <f>IF(F55="","",VLOOKUP(F55,框架条目清单!A:K,9,FALSE))</f>
        <v/>
      </c>
    </row>
    <row r="56" spans="1:22">
      <c r="A56" s="78" t="str">
        <f>IF(AND('2.报价结算清单'!$P141&gt;0,'2.报价结算清单'!$B141&lt;&gt;0,'2.报价结算清单'!$F141&lt;&gt;0),'2.报价结算清单'!$F141,"")</f>
        <v/>
      </c>
      <c r="B56" s="78" t="str">
        <f>_xlfn.IFNA(VLOOKUP(A56,'3.框架内物料'!$A:$I,3,0),A56)</f>
        <v/>
      </c>
      <c r="C56" s="78" t="str">
        <f>IF(AND('2.报价结算清单'!$P141&gt;0,'2.报价结算清单'!$B141&lt;&gt;0,'2.报价结算清单'!C141&lt;&gt;0),'2.报价结算清单'!C141,"")</f>
        <v/>
      </c>
      <c r="D56" s="78" t="str">
        <f>IF(AND('2.报价结算清单'!$P141&gt;0,'2.报价结算清单'!$B141&lt;&gt;0,'2.报价结算清单'!D141&lt;&gt;0),'2.报价结算清单'!D141,"")</f>
        <v/>
      </c>
      <c r="E56" s="78" t="str">
        <f>IF(AND('2.报价结算清单'!$P141&gt;0,'2.报价结算清单'!$B141&lt;&gt;0,'2.报价结算清单'!E141&lt;&gt;0),'2.报价结算清单'!E141,"")</f>
        <v/>
      </c>
      <c r="F56" s="105" t="str">
        <f>_xlfn.IFNA(IF($A56="","",IF(VLOOKUP($A56,'3.框架内物料'!$A:$I,2,0)="","",VLOOKUP($A56,'3.框架内物料'!$A:$I,2,0))),"")</f>
        <v/>
      </c>
      <c r="G56" s="87" t="str">
        <f>IF(AND('2.报价结算清单'!$P141&gt;0,'2.报价结算清单'!$B141&lt;&gt;0,'2.报价结算清单'!H141&lt;&gt;0),'2.报价结算清单'!H141,"")</f>
        <v/>
      </c>
      <c r="H56" s="122" t="str">
        <f>IF(AND('2.报价结算清单'!$P141&gt;0,'2.报价结算清单'!$B141&lt;&gt;0,'2.报价结算清单'!$F141&lt;&gt;0),'2.报价结算清单'!J141,"")</f>
        <v/>
      </c>
      <c r="I56" s="105" t="str">
        <f>IF(AND('2.报价结算清单'!$P141&gt;0,'2.报价结算清单'!$B141&lt;&gt;0,'2.报价结算清单'!$F141&lt;&gt;0),'2.报价结算清单'!L141,"")</f>
        <v/>
      </c>
      <c r="J56" s="105" t="str">
        <f>IF(AND('2.报价结算清单'!$P141&gt;0,'2.报价结算清单'!$B141&lt;&gt;0,'2.报价结算清单'!I141&lt;&gt;0),'2.报价结算清单'!I141,"")</f>
        <v/>
      </c>
      <c r="K56" s="105" t="str">
        <f>IF(AND('2.报价结算清单'!$P141&gt;0,'2.报价结算清单'!$B141&lt;&gt;0,'2.报价结算清单'!$F141&lt;&gt;0),'2.报价结算清单'!N141,"")</f>
        <v/>
      </c>
      <c r="L56" s="105" t="str">
        <f>IF(AND('2.报价结算清单'!$P141&gt;0,'2.报价结算清单'!$B141&lt;&gt;0,'2.报价结算清单'!I141&lt;&gt;0),"天","")</f>
        <v/>
      </c>
      <c r="M56" s="80" t="str">
        <f t="shared" si="4"/>
        <v/>
      </c>
      <c r="N56" s="78" t="str">
        <f t="shared" si="5"/>
        <v/>
      </c>
      <c r="O56" s="78" t="str">
        <f>IF(AND('2.报价结算清单'!$P141&gt;0,'2.报价结算清单'!$B141&lt;&gt;0,'2.报价结算清单'!S142&lt;&gt;0),'2.报价结算清单'!S142,"")</f>
        <v/>
      </c>
      <c r="P56" s="78" t="str">
        <f>IF(AND('2.报价结算清单'!$P141&gt;0,'2.报价结算清单'!$B141&lt;&gt;0,'2.报价结算清单'!T141&lt;&gt;0),'2.报价结算清单'!T141,"")</f>
        <v/>
      </c>
      <c r="Q56" s="78" t="str">
        <f>IF(F56="",J56,VLOOKUP(F56,框架条目清单!A:K,4,FALSE))</f>
        <v/>
      </c>
      <c r="R56" s="106" t="str">
        <f>IF($A56="","",'2.报价结算清单'!$K$183)</f>
        <v/>
      </c>
      <c r="S56" s="80" t="str">
        <f>IF($A56="","",'2.报价结算清单'!$E$183)</f>
        <v/>
      </c>
      <c r="T56" s="78" t="str">
        <f>IF(F56="","",VLOOKUP(F56,框架条目清单!A:K,7,FALSE))</f>
        <v/>
      </c>
      <c r="U56" s="78" t="str">
        <f>IF(F56="","",VLOOKUP(F56,框架条目清单!A:K,8,FALSE))</f>
        <v/>
      </c>
      <c r="V56" s="78" t="str">
        <f>IF(F56="","",VLOOKUP(F56,框架条目清单!A:K,9,FALSE))</f>
        <v/>
      </c>
    </row>
    <row r="57" spans="1:22">
      <c r="A57" s="78" t="str">
        <f>IF(AND('2.报价结算清单'!$P142&gt;0,'2.报价结算清单'!$B142&lt;&gt;0,'2.报价结算清单'!$F142&lt;&gt;0),'2.报价结算清单'!$F142,"")</f>
        <v>i#001</v>
      </c>
      <c r="B57" s="78" t="str">
        <f>_xlfn.IFNA(VLOOKUP(A57,'3.框架内物料'!$A:$I,3,0),A57)</f>
        <v>物料采买</v>
      </c>
      <c r="C57" s="78" t="str">
        <f>IF(AND('2.报价结算清单'!$P142&gt;0,'2.报价结算清单'!$B142&lt;&gt;0,'2.报价结算清单'!C142&lt;&gt;0),'2.报价结算清单'!C142,"")</f>
        <v>厦门酒店内主播零食</v>
      </c>
      <c r="D57" s="78" t="str">
        <f>IF(AND('2.报价结算清单'!$P142&gt;0,'2.报价结算清单'!$B142&lt;&gt;0,'2.报价结算清单'!D142&lt;&gt;0),'2.报价结算清单'!D142,"")</f>
        <v>厦门酒店内主播零食</v>
      </c>
      <c r="E57" s="78" t="str">
        <f>IF(AND('2.报价结算清单'!$P142&gt;0,'2.报价结算清单'!$B142&lt;&gt;0,'2.报价结算清单'!E142&lt;&gt;0),'2.报价结算清单'!E142,"")</f>
        <v>厦门酒店内主播零食</v>
      </c>
      <c r="F57" s="105" t="str">
        <f>_xlfn.IFNA(IF($A57="","",IF(VLOOKUP($A57,'3.框架内物料'!$A:$I,2,0)="","",VLOOKUP($A57,'3.框架内物料'!$A:$I,2,0))),"")</f>
        <v/>
      </c>
      <c r="G57" s="87" t="str">
        <f>IF(AND('2.报价结算清单'!$P142&gt;0,'2.报价结算清单'!$B142&lt;&gt;0,'2.报价结算清单'!H142&lt;&gt;0),'2.报价结算清单'!H142,"")</f>
        <v>物料采买-物料采买-物料采买-直接采买型，需提供购买链接/购买凭证</v>
      </c>
      <c r="H57" s="122">
        <f>IF(AND('2.报价结算清单'!$P142&gt;0,'2.报价结算清单'!$B142&lt;&gt;0,'2.报价结算清单'!$F142&lt;&gt;0),'2.报价结算清单'!J142,"")</f>
        <v>60000</v>
      </c>
      <c r="I57" s="105">
        <f>IF(AND('2.报价结算清单'!$P142&gt;0,'2.报价结算清单'!$B142&lt;&gt;0,'2.报价结算清单'!$F142&lt;&gt;0),'2.报价结算清单'!L142,"")</f>
        <v>1</v>
      </c>
      <c r="J57" s="105" t="str">
        <f>IF(AND('2.报价结算清单'!$P142&gt;0,'2.报价结算清单'!$B142&lt;&gt;0,'2.报价结算清单'!I142&lt;&gt;0),'2.报价结算清单'!I142,"")</f>
        <v>项</v>
      </c>
      <c r="K57" s="105">
        <f>IF(AND('2.报价结算清单'!$P142&gt;0,'2.报价结算清单'!$B142&lt;&gt;0,'2.报价结算清单'!$F142&lt;&gt;0),'2.报价结算清单'!N142,"")</f>
        <v>1</v>
      </c>
      <c r="L57" s="105" t="str">
        <f>IF(AND('2.报价结算清单'!$P142&gt;0,'2.报价结算清单'!$B142&lt;&gt;0,'2.报价结算清单'!I142&lt;&gt;0),"天","")</f>
        <v>天</v>
      </c>
      <c r="M57" s="80" t="str">
        <f t="shared" si="4"/>
        <v>框架内</v>
      </c>
      <c r="N57" s="78">
        <f t="shared" si="5"/>
        <v>60000</v>
      </c>
      <c r="O57" s="78" t="e">
        <f>IF(AND('2.报价结算清单'!$P142&gt;0,'2.报价结算清单'!$B142&lt;&gt;0,'2.报价结算清单'!#REF!&lt;&gt;0),'2.报价结算清单'!#REF!,"")</f>
        <v>#REF!</v>
      </c>
      <c r="P57" s="78" t="str">
        <f>IF(AND('2.报价结算清单'!$P142&gt;0,'2.报价结算清单'!$B142&lt;&gt;0,'2.报价结算清单'!T142&lt;&gt;0),'2.报价结算清单'!T142,"")</f>
        <v/>
      </c>
      <c r="Q57" s="78" t="str">
        <f>IF(F57="",J57,VLOOKUP(F57,框架条目清单!A:K,4,FALSE))</f>
        <v>项</v>
      </c>
      <c r="R57" s="106">
        <f>IF($A57="","",'2.报价结算清单'!$K$183)</f>
        <v>0.06</v>
      </c>
      <c r="S57" s="80" t="str">
        <f>IF($A57="","",'2.报价结算清单'!$E$183)</f>
        <v>CNY</v>
      </c>
      <c r="T57" s="78" t="str">
        <f>IF(F57="","",VLOOKUP(F57,框架条目清单!A:K,7,FALSE))</f>
        <v/>
      </c>
      <c r="U57" s="78" t="str">
        <f>IF(F57="","",VLOOKUP(F57,框架条目清单!A:K,8,FALSE))</f>
        <v/>
      </c>
      <c r="V57" s="78" t="str">
        <f>IF(F57="","",VLOOKUP(F57,框架条目清单!A:K,9,FALSE))</f>
        <v/>
      </c>
    </row>
    <row r="58" spans="1:22">
      <c r="A58" s="78" t="e">
        <f>IF(AND('2.报价结算清单'!#REF!&gt;0,'2.报价结算清单'!#REF!&lt;&gt;0,'2.报价结算清单'!#REF!&lt;&gt;0),'2.报价结算清单'!#REF!,"")</f>
        <v>#REF!</v>
      </c>
      <c r="B58" s="78" t="e">
        <f>_xlfn.IFNA(VLOOKUP(A58,'3.框架内物料'!$A:$I,3,0),A58)</f>
        <v>#REF!</v>
      </c>
      <c r="C58" s="78" t="e">
        <f>IF(AND('2.报价结算清单'!#REF!&gt;0,'2.报价结算清单'!#REF!&lt;&gt;0,'2.报价结算清单'!#REF!&lt;&gt;0),'2.报价结算清单'!#REF!,"")</f>
        <v>#REF!</v>
      </c>
      <c r="D58" s="78" t="e">
        <f>IF(AND('2.报价结算清单'!#REF!&gt;0,'2.报价结算清单'!#REF!&lt;&gt;0,'2.报价结算清单'!#REF!&lt;&gt;0),'2.报价结算清单'!#REF!,"")</f>
        <v>#REF!</v>
      </c>
      <c r="E58" s="78" t="e">
        <f>IF(AND('2.报价结算清单'!#REF!&gt;0,'2.报价结算清单'!#REF!&lt;&gt;0,'2.报价结算清单'!#REF!&lt;&gt;0),'2.报价结算清单'!#REF!,"")</f>
        <v>#REF!</v>
      </c>
      <c r="F58" s="105" t="e">
        <f>_xlfn.IFNA(IF($A58="","",IF(VLOOKUP($A58,'3.框架内物料'!$A:$I,2,0)="","",VLOOKUP($A58,'3.框架内物料'!$A:$I,2,0))),"")</f>
        <v>#REF!</v>
      </c>
      <c r="G58" s="87" t="e">
        <f>IF(AND('2.报价结算清单'!#REF!&gt;0,'2.报价结算清单'!#REF!&lt;&gt;0,'2.报价结算清单'!#REF!&lt;&gt;0),'2.报价结算清单'!#REF!,"")</f>
        <v>#REF!</v>
      </c>
      <c r="H58" s="122" t="e">
        <f>IF(AND('2.报价结算清单'!#REF!&gt;0,'2.报价结算清单'!#REF!&lt;&gt;0,'2.报价结算清单'!#REF!&lt;&gt;0),'2.报价结算清单'!#REF!,"")</f>
        <v>#REF!</v>
      </c>
      <c r="I58" s="105" t="e">
        <f>IF(AND('2.报价结算清单'!#REF!&gt;0,'2.报价结算清单'!#REF!&lt;&gt;0,'2.报价结算清单'!#REF!&lt;&gt;0),'2.报价结算清单'!#REF!,"")</f>
        <v>#REF!</v>
      </c>
      <c r="J58" s="105" t="e">
        <f>IF(AND('2.报价结算清单'!#REF!&gt;0,'2.报价结算清单'!#REF!&lt;&gt;0,'2.报价结算清单'!#REF!&lt;&gt;0),'2.报价结算清单'!#REF!,"")</f>
        <v>#REF!</v>
      </c>
      <c r="K58" s="105" t="e">
        <f>IF(AND('2.报价结算清单'!#REF!&gt;0,'2.报价结算清单'!#REF!&lt;&gt;0,'2.报价结算清单'!#REF!&lt;&gt;0),'2.报价结算清单'!#REF!,"")</f>
        <v>#REF!</v>
      </c>
      <c r="L58" s="105" t="e">
        <f>IF(AND('2.报价结算清单'!#REF!&gt;0,'2.报价结算清单'!#REF!&lt;&gt;0,'2.报价结算清单'!#REF!&lt;&gt;0),"天","")</f>
        <v>#REF!</v>
      </c>
      <c r="M58" s="80" t="e">
        <f t="shared" si="4"/>
        <v>#REF!</v>
      </c>
      <c r="N58" s="78" t="str">
        <f t="shared" si="5"/>
        <v/>
      </c>
      <c r="O58" s="78" t="e">
        <f>IF(AND('2.报价结算清单'!#REF!&gt;0,'2.报价结算清单'!#REF!&lt;&gt;0,'2.报价结算清单'!#REF!&lt;&gt;0),'2.报价结算清单'!#REF!,"")</f>
        <v>#REF!</v>
      </c>
      <c r="P58" s="78" t="e">
        <f>IF(AND('2.报价结算清单'!#REF!&gt;0,'2.报价结算清单'!#REF!&lt;&gt;0,'2.报价结算清单'!#REF!&lt;&gt;0),'2.报价结算清单'!#REF!,"")</f>
        <v>#REF!</v>
      </c>
      <c r="Q58" s="78" t="e">
        <f>IF(F58="",J58,VLOOKUP(F58,框架条目清单!A:K,4,FALSE))</f>
        <v>#REF!</v>
      </c>
      <c r="R58" s="106" t="e">
        <f>IF($A58="","",'2.报价结算清单'!$K$183)</f>
        <v>#REF!</v>
      </c>
      <c r="S58" s="80" t="e">
        <f>IF($A58="","",'2.报价结算清单'!$E$183)</f>
        <v>#REF!</v>
      </c>
      <c r="T58" s="78" t="e">
        <f>IF(F58="","",VLOOKUP(F58,框架条目清单!A:K,7,FALSE))</f>
        <v>#REF!</v>
      </c>
      <c r="U58" s="78" t="e">
        <f>IF(F58="","",VLOOKUP(F58,框架条目清单!A:K,8,FALSE))</f>
        <v>#REF!</v>
      </c>
      <c r="V58" s="78" t="e">
        <f>IF(F58="","",VLOOKUP(F58,框架条目清单!A:K,9,FALSE))</f>
        <v>#REF!</v>
      </c>
    </row>
    <row r="59" spans="1:22">
      <c r="A59" s="78" t="str">
        <f>IF(AND('2.报价结算清单'!$P151&gt;0,'2.报价结算清单'!$B151&lt;&gt;0,'2.报价结算清单'!$F151&lt;&gt;0),'2.报价结算清单'!$F151,"")</f>
        <v>据实结算</v>
      </c>
      <c r="B59" s="78" t="str">
        <f>_xlfn.IFNA(VLOOKUP(A59,'3.框架内物料'!$A:$I,3,0),A59)</f>
        <v>据实结算</v>
      </c>
      <c r="C59" s="78" t="str">
        <f>IF(AND('2.报价结算清单'!$P151&gt;0,'2.报价结算清单'!$B151&lt;&gt;0,'2.报价结算清单'!C151&lt;&gt;0),'2.报价结算清单'!C151,"")</f>
        <v>物料采买</v>
      </c>
      <c r="D59" s="78" t="str">
        <f>IF(AND('2.报价结算清单'!$P151&gt;0,'2.报价结算清单'!$B151&lt;&gt;0,'2.报价结算清单'!D151&lt;&gt;0),'2.报价结算清单'!D151,"")</f>
        <v>物料采买</v>
      </c>
      <c r="E59" s="78" t="str">
        <f>IF(AND('2.报价结算清单'!$P151&gt;0,'2.报价结算清单'!$B151&lt;&gt;0,'2.报价结算清单'!E151&lt;&gt;0),'2.报价结算清单'!E151,"")</f>
        <v>VIP+主播充电宝</v>
      </c>
      <c r="F59" s="105" t="str">
        <f>_xlfn.IFNA(IF($A59="","",IF(VLOOKUP($A59,'3.框架内物料'!$A:$I,2,0)="","",VLOOKUP($A59,'3.框架内物料'!$A:$I,2,0))),"")</f>
        <v/>
      </c>
      <c r="G59" s="87" t="str">
        <f>IF(AND('2.报价结算清单'!$P151&gt;0,'2.报价结算清单'!$B151&lt;&gt;0,'2.报价结算清单'!H151&lt;&gt;0),'2.报价结算清单'!H151,"")</f>
        <v>VIP+主播充电宝</v>
      </c>
      <c r="H59" s="122">
        <f>IF(AND('2.报价结算清单'!$P151&gt;0,'2.报价结算清单'!$B151&lt;&gt;0,'2.报价结算清单'!$F151&lt;&gt;0),'2.报价结算清单'!J151,"")</f>
        <v>189.74</v>
      </c>
      <c r="I59" s="105">
        <f>IF(AND('2.报价结算清单'!$P151&gt;0,'2.报价结算清单'!$B151&lt;&gt;0,'2.报价结算清单'!$F151&lt;&gt;0),'2.报价结算清单'!L151,"")</f>
        <v>380</v>
      </c>
      <c r="J59" s="105" t="str">
        <f>IF(AND('2.报价结算清单'!$P151&gt;0,'2.报价结算清单'!$B151&lt;&gt;0,'2.报价结算清单'!I151&lt;&gt;0),'2.报价结算清单'!I151,"")</f>
        <v>个</v>
      </c>
      <c r="K59" s="105">
        <f>IF(AND('2.报价结算清单'!$P151&gt;0,'2.报价结算清单'!$B151&lt;&gt;0,'2.报价结算清单'!$F151&lt;&gt;0),'2.报价结算清单'!N151,"")</f>
        <v>1</v>
      </c>
      <c r="L59" s="105" t="str">
        <f>IF(AND('2.报价结算清单'!$P151&gt;0,'2.报价结算清单'!$B151&lt;&gt;0,'2.报价结算清单'!I151&lt;&gt;0),"天","")</f>
        <v>天</v>
      </c>
      <c r="M59" s="80" t="str">
        <f t="shared" si="4"/>
        <v>据实结算</v>
      </c>
      <c r="N59" s="78">
        <f t="shared" si="5"/>
        <v>72101.2</v>
      </c>
      <c r="O59" s="78" t="str">
        <f>IF(AND('2.报价结算清单'!$P151&gt;0,'2.报价结算清单'!$B151&lt;&gt;0,'2.报价结算清单'!S151&lt;&gt;0),'2.报价结算清单'!S151,"")</f>
        <v/>
      </c>
      <c r="P59" s="78" t="str">
        <f>IF(AND('2.报价结算清单'!$P151&gt;0,'2.报价结算清单'!$B151&lt;&gt;0,'2.报价结算清单'!T151&lt;&gt;0),'2.报价结算清单'!T151,"")</f>
        <v/>
      </c>
      <c r="Q59" s="78" t="str">
        <f>IF(F59="",J59,VLOOKUP(F59,框架条目清单!A:K,4,FALSE))</f>
        <v>个</v>
      </c>
      <c r="R59" s="106">
        <f>IF($A59="","",'2.报价结算清单'!$K$183)</f>
        <v>0.06</v>
      </c>
      <c r="S59" s="80" t="str">
        <f>IF($A59="","",'2.报价结算清单'!$E$183)</f>
        <v>CNY</v>
      </c>
      <c r="T59" s="78" t="str">
        <f>IF(F59="","",VLOOKUP(F59,框架条目清单!A:K,7,FALSE))</f>
        <v/>
      </c>
      <c r="U59" s="78" t="str">
        <f>IF(F59="","",VLOOKUP(F59,框架条目清单!A:K,8,FALSE))</f>
        <v/>
      </c>
      <c r="V59" s="78" t="str">
        <f>IF(F59="","",VLOOKUP(F59,框架条目清单!A:K,9,FALSE))</f>
        <v/>
      </c>
    </row>
    <row r="60" spans="1:22">
      <c r="A60" s="78" t="str">
        <f>IF(AND('2.报价结算清单'!$P158&gt;0,'2.报价结算清单'!$B158&lt;&gt;0,'2.报价结算清单'!$F158&lt;&gt;0),'2.报价结算清单'!$F158,"")</f>
        <v>据实结算</v>
      </c>
      <c r="B60" s="78" t="str">
        <f>_xlfn.IFNA(VLOOKUP(A60,'3.框架内物料'!$A:$I,3,0),A60)</f>
        <v>据实结算</v>
      </c>
      <c r="C60" s="78" t="str">
        <f>IF(AND('2.报价结算清单'!$P158&gt;0,'2.报价结算清单'!$B158&lt;&gt;0,'2.报价结算清单'!C158&lt;&gt;0),'2.报价结算清单'!C158,"")</f>
        <v>物料采买</v>
      </c>
      <c r="D60" s="78" t="str">
        <f>IF(AND('2.报价结算清单'!$P158&gt;0,'2.报价结算清单'!$B158&lt;&gt;0,'2.报价结算清单'!D158&lt;&gt;0),'2.报价结算清单'!D158,"")</f>
        <v>物料采买</v>
      </c>
      <c r="E60" s="78" t="str">
        <f>IF(AND('2.报价结算清单'!$P158&gt;0,'2.报价结算清单'!$B158&lt;&gt;0,'2.报价结算清单'!E158&lt;&gt;0),'2.报价结算清单'!E158,"")</f>
        <v>酒店备品（医疗箱，跌打损伤药品，滴眼液等）</v>
      </c>
      <c r="F60" s="105" t="str">
        <f>_xlfn.IFNA(IF($A60="","",IF(VLOOKUP($A60,'3.框架内物料'!$A:$I,2,0)="","",VLOOKUP($A60,'3.框架内物料'!$A:$I,2,0))),"")</f>
        <v/>
      </c>
      <c r="G60" s="87" t="str">
        <f>IF(AND('2.报价结算清单'!$P158&gt;0,'2.报价结算清单'!$B158&lt;&gt;0,'2.报价结算清单'!H158&lt;&gt;0),'2.报价结算清单'!H158,"")</f>
        <v>酒店备品（医疗箱，跌打损伤药品，滴眼液等）</v>
      </c>
      <c r="H60" s="122">
        <f>IF(AND('2.报价结算清单'!$P158&gt;0,'2.报价结算清单'!$B158&lt;&gt;0,'2.报价结算清单'!$F158&lt;&gt;0),'2.报价结算清单'!J158,"")</f>
        <v>5300</v>
      </c>
      <c r="I60" s="105">
        <f>IF(AND('2.报价结算清单'!$P158&gt;0,'2.报价结算清单'!$B158&lt;&gt;0,'2.报价结算清单'!$F158&lt;&gt;0),'2.报价结算清单'!L158,"")</f>
        <v>1</v>
      </c>
      <c r="J60" s="105" t="str">
        <f>IF(AND('2.报价结算清单'!$P158&gt;0,'2.报价结算清单'!$B158&lt;&gt;0,'2.报价结算清单'!I158&lt;&gt;0),'2.报价结算清单'!I158,"")</f>
        <v>项</v>
      </c>
      <c r="K60" s="105">
        <f>IF(AND('2.报价结算清单'!$P158&gt;0,'2.报价结算清单'!$B158&lt;&gt;0,'2.报价结算清单'!$F158&lt;&gt;0),'2.报价结算清单'!N158,"")</f>
        <v>1</v>
      </c>
      <c r="L60" s="105" t="str">
        <f>IF(AND('2.报价结算清单'!$P158&gt;0,'2.报价结算清单'!$B158&lt;&gt;0,'2.报价结算清单'!I158&lt;&gt;0),"天","")</f>
        <v>天</v>
      </c>
      <c r="M60" s="80" t="str">
        <f t="shared" si="4"/>
        <v>据实结算</v>
      </c>
      <c r="N60" s="78">
        <f t="shared" si="5"/>
        <v>5300</v>
      </c>
      <c r="O60" s="78" t="str">
        <f>IF(AND('2.报价结算清单'!$P158&gt;0,'2.报价结算清单'!$B158&lt;&gt;0,'2.报价结算清单'!S158&lt;&gt;0),'2.报价结算清单'!S158,"")</f>
        <v/>
      </c>
      <c r="P60" s="78" t="str">
        <f>IF(AND('2.报价结算清单'!$P158&gt;0,'2.报价结算清单'!$B158&lt;&gt;0,'2.报价结算清单'!T158&lt;&gt;0),'2.报价结算清单'!T158,"")</f>
        <v/>
      </c>
      <c r="Q60" s="78" t="str">
        <f>IF(F60="",J60,VLOOKUP(F60,框架条目清单!A:K,4,FALSE))</f>
        <v>项</v>
      </c>
      <c r="R60" s="106">
        <f>IF($A60="","",'2.报价结算清单'!$K$183)</f>
        <v>0.06</v>
      </c>
      <c r="S60" s="80" t="str">
        <f>IF($A60="","",'2.报价结算清单'!$E$183)</f>
        <v>CNY</v>
      </c>
      <c r="T60" s="78" t="str">
        <f>IF(F60="","",VLOOKUP(F60,框架条目清单!A:K,7,FALSE))</f>
        <v/>
      </c>
      <c r="U60" s="78" t="str">
        <f>IF(F60="","",VLOOKUP(F60,框架条目清单!A:K,8,FALSE))</f>
        <v/>
      </c>
      <c r="V60" s="78" t="str">
        <f>IF(F60="","",VLOOKUP(F60,框架条目清单!A:K,9,FALSE))</f>
        <v/>
      </c>
    </row>
    <row r="61" spans="1:22">
      <c r="A61" s="78" t="e">
        <f>IF(AND('2.报价结算清单'!#REF!&gt;0,'2.报价结算清单'!#REF!&lt;&gt;0,'2.报价结算清单'!#REF!&lt;&gt;0),'2.报价结算清单'!#REF!,"")</f>
        <v>#REF!</v>
      </c>
      <c r="B61" s="78" t="e">
        <f>_xlfn.IFNA(VLOOKUP(A61,'3.框架内物料'!$A:$I,3,0),A61)</f>
        <v>#REF!</v>
      </c>
      <c r="C61" s="78" t="e">
        <f>IF(AND('2.报价结算清单'!#REF!&gt;0,'2.报价结算清单'!#REF!&lt;&gt;0,'2.报价结算清单'!#REF!&lt;&gt;0),'2.报价结算清单'!#REF!,"")</f>
        <v>#REF!</v>
      </c>
      <c r="D61" s="78" t="e">
        <f>IF(AND('2.报价结算清单'!#REF!&gt;0,'2.报价结算清单'!#REF!&lt;&gt;0,'2.报价结算清单'!#REF!&lt;&gt;0),'2.报价结算清单'!#REF!,"")</f>
        <v>#REF!</v>
      </c>
      <c r="E61" s="78" t="e">
        <f>IF(AND('2.报价结算清单'!#REF!&gt;0,'2.报价结算清单'!#REF!&lt;&gt;0,'2.报价结算清单'!#REF!&lt;&gt;0),'2.报价结算清单'!#REF!,"")</f>
        <v>#REF!</v>
      </c>
      <c r="F61" s="105" t="e">
        <f>_xlfn.IFNA(IF($A61="","",IF(VLOOKUP($A61,'3.框架内物料'!$A:$I,2,0)="","",VLOOKUP($A61,'3.框架内物料'!$A:$I,2,0))),"")</f>
        <v>#REF!</v>
      </c>
      <c r="G61" s="87" t="e">
        <f>IF(AND('2.报价结算清单'!#REF!&gt;0,'2.报价结算清单'!#REF!&lt;&gt;0,'2.报价结算清单'!#REF!&lt;&gt;0),'2.报价结算清单'!#REF!,"")</f>
        <v>#REF!</v>
      </c>
      <c r="H61" s="122" t="e">
        <f>IF(AND('2.报价结算清单'!#REF!&gt;0,'2.报价结算清单'!#REF!&lt;&gt;0,'2.报价结算清单'!#REF!&lt;&gt;0),'2.报价结算清单'!#REF!,"")</f>
        <v>#REF!</v>
      </c>
      <c r="I61" s="105" t="e">
        <f>IF(AND('2.报价结算清单'!#REF!&gt;0,'2.报价结算清单'!#REF!&lt;&gt;0,'2.报价结算清单'!#REF!&lt;&gt;0),'2.报价结算清单'!#REF!,"")</f>
        <v>#REF!</v>
      </c>
      <c r="J61" s="105" t="e">
        <f>IF(AND('2.报价结算清单'!#REF!&gt;0,'2.报价结算清单'!#REF!&lt;&gt;0,'2.报价结算清单'!#REF!&lt;&gt;0),'2.报价结算清单'!#REF!,"")</f>
        <v>#REF!</v>
      </c>
      <c r="K61" s="105" t="e">
        <f>IF(AND('2.报价结算清单'!#REF!&gt;0,'2.报价结算清单'!#REF!&lt;&gt;0,'2.报价结算清单'!#REF!&lt;&gt;0),'2.报价结算清单'!#REF!,"")</f>
        <v>#REF!</v>
      </c>
      <c r="L61" s="105" t="e">
        <f>IF(AND('2.报价结算清单'!#REF!&gt;0,'2.报价结算清单'!#REF!&lt;&gt;0,'2.报价结算清单'!#REF!&lt;&gt;0),"天","")</f>
        <v>#REF!</v>
      </c>
      <c r="M61" s="80" t="e">
        <f t="shared" si="4"/>
        <v>#REF!</v>
      </c>
      <c r="N61" s="78" t="str">
        <f t="shared" si="5"/>
        <v/>
      </c>
      <c r="O61" s="78" t="e">
        <f>IF(AND('2.报价结算清单'!#REF!&gt;0,'2.报价结算清单'!#REF!&lt;&gt;0,'2.报价结算清单'!#REF!&lt;&gt;0),'2.报价结算清单'!#REF!,"")</f>
        <v>#REF!</v>
      </c>
      <c r="P61" s="78" t="e">
        <f>IF(AND('2.报价结算清单'!#REF!&gt;0,'2.报价结算清单'!#REF!&lt;&gt;0,'2.报价结算清单'!#REF!&lt;&gt;0),'2.报价结算清单'!#REF!,"")</f>
        <v>#REF!</v>
      </c>
      <c r="Q61" s="78" t="e">
        <f>IF(F61="",J61,VLOOKUP(F61,框架条目清单!A:K,4,FALSE))</f>
        <v>#REF!</v>
      </c>
      <c r="R61" s="106" t="e">
        <f>IF($A61="","",'2.报价结算清单'!$K$183)</f>
        <v>#REF!</v>
      </c>
      <c r="S61" s="80" t="e">
        <f>IF($A61="","",'2.报价结算清单'!$E$183)</f>
        <v>#REF!</v>
      </c>
      <c r="T61" s="78" t="e">
        <f>IF(F61="","",VLOOKUP(F61,框架条目清单!A:K,7,FALSE))</f>
        <v>#REF!</v>
      </c>
      <c r="U61" s="78" t="e">
        <f>IF(F61="","",VLOOKUP(F61,框架条目清单!A:K,8,FALSE))</f>
        <v>#REF!</v>
      </c>
      <c r="V61" s="78" t="e">
        <f>IF(F61="","",VLOOKUP(F61,框架条目清单!A:K,9,FALSE))</f>
        <v>#REF!</v>
      </c>
    </row>
    <row r="62" spans="1:22">
      <c r="A62" s="78" t="str">
        <f>IF(AND('2.报价结算清单'!$P159&gt;0,'2.报价结算清单'!$B159&lt;&gt;0,'2.报价结算清单'!$F159&lt;&gt;0),'2.报价结算清单'!$F159,"")</f>
        <v/>
      </c>
      <c r="B62" s="78" t="str">
        <f>_xlfn.IFNA(VLOOKUP(A62,'3.框架内物料'!$A:$I,3,0),A62)</f>
        <v/>
      </c>
      <c r="C62" s="78" t="str">
        <f>IF(AND('2.报价结算清单'!$P159&gt;0,'2.报价结算清单'!$B159&lt;&gt;0,'2.报价结算清单'!C159&lt;&gt;0),'2.报价结算清单'!C159,"")</f>
        <v/>
      </c>
      <c r="D62" s="78" t="str">
        <f>IF(AND('2.报价结算清单'!$P159&gt;0,'2.报价结算清单'!$B159&lt;&gt;0,'2.报价结算清单'!D159&lt;&gt;0),'2.报价结算清单'!D159,"")</f>
        <v/>
      </c>
      <c r="E62" s="78" t="str">
        <f>IF(AND('2.报价结算清单'!$P159&gt;0,'2.报价结算清单'!$B159&lt;&gt;0,'2.报价结算清单'!E159&lt;&gt;0),'2.报价结算清单'!E159,"")</f>
        <v/>
      </c>
      <c r="F62" s="105" t="str">
        <f>_xlfn.IFNA(IF($A62="","",IF(VLOOKUP($A62,'3.框架内物料'!$A:$I,2,0)="","",VLOOKUP($A62,'3.框架内物料'!$A:$I,2,0))),"")</f>
        <v/>
      </c>
      <c r="G62" s="87" t="str">
        <f>IF(AND('2.报价结算清单'!$P159&gt;0,'2.报价结算清单'!$B159&lt;&gt;0,'2.报价结算清单'!H159&lt;&gt;0),'2.报价结算清单'!H159,"")</f>
        <v/>
      </c>
      <c r="H62" s="122" t="str">
        <f>IF(AND('2.报价结算清单'!$P159&gt;0,'2.报价结算清单'!$B159&lt;&gt;0,'2.报价结算清单'!$F159&lt;&gt;0),'2.报价结算清单'!J159,"")</f>
        <v/>
      </c>
      <c r="I62" s="105" t="str">
        <f>IF(AND('2.报价结算清单'!$P159&gt;0,'2.报价结算清单'!$B159&lt;&gt;0,'2.报价结算清单'!$F159&lt;&gt;0),'2.报价结算清单'!L159,"")</f>
        <v/>
      </c>
      <c r="J62" s="105" t="str">
        <f>IF(AND('2.报价结算清单'!$P159&gt;0,'2.报价结算清单'!$B159&lt;&gt;0,'2.报价结算清单'!I159&lt;&gt;0),'2.报价结算清单'!I159,"")</f>
        <v/>
      </c>
      <c r="K62" s="105" t="str">
        <f>IF(AND('2.报价结算清单'!$P159&gt;0,'2.报价结算清单'!$B159&lt;&gt;0,'2.报价结算清单'!$F159&lt;&gt;0),'2.报价结算清单'!N159,"")</f>
        <v/>
      </c>
      <c r="L62" s="105" t="str">
        <f>IF(AND('2.报价结算清单'!$P159&gt;0,'2.报价结算清单'!$B159&lt;&gt;0,'2.报价结算清单'!I159&lt;&gt;0),"天","")</f>
        <v/>
      </c>
      <c r="M62" s="80" t="str">
        <f t="shared" si="4"/>
        <v/>
      </c>
      <c r="N62" s="78" t="str">
        <f t="shared" si="5"/>
        <v/>
      </c>
      <c r="O62" s="78" t="str">
        <f>IF(AND('2.报价结算清单'!$P159&gt;0,'2.报价结算清单'!$B159&lt;&gt;0,'2.报价结算清单'!S159&lt;&gt;0),'2.报价结算清单'!S159,"")</f>
        <v/>
      </c>
      <c r="P62" s="78" t="str">
        <f>IF(AND('2.报价结算清单'!$P159&gt;0,'2.报价结算清单'!$B159&lt;&gt;0,'2.报价结算清单'!T159&lt;&gt;0),'2.报价结算清单'!T159,"")</f>
        <v/>
      </c>
      <c r="Q62" s="78" t="str">
        <f>IF(F62="",J62,VLOOKUP(F62,框架条目清单!A:K,4,FALSE))</f>
        <v/>
      </c>
      <c r="R62" s="106" t="str">
        <f>IF($A62="","",'2.报价结算清单'!$K$183)</f>
        <v/>
      </c>
      <c r="S62" s="80" t="str">
        <f>IF($A62="","",'2.报价结算清单'!$E$183)</f>
        <v/>
      </c>
      <c r="T62" s="78" t="str">
        <f>IF(F62="","",VLOOKUP(F62,框架条目清单!A:K,7,FALSE))</f>
        <v/>
      </c>
      <c r="U62" s="78" t="str">
        <f>IF(F62="","",VLOOKUP(F62,框架条目清单!A:K,8,FALSE))</f>
        <v/>
      </c>
      <c r="V62" s="78" t="str">
        <f>IF(F62="","",VLOOKUP(F62,框架条目清单!A:K,9,FALSE))</f>
        <v/>
      </c>
    </row>
    <row r="63" spans="1:22">
      <c r="A63" s="78" t="str">
        <f>IF(AND('2.报价结算清单'!$P160&gt;0,'2.报价结算清单'!$B160&lt;&gt;0,'2.报价结算清单'!$F160&lt;&gt;0),'2.报价结算清单'!$F160,"")</f>
        <v>J#001</v>
      </c>
      <c r="B63" s="78" t="str">
        <f>_xlfn.IFNA(VLOOKUP(A63,'3.框架内物料'!$A:$I,3,0),A63)</f>
        <v>场地相关</v>
      </c>
      <c r="C63" s="78" t="str">
        <f>IF(AND('2.报价结算清单'!$P160&gt;0,'2.报价结算清单'!$B160&lt;&gt;0,'2.报价结算清单'!C160&lt;&gt;0),'2.报价结算清单'!C160,"")</f>
        <v>厦门</v>
      </c>
      <c r="D63" s="78" t="str">
        <f>IF(AND('2.报价结算清单'!$P160&gt;0,'2.报价结算清单'!$B160&lt;&gt;0,'2.报价结算清单'!D160&lt;&gt;0),'2.报价结算清单'!D160,"")</f>
        <v>厦门</v>
      </c>
      <c r="E63" s="78" t="str">
        <f>IF(AND('2.报价结算清单'!$P160&gt;0,'2.报价结算清单'!$B160&lt;&gt;0,'2.报价结算清单'!E160&lt;&gt;0),'2.报价结算清单'!E160,"")</f>
        <v>厦门香格里拉-4层露台</v>
      </c>
      <c r="F63" s="105" t="str">
        <f>_xlfn.IFNA(IF($A63="","",IF(VLOOKUP($A63,'3.框架内物料'!$A:$I,2,0)="","",VLOOKUP($A63,'3.框架内物料'!$A:$I,2,0))),"")</f>
        <v/>
      </c>
      <c r="G63" s="87" t="str">
        <f>IF(AND('2.报价结算清单'!$P160&gt;0,'2.报价结算清单'!$B160&lt;&gt;0,'2.报价结算清单'!H160&lt;&gt;0),'2.报价结算清单'!H160,"")</f>
        <v>场地相关-场地费用-场地租金-会议中心--</v>
      </c>
      <c r="H63" s="122">
        <f>IF(AND('2.报价结算清单'!$P160&gt;0,'2.报价结算清单'!$B160&lt;&gt;0,'2.报价结算清单'!$F160&lt;&gt;0),'2.报价结算清单'!J160,"")</f>
        <v>20000</v>
      </c>
      <c r="I63" s="105">
        <f>IF(AND('2.报价结算清单'!$P160&gt;0,'2.报价结算清单'!$B160&lt;&gt;0,'2.报价结算清单'!$F160&lt;&gt;0),'2.报价结算清单'!L160,"")</f>
        <v>1</v>
      </c>
      <c r="J63" s="105" t="str">
        <f>IF(AND('2.报价结算清单'!$P160&gt;0,'2.报价结算清单'!$B160&lt;&gt;0,'2.报价结算清单'!I160&lt;&gt;0),'2.报价结算清单'!I160,"")</f>
        <v>项</v>
      </c>
      <c r="K63" s="105">
        <f>IF(AND('2.报价结算清单'!$P160&gt;0,'2.报价结算清单'!$B160&lt;&gt;0,'2.报价结算清单'!$F160&lt;&gt;0),'2.报价结算清单'!N160,"")</f>
        <v>7</v>
      </c>
      <c r="L63" s="105" t="str">
        <f>IF(AND('2.报价结算清单'!$P160&gt;0,'2.报价结算清单'!$B160&lt;&gt;0,'2.报价结算清单'!I160&lt;&gt;0),"天","")</f>
        <v>天</v>
      </c>
      <c r="M63" s="80" t="str">
        <f t="shared" si="4"/>
        <v>框架内</v>
      </c>
      <c r="N63" s="78">
        <f t="shared" si="5"/>
        <v>140000</v>
      </c>
      <c r="O63" s="78" t="str">
        <f>IF(AND('2.报价结算清单'!$P160&gt;0,'2.报价结算清单'!$B160&lt;&gt;0,'2.报价结算清单'!S160&lt;&gt;0),'2.报价结算清单'!S160,"")</f>
        <v/>
      </c>
      <c r="P63" s="78" t="str">
        <f>IF(AND('2.报价结算清单'!$P160&gt;0,'2.报价结算清单'!$B160&lt;&gt;0,'2.报价结算清单'!T160&lt;&gt;0),'2.报价结算清单'!T160,"")</f>
        <v/>
      </c>
      <c r="Q63" s="78" t="str">
        <f>IF(F63="",J63,VLOOKUP(F63,框架条目清单!A:K,4,FALSE))</f>
        <v>项</v>
      </c>
      <c r="R63" s="106">
        <f>IF($A63="","",'2.报价结算清单'!$K$183)</f>
        <v>0.06</v>
      </c>
      <c r="S63" s="80" t="str">
        <f>IF($A63="","",'2.报价结算清单'!$E$183)</f>
        <v>CNY</v>
      </c>
      <c r="T63" s="78" t="str">
        <f>IF(F63="","",VLOOKUP(F63,框架条目清单!A:K,7,FALSE))</f>
        <v/>
      </c>
      <c r="U63" s="78" t="str">
        <f>IF(F63="","",VLOOKUP(F63,框架条目清单!A:K,8,FALSE))</f>
        <v/>
      </c>
      <c r="V63" s="78" t="str">
        <f>IF(F63="","",VLOOKUP(F63,框架条目清单!A:K,9,FALSE))</f>
        <v/>
      </c>
    </row>
    <row r="64" spans="1:22">
      <c r="A64" s="78" t="str">
        <f>IF(AND('2.报价结算清单'!$P161&gt;0,'2.报价结算清单'!$B161&lt;&gt;0,'2.报价结算清单'!$F161&lt;&gt;0),'2.报价结算清单'!$F161,"")</f>
        <v/>
      </c>
      <c r="B64" s="78" t="str">
        <f>_xlfn.IFNA(VLOOKUP(A64,'3.框架内物料'!$A:$I,3,0),A64)</f>
        <v/>
      </c>
      <c r="C64" s="78" t="str">
        <f>IF(AND('2.报价结算清单'!$P161&gt;0,'2.报价结算清单'!$B161&lt;&gt;0,'2.报价结算清单'!C161&lt;&gt;0),'2.报价结算清单'!C161,"")</f>
        <v/>
      </c>
      <c r="D64" s="78" t="str">
        <f>IF(AND('2.报价结算清单'!$P161&gt;0,'2.报价结算清单'!$B161&lt;&gt;0,'2.报价结算清单'!D161&lt;&gt;0),'2.报价结算清单'!D161,"")</f>
        <v/>
      </c>
      <c r="E64" s="78" t="str">
        <f>IF(AND('2.报价结算清单'!$P161&gt;0,'2.报价结算清单'!$B161&lt;&gt;0,'2.报价结算清单'!E161&lt;&gt;0),'2.报价结算清单'!E161,"")</f>
        <v/>
      </c>
      <c r="F64" s="105" t="str">
        <f>_xlfn.IFNA(IF($A64="","",IF(VLOOKUP($A64,'3.框架内物料'!$A:$I,2,0)="","",VLOOKUP($A64,'3.框架内物料'!$A:$I,2,0))),"")</f>
        <v/>
      </c>
      <c r="G64" s="87" t="str">
        <f>IF(AND('2.报价结算清单'!$P161&gt;0,'2.报价结算清单'!$B161&lt;&gt;0,'2.报价结算清单'!H161&lt;&gt;0),'2.报价结算清单'!H161,"")</f>
        <v/>
      </c>
      <c r="H64" s="122" t="str">
        <f>IF(AND('2.报价结算清单'!$P161&gt;0,'2.报价结算清单'!$B161&lt;&gt;0,'2.报价结算清单'!$F161&lt;&gt;0),'2.报价结算清单'!J161,"")</f>
        <v/>
      </c>
      <c r="I64" s="105" t="str">
        <f>IF(AND('2.报价结算清单'!$P161&gt;0,'2.报价结算清单'!$B161&lt;&gt;0,'2.报价结算清单'!$F161&lt;&gt;0),'2.报价结算清单'!L161,"")</f>
        <v/>
      </c>
      <c r="J64" s="105" t="str">
        <f>IF(AND('2.报价结算清单'!$P161&gt;0,'2.报价结算清单'!$B161&lt;&gt;0,'2.报价结算清单'!I161&lt;&gt;0),'2.报价结算清单'!I161,"")</f>
        <v/>
      </c>
      <c r="K64" s="105" t="str">
        <f>IF(AND('2.报价结算清单'!$P161&gt;0,'2.报价结算清单'!$B161&lt;&gt;0,'2.报价结算清单'!$F161&lt;&gt;0),'2.报价结算清单'!N161,"")</f>
        <v/>
      </c>
      <c r="L64" s="105" t="str">
        <f>IF(AND('2.报价结算清单'!$P161&gt;0,'2.报价结算清单'!$B161&lt;&gt;0,'2.报价结算清单'!I161&lt;&gt;0),"天","")</f>
        <v/>
      </c>
      <c r="M64" s="80" t="str">
        <f t="shared" si="4"/>
        <v/>
      </c>
      <c r="N64" s="78" t="str">
        <f t="shared" si="5"/>
        <v/>
      </c>
      <c r="O64" s="78" t="str">
        <f>IF(AND('2.报价结算清单'!$P161&gt;0,'2.报价结算清单'!$B161&lt;&gt;0,'2.报价结算清单'!S161&lt;&gt;0),'2.报价结算清单'!S161,"")</f>
        <v/>
      </c>
      <c r="P64" s="78" t="str">
        <f>IF(AND('2.报价结算清单'!$P161&gt;0,'2.报价结算清单'!$B161&lt;&gt;0,'2.报价结算清单'!T161&lt;&gt;0),'2.报价结算清单'!T161,"")</f>
        <v/>
      </c>
      <c r="Q64" s="78" t="str">
        <f>IF(F64="",J64,VLOOKUP(F64,框架条目清单!A:K,4,FALSE))</f>
        <v/>
      </c>
      <c r="R64" s="106" t="str">
        <f>IF($A64="","",'2.报价结算清单'!$K$183)</f>
        <v/>
      </c>
      <c r="S64" s="80" t="str">
        <f>IF($A64="","",'2.报价结算清单'!$E$183)</f>
        <v/>
      </c>
      <c r="T64" s="78" t="str">
        <f>IF(F64="","",VLOOKUP(F64,框架条目清单!A:K,7,FALSE))</f>
        <v/>
      </c>
      <c r="U64" s="78" t="str">
        <f>IF(F64="","",VLOOKUP(F64,框架条目清单!A:K,8,FALSE))</f>
        <v/>
      </c>
      <c r="V64" s="78" t="str">
        <f>IF(F64="","",VLOOKUP(F64,框架条目清单!A:K,9,FALSE))</f>
        <v/>
      </c>
    </row>
    <row r="65" spans="1:22">
      <c r="A65" s="78" t="str">
        <f>IF(AND('2.报价结算清单'!$P162&gt;0,'2.报价结算清单'!$B162&lt;&gt;0,'2.报价结算清单'!$F162&lt;&gt;0),'2.报价结算清单'!$F162,"")</f>
        <v/>
      </c>
      <c r="B65" s="78" t="str">
        <f>_xlfn.IFNA(VLOOKUP(A65,'3.框架内物料'!$A:$I,3,0),A65)</f>
        <v/>
      </c>
      <c r="C65" s="78" t="str">
        <f>IF(AND('2.报价结算清单'!$P162&gt;0,'2.报价结算清单'!$B162&lt;&gt;0,'2.报价结算清单'!C162&lt;&gt;0),'2.报价结算清单'!C162,"")</f>
        <v/>
      </c>
      <c r="D65" s="78" t="str">
        <f>IF(AND('2.报价结算清单'!$P162&gt;0,'2.报价结算清单'!$B162&lt;&gt;0,'2.报价结算清单'!D162&lt;&gt;0),'2.报价结算清单'!D162,"")</f>
        <v/>
      </c>
      <c r="E65" s="78" t="str">
        <f>IF(AND('2.报价结算清单'!$P162&gt;0,'2.报价结算清单'!$B162&lt;&gt;0,'2.报价结算清单'!E162&lt;&gt;0),'2.报价结算清单'!E162,"")</f>
        <v/>
      </c>
      <c r="F65" s="105" t="str">
        <f>_xlfn.IFNA(IF($A65="","",IF(VLOOKUP($A65,'3.框架内物料'!$A:$I,2,0)="","",VLOOKUP($A65,'3.框架内物料'!$A:$I,2,0))),"")</f>
        <v/>
      </c>
      <c r="G65" s="87" t="str">
        <f>IF(AND('2.报价结算清单'!$P162&gt;0,'2.报价结算清单'!$B162&lt;&gt;0,'2.报价结算清单'!H162&lt;&gt;0),'2.报价结算清单'!H162,"")</f>
        <v/>
      </c>
      <c r="H65" s="122" t="str">
        <f>IF(AND('2.报价结算清单'!$P162&gt;0,'2.报价结算清单'!$B162&lt;&gt;0,'2.报价结算清单'!$F162&lt;&gt;0),'2.报价结算清单'!J162,"")</f>
        <v/>
      </c>
      <c r="I65" s="105" t="str">
        <f>IF(AND('2.报价结算清单'!$P162&gt;0,'2.报价结算清单'!$B162&lt;&gt;0,'2.报价结算清单'!$F162&lt;&gt;0),'2.报价结算清单'!L162,"")</f>
        <v/>
      </c>
      <c r="J65" s="105" t="str">
        <f>IF(AND('2.报价结算清单'!$P162&gt;0,'2.报价结算清单'!$B162&lt;&gt;0,'2.报价结算清单'!I162&lt;&gt;0),'2.报价结算清单'!I162,"")</f>
        <v/>
      </c>
      <c r="K65" s="105" t="str">
        <f>IF(AND('2.报价结算清单'!$P162&gt;0,'2.报价结算清单'!$B162&lt;&gt;0,'2.报价结算清单'!$F162&lt;&gt;0),'2.报价结算清单'!N162,"")</f>
        <v/>
      </c>
      <c r="L65" s="105" t="str">
        <f>IF(AND('2.报价结算清单'!$P162&gt;0,'2.报价结算清单'!$B162&lt;&gt;0,'2.报价结算清单'!I162&lt;&gt;0),"天","")</f>
        <v/>
      </c>
      <c r="M65" s="80" t="str">
        <f t="shared" si="4"/>
        <v/>
      </c>
      <c r="N65" s="78" t="str">
        <f t="shared" si="5"/>
        <v/>
      </c>
      <c r="O65" s="78" t="str">
        <f>IF(AND('2.报价结算清单'!$P162&gt;0,'2.报价结算清单'!$B162&lt;&gt;0,'2.报价结算清单'!S162&lt;&gt;0),'2.报价结算清单'!S162,"")</f>
        <v/>
      </c>
      <c r="P65" s="78" t="str">
        <f>IF(AND('2.报价结算清单'!$P162&gt;0,'2.报价结算清单'!$B162&lt;&gt;0,'2.报价结算清单'!T162&lt;&gt;0),'2.报价结算清单'!T162,"")</f>
        <v/>
      </c>
      <c r="Q65" s="78" t="str">
        <f>IF(F65="",J65,VLOOKUP(F65,框架条目清单!A:K,4,FALSE))</f>
        <v/>
      </c>
      <c r="R65" s="106" t="str">
        <f>IF($A65="","",'2.报价结算清单'!$K$183)</f>
        <v/>
      </c>
      <c r="S65" s="80" t="str">
        <f>IF($A65="","",'2.报价结算清单'!$E$183)</f>
        <v/>
      </c>
      <c r="T65" s="78" t="str">
        <f>IF(F65="","",VLOOKUP(F65,框架条目清单!A:K,7,FALSE))</f>
        <v/>
      </c>
      <c r="U65" s="78" t="str">
        <f>IF(F65="","",VLOOKUP(F65,框架条目清单!A:K,8,FALSE))</f>
        <v/>
      </c>
      <c r="V65" s="78" t="str">
        <f>IF(F65="","",VLOOKUP(F65,框架条目清单!A:K,9,FALSE))</f>
        <v/>
      </c>
    </row>
    <row r="66" spans="1:22">
      <c r="A66" s="78" t="str">
        <f>IF(AND('2.报价结算清单'!$P163&gt;0,'2.报价结算清单'!$B163&lt;&gt;0,'2.报价结算清单'!$F163&lt;&gt;0),'2.报价结算清单'!$F163,"")</f>
        <v/>
      </c>
      <c r="B66" s="78" t="str">
        <f>_xlfn.IFNA(VLOOKUP(A66,'3.框架内物料'!$A:$I,3,0),A66)</f>
        <v/>
      </c>
      <c r="C66" s="78" t="str">
        <f>IF(AND('2.报价结算清单'!$P163&gt;0,'2.报价结算清单'!$B163&lt;&gt;0,'2.报价结算清单'!C163&lt;&gt;0),'2.报价结算清单'!C163,"")</f>
        <v/>
      </c>
      <c r="D66" s="78" t="str">
        <f>IF(AND('2.报价结算清单'!$P163&gt;0,'2.报价结算清单'!$B163&lt;&gt;0,'2.报价结算清单'!D163&lt;&gt;0),'2.报价结算清单'!D163,"")</f>
        <v/>
      </c>
      <c r="E66" s="78" t="str">
        <f>IF(AND('2.报价结算清单'!$P163&gt;0,'2.报价结算清单'!$B163&lt;&gt;0,'2.报价结算清单'!E163&lt;&gt;0),'2.报价结算清单'!E163,"")</f>
        <v/>
      </c>
      <c r="F66" s="105" t="str">
        <f>_xlfn.IFNA(IF($A66="","",IF(VLOOKUP($A66,'3.框架内物料'!$A:$I,2,0)="","",VLOOKUP($A66,'3.框架内物料'!$A:$I,2,0))),"")</f>
        <v/>
      </c>
      <c r="G66" s="87" t="str">
        <f>IF(AND('2.报价结算清单'!$P163&gt;0,'2.报价结算清单'!$B163&lt;&gt;0,'2.报价结算清单'!H163&lt;&gt;0),'2.报价结算清单'!H163,"")</f>
        <v/>
      </c>
      <c r="H66" s="122" t="str">
        <f>IF(AND('2.报价结算清单'!$P163&gt;0,'2.报价结算清单'!$B163&lt;&gt;0,'2.报价结算清单'!$F163&lt;&gt;0),'2.报价结算清单'!J163,"")</f>
        <v/>
      </c>
      <c r="I66" s="105" t="str">
        <f>IF(AND('2.报价结算清单'!$P163&gt;0,'2.报价结算清单'!$B163&lt;&gt;0,'2.报价结算清单'!$F163&lt;&gt;0),'2.报价结算清单'!L163,"")</f>
        <v/>
      </c>
      <c r="J66" s="105" t="str">
        <f>IF(AND('2.报价结算清单'!$P163&gt;0,'2.报价结算清单'!$B163&lt;&gt;0,'2.报价结算清单'!I163&lt;&gt;0),'2.报价结算清单'!I163,"")</f>
        <v/>
      </c>
      <c r="K66" s="105" t="str">
        <f>IF(AND('2.报价结算清单'!$P163&gt;0,'2.报价结算清单'!$B163&lt;&gt;0,'2.报价结算清单'!$F163&lt;&gt;0),'2.报价结算清单'!N163,"")</f>
        <v/>
      </c>
      <c r="L66" s="105" t="str">
        <f>IF(AND('2.报价结算清单'!$P163&gt;0,'2.报价结算清单'!$B163&lt;&gt;0,'2.报价结算清单'!I163&lt;&gt;0),"天","")</f>
        <v/>
      </c>
      <c r="M66" s="80" t="str">
        <f t="shared" si="4"/>
        <v/>
      </c>
      <c r="N66" s="78" t="str">
        <f t="shared" si="5"/>
        <v/>
      </c>
      <c r="O66" s="78" t="str">
        <f>IF(AND('2.报价结算清单'!$P163&gt;0,'2.报价结算清单'!$B163&lt;&gt;0,'2.报价结算清单'!S163&lt;&gt;0),'2.报价结算清单'!S163,"")</f>
        <v/>
      </c>
      <c r="P66" s="78" t="str">
        <f>IF(AND('2.报价结算清单'!$P163&gt;0,'2.报价结算清单'!$B163&lt;&gt;0,'2.报价结算清单'!T163&lt;&gt;0),'2.报价结算清单'!T163,"")</f>
        <v/>
      </c>
      <c r="Q66" s="78" t="str">
        <f>IF(F66="",J66,VLOOKUP(F66,框架条目清单!A:K,4,FALSE))</f>
        <v/>
      </c>
      <c r="R66" s="106" t="str">
        <f>IF($A66="","",'2.报价结算清单'!$K$183)</f>
        <v/>
      </c>
      <c r="S66" s="80" t="str">
        <f>IF($A66="","",'2.报价结算清单'!$E$183)</f>
        <v/>
      </c>
      <c r="T66" s="78" t="str">
        <f>IF(F66="","",VLOOKUP(F66,框架条目清单!A:K,7,FALSE))</f>
        <v/>
      </c>
      <c r="U66" s="78" t="str">
        <f>IF(F66="","",VLOOKUP(F66,框架条目清单!A:K,8,FALSE))</f>
        <v/>
      </c>
      <c r="V66" s="78" t="str">
        <f>IF(F66="","",VLOOKUP(F66,框架条目清单!A:K,9,FALSE))</f>
        <v/>
      </c>
    </row>
    <row r="67" spans="1:22">
      <c r="A67" s="78" t="str">
        <f>IF(AND('2.报价结算清单'!$P164&gt;0,'2.报价结算清单'!$B164&lt;&gt;0,'2.报价结算清单'!$F164&lt;&gt;0),'2.报价结算清单'!$F164,"")</f>
        <v/>
      </c>
      <c r="B67" s="78" t="str">
        <f>_xlfn.IFNA(VLOOKUP(A67,'3.框架内物料'!$A:$I,3,0),A67)</f>
        <v/>
      </c>
      <c r="C67" s="78" t="str">
        <f>IF(AND('2.报价结算清单'!$P164&gt;0,'2.报价结算清单'!$B164&lt;&gt;0,'2.报价结算清单'!C164&lt;&gt;0),'2.报价结算清单'!C164,"")</f>
        <v/>
      </c>
      <c r="D67" s="78" t="str">
        <f>IF(AND('2.报价结算清单'!$P164&gt;0,'2.报价结算清单'!$B164&lt;&gt;0,'2.报价结算清单'!D164&lt;&gt;0),'2.报价结算清单'!D164,"")</f>
        <v/>
      </c>
      <c r="E67" s="78" t="str">
        <f>IF(AND('2.报价结算清单'!$P164&gt;0,'2.报价结算清单'!$B164&lt;&gt;0,'2.报价结算清单'!E164&lt;&gt;0),'2.报价结算清单'!E164,"")</f>
        <v/>
      </c>
      <c r="F67" s="105" t="str">
        <f>_xlfn.IFNA(IF($A67="","",IF(VLOOKUP($A67,'3.框架内物料'!$A:$I,2,0)="","",VLOOKUP($A67,'3.框架内物料'!$A:$I,2,0))),"")</f>
        <v/>
      </c>
      <c r="G67" s="87" t="str">
        <f>IF(AND('2.报价结算清单'!$P164&gt;0,'2.报价结算清单'!$B164&lt;&gt;0,'2.报价结算清单'!H164&lt;&gt;0),'2.报价结算清单'!H164,"")</f>
        <v/>
      </c>
      <c r="H67" s="122" t="str">
        <f>IF(AND('2.报价结算清单'!$P164&gt;0,'2.报价结算清单'!$B164&lt;&gt;0,'2.报价结算清单'!$F164&lt;&gt;0),'2.报价结算清单'!J164,"")</f>
        <v/>
      </c>
      <c r="I67" s="105" t="str">
        <f>IF(AND('2.报价结算清单'!$P164&gt;0,'2.报价结算清单'!$B164&lt;&gt;0,'2.报价结算清单'!$F164&lt;&gt;0),'2.报价结算清单'!L164,"")</f>
        <v/>
      </c>
      <c r="J67" s="105" t="str">
        <f>IF(AND('2.报价结算清单'!$P164&gt;0,'2.报价结算清单'!$B164&lt;&gt;0,'2.报价结算清单'!I164&lt;&gt;0),'2.报价结算清单'!I164,"")</f>
        <v/>
      </c>
      <c r="K67" s="105" t="str">
        <f>IF(AND('2.报价结算清单'!$P164&gt;0,'2.报价结算清单'!$B164&lt;&gt;0,'2.报价结算清单'!$F164&lt;&gt;0),'2.报价结算清单'!N164,"")</f>
        <v/>
      </c>
      <c r="L67" s="105" t="str">
        <f>IF(AND('2.报价结算清单'!$P164&gt;0,'2.报价结算清单'!$B164&lt;&gt;0,'2.报价结算清单'!I164&lt;&gt;0),"天","")</f>
        <v/>
      </c>
      <c r="M67" s="80" t="str">
        <f t="shared" si="4"/>
        <v/>
      </c>
      <c r="N67" s="78" t="str">
        <f t="shared" si="5"/>
        <v/>
      </c>
      <c r="O67" s="78" t="str">
        <f>IF(AND('2.报价结算清单'!$P164&gt;0,'2.报价结算清单'!$B164&lt;&gt;0,'2.报价结算清单'!S164&lt;&gt;0),'2.报价结算清单'!S164,"")</f>
        <v/>
      </c>
      <c r="P67" s="78" t="str">
        <f>IF(AND('2.报价结算清单'!$P164&gt;0,'2.报价结算清单'!$B164&lt;&gt;0,'2.报价结算清单'!T164&lt;&gt;0),'2.报价结算清单'!T164,"")</f>
        <v/>
      </c>
      <c r="Q67" s="78" t="str">
        <f>IF(F67="",J67,VLOOKUP(F67,框架条目清单!A:K,4,FALSE))</f>
        <v/>
      </c>
      <c r="R67" s="106" t="str">
        <f>IF($A67="","",'2.报价结算清单'!$K$183)</f>
        <v/>
      </c>
      <c r="S67" s="80" t="str">
        <f>IF($A67="","",'2.报价结算清单'!$E$183)</f>
        <v/>
      </c>
      <c r="T67" s="78" t="str">
        <f>IF(F67="","",VLOOKUP(F67,框架条目清单!A:K,7,FALSE))</f>
        <v/>
      </c>
      <c r="U67" s="78" t="str">
        <f>IF(F67="","",VLOOKUP(F67,框架条目清单!A:K,8,FALSE))</f>
        <v/>
      </c>
      <c r="V67" s="78" t="str">
        <f>IF(F67="","",VLOOKUP(F67,框架条目清单!A:K,9,FALSE))</f>
        <v/>
      </c>
    </row>
    <row r="68" spans="1:22">
      <c r="A68" s="78" t="str">
        <f>IF(AND('2.报价结算清单'!$P165&gt;0,'2.报价结算清单'!$B165&lt;&gt;0,'2.报价结算清单'!$F165&lt;&gt;0),'2.报价结算清单'!$F165,"")</f>
        <v/>
      </c>
      <c r="B68" s="78" t="str">
        <f>_xlfn.IFNA(VLOOKUP(A68,'3.框架内物料'!$A:$I,3,0),A68)</f>
        <v/>
      </c>
      <c r="C68" s="78" t="str">
        <f>IF(AND('2.报价结算清单'!$P165&gt;0,'2.报价结算清单'!$B165&lt;&gt;0,'2.报价结算清单'!C165&lt;&gt;0),'2.报价结算清单'!C165,"")</f>
        <v/>
      </c>
      <c r="D68" s="78" t="str">
        <f>IF(AND('2.报价结算清单'!$P165&gt;0,'2.报价结算清单'!$B165&lt;&gt;0,'2.报价结算清单'!D165&lt;&gt;0),'2.报价结算清单'!D165,"")</f>
        <v/>
      </c>
      <c r="E68" s="78" t="str">
        <f>IF(AND('2.报价结算清单'!$P165&gt;0,'2.报价结算清单'!$B165&lt;&gt;0,'2.报价结算清单'!E165&lt;&gt;0),'2.报价结算清单'!E165,"")</f>
        <v/>
      </c>
      <c r="F68" s="105" t="str">
        <f>_xlfn.IFNA(IF($A68="","",IF(VLOOKUP($A68,'3.框架内物料'!$A:$I,2,0)="","",VLOOKUP($A68,'3.框架内物料'!$A:$I,2,0))),"")</f>
        <v/>
      </c>
      <c r="G68" s="87" t="str">
        <f>IF(AND('2.报价结算清单'!$P165&gt;0,'2.报价结算清单'!$B165&lt;&gt;0,'2.报价结算清单'!H165&lt;&gt;0),'2.报价结算清单'!H165,"")</f>
        <v/>
      </c>
      <c r="H68" s="122" t="str">
        <f>IF(AND('2.报价结算清单'!$P165&gt;0,'2.报价结算清单'!$B165&lt;&gt;0,'2.报价结算清单'!$F165&lt;&gt;0),'2.报价结算清单'!J165,"")</f>
        <v/>
      </c>
      <c r="I68" s="105" t="str">
        <f>IF(AND('2.报价结算清单'!$P165&gt;0,'2.报价结算清单'!$B165&lt;&gt;0,'2.报价结算清单'!$F165&lt;&gt;0),'2.报价结算清单'!L165,"")</f>
        <v/>
      </c>
      <c r="J68" s="105" t="str">
        <f>IF(AND('2.报价结算清单'!$P165&gt;0,'2.报价结算清单'!$B165&lt;&gt;0,'2.报价结算清单'!I165&lt;&gt;0),'2.报价结算清单'!I165,"")</f>
        <v/>
      </c>
      <c r="K68" s="105" t="str">
        <f>IF(AND('2.报价结算清单'!$P165&gt;0,'2.报价结算清单'!$B165&lt;&gt;0,'2.报价结算清单'!$F165&lt;&gt;0),'2.报价结算清单'!N165,"")</f>
        <v/>
      </c>
      <c r="L68" s="105" t="str">
        <f>IF(AND('2.报价结算清单'!$P165&gt;0,'2.报价结算清单'!$B165&lt;&gt;0,'2.报价结算清单'!I165&lt;&gt;0),"天","")</f>
        <v/>
      </c>
      <c r="M68" s="80" t="str">
        <f t="shared" si="4"/>
        <v/>
      </c>
      <c r="N68" s="78" t="str">
        <f t="shared" si="5"/>
        <v/>
      </c>
      <c r="O68" s="78" t="str">
        <f>IF(AND('2.报价结算清单'!$P165&gt;0,'2.报价结算清单'!$B165&lt;&gt;0,'2.报价结算清单'!S165&lt;&gt;0),'2.报价结算清单'!S165,"")</f>
        <v/>
      </c>
      <c r="P68" s="78" t="str">
        <f>IF(AND('2.报价结算清单'!$P165&gt;0,'2.报价结算清单'!$B165&lt;&gt;0,'2.报价结算清单'!T165&lt;&gt;0),'2.报价结算清单'!T165,"")</f>
        <v/>
      </c>
      <c r="Q68" s="78" t="str">
        <f>IF(F68="",J68,VLOOKUP(F68,框架条目清单!A:K,4,FALSE))</f>
        <v/>
      </c>
      <c r="R68" s="106" t="str">
        <f>IF($A68="","",'2.报价结算清单'!$K$183)</f>
        <v/>
      </c>
      <c r="S68" s="80" t="str">
        <f>IF($A68="","",'2.报价结算清单'!$E$183)</f>
        <v/>
      </c>
      <c r="T68" s="78" t="str">
        <f>IF(F68="","",VLOOKUP(F68,框架条目清单!A:K,7,FALSE))</f>
        <v/>
      </c>
      <c r="U68" s="78" t="str">
        <f>IF(F68="","",VLOOKUP(F68,框架条目清单!A:K,8,FALSE))</f>
        <v/>
      </c>
      <c r="V68" s="78" t="str">
        <f>IF(F68="","",VLOOKUP(F68,框架条目清单!A:K,9,FALSE))</f>
        <v/>
      </c>
    </row>
    <row r="69" spans="1:22">
      <c r="A69" s="78" t="str">
        <f>IF(AND('2.报价结算清单'!$P166&gt;0,'2.报价结算清单'!$B166&lt;&gt;0,'2.报价结算清单'!$F166&lt;&gt;0),'2.报价结算清单'!$F166,"")</f>
        <v/>
      </c>
      <c r="B69" s="78" t="str">
        <f>_xlfn.IFNA(VLOOKUP(A69,'3.框架内物料'!$A:$I,3,0),A69)</f>
        <v/>
      </c>
      <c r="C69" s="78" t="str">
        <f>IF(AND('2.报价结算清单'!$P166&gt;0,'2.报价结算清单'!$B166&lt;&gt;0,'2.报价结算清单'!C166&lt;&gt;0),'2.报价结算清单'!C166,"")</f>
        <v/>
      </c>
      <c r="D69" s="78" t="str">
        <f>IF(AND('2.报价结算清单'!$P166&gt;0,'2.报价结算清单'!$B166&lt;&gt;0,'2.报价结算清单'!D166&lt;&gt;0),'2.报价结算清单'!D166,"")</f>
        <v/>
      </c>
      <c r="E69" s="78" t="str">
        <f>IF(AND('2.报价结算清单'!$P166&gt;0,'2.报价结算清单'!$B166&lt;&gt;0,'2.报价结算清单'!E166&lt;&gt;0),'2.报价结算清单'!E166,"")</f>
        <v/>
      </c>
      <c r="F69" s="105" t="str">
        <f>_xlfn.IFNA(IF($A69="","",IF(VLOOKUP($A69,'3.框架内物料'!$A:$I,2,0)="","",VLOOKUP($A69,'3.框架内物料'!$A:$I,2,0))),"")</f>
        <v/>
      </c>
      <c r="G69" s="87" t="str">
        <f>IF(AND('2.报价结算清单'!$P166&gt;0,'2.报价结算清单'!$B166&lt;&gt;0,'2.报价结算清单'!H166&lt;&gt;0),'2.报价结算清单'!H166,"")</f>
        <v/>
      </c>
      <c r="H69" s="122" t="str">
        <f>IF(AND('2.报价结算清单'!$P166&gt;0,'2.报价结算清单'!$B166&lt;&gt;0,'2.报价结算清单'!$F166&lt;&gt;0),'2.报价结算清单'!J166,"")</f>
        <v/>
      </c>
      <c r="I69" s="105" t="str">
        <f>IF(AND('2.报价结算清单'!$P166&gt;0,'2.报价结算清单'!$B166&lt;&gt;0,'2.报价结算清单'!$F166&lt;&gt;0),'2.报价结算清单'!L166,"")</f>
        <v/>
      </c>
      <c r="J69" s="105" t="str">
        <f>IF(AND('2.报价结算清单'!$P166&gt;0,'2.报价结算清单'!$B166&lt;&gt;0,'2.报价结算清单'!I166&lt;&gt;0),'2.报价结算清单'!I166,"")</f>
        <v/>
      </c>
      <c r="K69" s="105" t="str">
        <f>IF(AND('2.报价结算清单'!$P166&gt;0,'2.报价结算清单'!$B166&lt;&gt;0,'2.报价结算清单'!$F166&lt;&gt;0),'2.报价结算清单'!N166,"")</f>
        <v/>
      </c>
      <c r="L69" s="105" t="str">
        <f>IF(AND('2.报价结算清单'!$P166&gt;0,'2.报价结算清单'!$B166&lt;&gt;0,'2.报价结算清单'!I166&lt;&gt;0),"天","")</f>
        <v/>
      </c>
      <c r="M69" s="80" t="str">
        <f t="shared" si="4"/>
        <v/>
      </c>
      <c r="N69" s="78" t="str">
        <f t="shared" si="5"/>
        <v/>
      </c>
      <c r="O69" s="78" t="str">
        <f>IF(AND('2.报价结算清单'!$P166&gt;0,'2.报价结算清单'!$B166&lt;&gt;0,'2.报价结算清单'!S166&lt;&gt;0),'2.报价结算清单'!S166,"")</f>
        <v/>
      </c>
      <c r="P69" s="78" t="str">
        <f>IF(AND('2.报价结算清单'!$P166&gt;0,'2.报价结算清单'!$B166&lt;&gt;0,'2.报价结算清单'!T166&lt;&gt;0),'2.报价结算清单'!T166,"")</f>
        <v/>
      </c>
      <c r="Q69" s="78" t="str">
        <f>IF(F69="",J69,VLOOKUP(F69,框架条目清单!A:K,4,FALSE))</f>
        <v/>
      </c>
      <c r="R69" s="106" t="str">
        <f>IF($A69="","",'2.报价结算清单'!$K$183)</f>
        <v/>
      </c>
      <c r="S69" s="80" t="str">
        <f>IF($A69="","",'2.报价结算清单'!$E$183)</f>
        <v/>
      </c>
      <c r="T69" s="78" t="str">
        <f>IF(F69="","",VLOOKUP(F69,框架条目清单!A:K,7,FALSE))</f>
        <v/>
      </c>
      <c r="U69" s="78" t="str">
        <f>IF(F69="","",VLOOKUP(F69,框架条目清单!A:K,8,FALSE))</f>
        <v/>
      </c>
      <c r="V69" s="78" t="str">
        <f>IF(F69="","",VLOOKUP(F69,框架条目清单!A:K,9,FALSE))</f>
        <v/>
      </c>
    </row>
    <row r="70" spans="1:22">
      <c r="A70" s="78" t="str">
        <f>IF(AND('2.报价结算清单'!$P167&gt;0,'2.报价结算清单'!$B167&lt;&gt;0,'2.报价结算清单'!$F167&lt;&gt;0),'2.报价结算清单'!$F167,"")</f>
        <v/>
      </c>
      <c r="B70" s="78" t="str">
        <f>_xlfn.IFNA(VLOOKUP(A70,'3.框架内物料'!$A:$I,3,0),A70)</f>
        <v/>
      </c>
      <c r="C70" s="78" t="str">
        <f>IF(AND('2.报价结算清单'!$P167&gt;0,'2.报价结算清单'!$B167&lt;&gt;0,'2.报价结算清单'!C167&lt;&gt;0),'2.报价结算清单'!C167,"")</f>
        <v/>
      </c>
      <c r="D70" s="78" t="str">
        <f>IF(AND('2.报价结算清单'!$P167&gt;0,'2.报价结算清单'!$B167&lt;&gt;0,'2.报价结算清单'!D167&lt;&gt;0),'2.报价结算清单'!D167,"")</f>
        <v/>
      </c>
      <c r="E70" s="78" t="str">
        <f>IF(AND('2.报价结算清单'!$P167&gt;0,'2.报价结算清单'!$B167&lt;&gt;0,'2.报价结算清单'!E167&lt;&gt;0),'2.报价结算清单'!E167,"")</f>
        <v/>
      </c>
      <c r="F70" s="105" t="str">
        <f>_xlfn.IFNA(IF($A70="","",IF(VLOOKUP($A70,'3.框架内物料'!$A:$I,2,0)="","",VLOOKUP($A70,'3.框架内物料'!$A:$I,2,0))),"")</f>
        <v/>
      </c>
      <c r="G70" s="87" t="str">
        <f>IF(AND('2.报价结算清单'!$P167&gt;0,'2.报价结算清单'!$B167&lt;&gt;0,'2.报价结算清单'!H167&lt;&gt;0),'2.报价结算清单'!H167,"")</f>
        <v/>
      </c>
      <c r="H70" s="122" t="str">
        <f>IF(AND('2.报价结算清单'!$P167&gt;0,'2.报价结算清单'!$B167&lt;&gt;0,'2.报价结算清单'!$F167&lt;&gt;0),'2.报价结算清单'!J167,"")</f>
        <v/>
      </c>
      <c r="I70" s="105" t="str">
        <f>IF(AND('2.报价结算清单'!$P167&gt;0,'2.报价结算清单'!$B167&lt;&gt;0,'2.报价结算清单'!$F167&lt;&gt;0),'2.报价结算清单'!L167,"")</f>
        <v/>
      </c>
      <c r="J70" s="105" t="str">
        <f>IF(AND('2.报价结算清单'!$P167&gt;0,'2.报价结算清单'!$B167&lt;&gt;0,'2.报价结算清单'!I167&lt;&gt;0),'2.报价结算清单'!I167,"")</f>
        <v/>
      </c>
      <c r="K70" s="105" t="str">
        <f>IF(AND('2.报价结算清单'!$P167&gt;0,'2.报价结算清单'!$B167&lt;&gt;0,'2.报价结算清单'!$F167&lt;&gt;0),'2.报价结算清单'!N167,"")</f>
        <v/>
      </c>
      <c r="L70" s="105" t="str">
        <f>IF(AND('2.报价结算清单'!$P167&gt;0,'2.报价结算清单'!$B167&lt;&gt;0,'2.报价结算清单'!I167&lt;&gt;0),"天","")</f>
        <v/>
      </c>
      <c r="M70" s="80" t="str">
        <f t="shared" si="4"/>
        <v/>
      </c>
      <c r="N70" s="78" t="str">
        <f t="shared" si="5"/>
        <v/>
      </c>
      <c r="O70" s="78" t="str">
        <f>IF(AND('2.报价结算清单'!$P167&gt;0,'2.报价结算清单'!$B167&lt;&gt;0,'2.报价结算清单'!S167&lt;&gt;0),'2.报价结算清单'!S167,"")</f>
        <v/>
      </c>
      <c r="P70" s="78" t="str">
        <f>IF(AND('2.报价结算清单'!$P167&gt;0,'2.报价结算清单'!$B167&lt;&gt;0,'2.报价结算清单'!T167&lt;&gt;0),'2.报价结算清单'!T167,"")</f>
        <v/>
      </c>
      <c r="Q70" s="78" t="str">
        <f>IF(F70="",J70,VLOOKUP(F70,框架条目清单!A:K,4,FALSE))</f>
        <v/>
      </c>
      <c r="R70" s="106" t="str">
        <f>IF($A70="","",'2.报价结算清单'!$K$183)</f>
        <v/>
      </c>
      <c r="S70" s="80" t="str">
        <f>IF($A70="","",'2.报价结算清单'!$E$183)</f>
        <v/>
      </c>
      <c r="T70" s="78" t="str">
        <f>IF(F70="","",VLOOKUP(F70,框架条目清单!A:K,7,FALSE))</f>
        <v/>
      </c>
      <c r="U70" s="78" t="str">
        <f>IF(F70="","",VLOOKUP(F70,框架条目清单!A:K,8,FALSE))</f>
        <v/>
      </c>
      <c r="V70" s="78" t="str">
        <f>IF(F70="","",VLOOKUP(F70,框架条目清单!A:K,9,FALSE))</f>
        <v/>
      </c>
    </row>
    <row r="71" spans="1:22">
      <c r="A71" s="78" t="str">
        <f>IF(AND('2.报价结算清单'!$P168&gt;0,'2.报价结算清单'!$B168&lt;&gt;0,'2.报价结算清单'!$F168&lt;&gt;0),'2.报价结算清单'!$F168,"")</f>
        <v/>
      </c>
      <c r="B71" s="78" t="str">
        <f>_xlfn.IFNA(VLOOKUP(A71,'3.框架内物料'!$A:$I,3,0),A71)</f>
        <v/>
      </c>
      <c r="C71" s="78" t="str">
        <f>IF(AND('2.报价结算清单'!$P168&gt;0,'2.报价结算清单'!$B168&lt;&gt;0,'2.报价结算清单'!C168&lt;&gt;0),'2.报价结算清单'!C168,"")</f>
        <v/>
      </c>
      <c r="D71" s="78" t="str">
        <f>IF(AND('2.报价结算清单'!$P168&gt;0,'2.报价结算清单'!$B168&lt;&gt;0,'2.报价结算清单'!D168&lt;&gt;0),'2.报价结算清单'!D168,"")</f>
        <v/>
      </c>
      <c r="E71" s="78" t="str">
        <f>IF(AND('2.报价结算清单'!$P168&gt;0,'2.报价结算清单'!$B168&lt;&gt;0,'2.报价结算清单'!E168&lt;&gt;0),'2.报价结算清单'!E168,"")</f>
        <v/>
      </c>
      <c r="F71" s="105" t="str">
        <f>_xlfn.IFNA(IF($A71="","",IF(VLOOKUP($A71,'3.框架内物料'!$A:$I,2,0)="","",VLOOKUP($A71,'3.框架内物料'!$A:$I,2,0))),"")</f>
        <v/>
      </c>
      <c r="G71" s="87" t="str">
        <f>IF(AND('2.报价结算清单'!$P168&gt;0,'2.报价结算清单'!$B168&lt;&gt;0,'2.报价结算清单'!H168&lt;&gt;0),'2.报价结算清单'!H168,"")</f>
        <v/>
      </c>
      <c r="H71" s="122" t="str">
        <f>IF(AND('2.报价结算清单'!$P168&gt;0,'2.报价结算清单'!$B168&lt;&gt;0,'2.报价结算清单'!$F168&lt;&gt;0),'2.报价结算清单'!J168,"")</f>
        <v/>
      </c>
      <c r="I71" s="105" t="str">
        <f>IF(AND('2.报价结算清单'!$P168&gt;0,'2.报价结算清单'!$B168&lt;&gt;0,'2.报价结算清单'!$F168&lt;&gt;0),'2.报价结算清单'!L168,"")</f>
        <v/>
      </c>
      <c r="J71" s="105" t="str">
        <f>IF(AND('2.报价结算清单'!$P168&gt;0,'2.报价结算清单'!$B168&lt;&gt;0,'2.报价结算清单'!I168&lt;&gt;0),'2.报价结算清单'!I168,"")</f>
        <v/>
      </c>
      <c r="K71" s="105" t="str">
        <f>IF(AND('2.报价结算清单'!$P168&gt;0,'2.报价结算清单'!$B168&lt;&gt;0,'2.报价结算清单'!$F168&lt;&gt;0),'2.报价结算清单'!N168,"")</f>
        <v/>
      </c>
      <c r="L71" s="105" t="str">
        <f>IF(AND('2.报价结算清单'!$P168&gt;0,'2.报价结算清单'!$B168&lt;&gt;0,'2.报价结算清单'!I168&lt;&gt;0),"天","")</f>
        <v/>
      </c>
      <c r="M71" s="80" t="str">
        <f t="shared" si="4"/>
        <v/>
      </c>
      <c r="N71" s="78" t="str">
        <f t="shared" si="5"/>
        <v/>
      </c>
      <c r="O71" s="78" t="str">
        <f>IF(AND('2.报价结算清单'!$P168&gt;0,'2.报价结算清单'!$B168&lt;&gt;0,'2.报价结算清单'!S168&lt;&gt;0),'2.报价结算清单'!S168,"")</f>
        <v/>
      </c>
      <c r="P71" s="78" t="str">
        <f>IF(AND('2.报价结算清单'!$P168&gt;0,'2.报价结算清单'!$B168&lt;&gt;0,'2.报价结算清单'!T168&lt;&gt;0),'2.报价结算清单'!T168,"")</f>
        <v/>
      </c>
      <c r="Q71" s="78" t="str">
        <f>IF(F71="",J71,VLOOKUP(F71,框架条目清单!A:K,4,FALSE))</f>
        <v/>
      </c>
      <c r="R71" s="106" t="str">
        <f>IF($A71="","",'2.报价结算清单'!$K$183)</f>
        <v/>
      </c>
      <c r="S71" s="80" t="str">
        <f>IF($A71="","",'2.报价结算清单'!$E$183)</f>
        <v/>
      </c>
      <c r="T71" s="78" t="str">
        <f>IF(F71="","",VLOOKUP(F71,框架条目清单!A:K,7,FALSE))</f>
        <v/>
      </c>
      <c r="U71" s="78" t="str">
        <f>IF(F71="","",VLOOKUP(F71,框架条目清单!A:K,8,FALSE))</f>
        <v/>
      </c>
      <c r="V71" s="78" t="str">
        <f>IF(F71="","",VLOOKUP(F71,框架条目清单!A:K,9,FALSE))</f>
        <v/>
      </c>
    </row>
    <row r="72" spans="1:22">
      <c r="A72" s="78" t="str">
        <f>IF(AND('2.报价结算清单'!$P169&gt;0,'2.报价结算清单'!$B169&lt;&gt;0,'2.报价结算清单'!$F169&lt;&gt;0),'2.报价结算清单'!$F169,"")</f>
        <v/>
      </c>
      <c r="B72" s="78" t="str">
        <f>_xlfn.IFNA(VLOOKUP(A72,'3.框架内物料'!$A:$I,3,0),A72)</f>
        <v/>
      </c>
      <c r="C72" s="78" t="str">
        <f>IF(AND('2.报价结算清单'!$P169&gt;0,'2.报价结算清单'!$B169&lt;&gt;0,'2.报价结算清单'!C169&lt;&gt;0),'2.报价结算清单'!C169,"")</f>
        <v/>
      </c>
      <c r="D72" s="78" t="str">
        <f>IF(AND('2.报价结算清单'!$P169&gt;0,'2.报价结算清单'!$B169&lt;&gt;0,'2.报价结算清单'!D169&lt;&gt;0),'2.报价结算清单'!D169,"")</f>
        <v/>
      </c>
      <c r="E72" s="78" t="str">
        <f>IF(AND('2.报价结算清单'!$P169&gt;0,'2.报价结算清单'!$B169&lt;&gt;0,'2.报价结算清单'!E169&lt;&gt;0),'2.报价结算清单'!E169,"")</f>
        <v/>
      </c>
      <c r="F72" s="105" t="str">
        <f>_xlfn.IFNA(IF($A72="","",IF(VLOOKUP($A72,'3.框架内物料'!$A:$I,2,0)="","",VLOOKUP($A72,'3.框架内物料'!$A:$I,2,0))),"")</f>
        <v/>
      </c>
      <c r="G72" s="87" t="str">
        <f>IF(AND('2.报价结算清单'!$P169&gt;0,'2.报价结算清单'!$B169&lt;&gt;0,'2.报价结算清单'!H169&lt;&gt;0),'2.报价结算清单'!H169,"")</f>
        <v/>
      </c>
      <c r="H72" s="122" t="str">
        <f>IF(AND('2.报价结算清单'!$P169&gt;0,'2.报价结算清单'!$B169&lt;&gt;0,'2.报价结算清单'!$F169&lt;&gt;0),'2.报价结算清单'!J169,"")</f>
        <v/>
      </c>
      <c r="I72" s="105" t="str">
        <f>IF(AND('2.报价结算清单'!$P169&gt;0,'2.报价结算清单'!$B169&lt;&gt;0,'2.报价结算清单'!$F169&lt;&gt;0),'2.报价结算清单'!L169,"")</f>
        <v/>
      </c>
      <c r="J72" s="105" t="str">
        <f>IF(AND('2.报价结算清单'!$P169&gt;0,'2.报价结算清单'!$B169&lt;&gt;0,'2.报价结算清单'!I169&lt;&gt;0),'2.报价结算清单'!I169,"")</f>
        <v/>
      </c>
      <c r="K72" s="105" t="str">
        <f>IF(AND('2.报价结算清单'!$P169&gt;0,'2.报价结算清单'!$B169&lt;&gt;0,'2.报价结算清单'!$F169&lt;&gt;0),'2.报价结算清单'!N169,"")</f>
        <v/>
      </c>
      <c r="L72" s="105" t="str">
        <f>IF(AND('2.报价结算清单'!$P169&gt;0,'2.报价结算清单'!$B169&lt;&gt;0,'2.报价结算清单'!I169&lt;&gt;0),"天","")</f>
        <v/>
      </c>
      <c r="M72" s="80" t="str">
        <f t="shared" ref="M72:M135" si="6">IF(A72="框架外物料","框架外",IF(A72="据实结算","据实结算",IF(A72="","","框架内")))</f>
        <v/>
      </c>
      <c r="N72" s="78" t="str">
        <f t="shared" ref="N72:N135" si="7">IFERROR(IF(H72*I72*K72=0,"",H72*I72*K72),"")</f>
        <v/>
      </c>
      <c r="O72" s="78" t="str">
        <f>IF(AND('2.报价结算清单'!$P169&gt;0,'2.报价结算清单'!$B169&lt;&gt;0,'2.报价结算清单'!S169&lt;&gt;0),'2.报价结算清单'!S169,"")</f>
        <v/>
      </c>
      <c r="P72" s="78" t="str">
        <f>IF(AND('2.报价结算清单'!$P169&gt;0,'2.报价结算清单'!$B169&lt;&gt;0,'2.报价结算清单'!T169&lt;&gt;0),'2.报价结算清单'!T169,"")</f>
        <v/>
      </c>
      <c r="Q72" s="78" t="str">
        <f>IF(F72="",J72,VLOOKUP(F72,框架条目清单!A:K,4,FALSE))</f>
        <v/>
      </c>
      <c r="R72" s="106" t="str">
        <f>IF($A72="","",'2.报价结算清单'!$K$183)</f>
        <v/>
      </c>
      <c r="S72" s="80" t="str">
        <f>IF($A72="","",'2.报价结算清单'!$E$183)</f>
        <v/>
      </c>
      <c r="T72" s="78" t="str">
        <f>IF(F72="","",VLOOKUP(F72,框架条目清单!A:K,7,FALSE))</f>
        <v/>
      </c>
      <c r="U72" s="78" t="str">
        <f>IF(F72="","",VLOOKUP(F72,框架条目清单!A:K,8,FALSE))</f>
        <v/>
      </c>
      <c r="V72" s="78" t="str">
        <f>IF(F72="","",VLOOKUP(F72,框架条目清单!A:K,9,FALSE))</f>
        <v/>
      </c>
    </row>
    <row r="73" spans="1:22">
      <c r="A73" s="78" t="str">
        <f>IF(AND('2.报价结算清单'!$P170&gt;0,'2.报价结算清单'!$B170&lt;&gt;0,'2.报价结算清单'!$F170&lt;&gt;0),'2.报价结算清单'!$F170,"")</f>
        <v/>
      </c>
      <c r="B73" s="78" t="str">
        <f>_xlfn.IFNA(VLOOKUP(A73,'3.框架内物料'!$A:$I,3,0),A73)</f>
        <v/>
      </c>
      <c r="C73" s="78" t="str">
        <f>IF(AND('2.报价结算清单'!$P170&gt;0,'2.报价结算清单'!$B170&lt;&gt;0,'2.报价结算清单'!C170&lt;&gt;0),'2.报价结算清单'!C170,"")</f>
        <v/>
      </c>
      <c r="D73" s="78" t="str">
        <f>IF(AND('2.报价结算清单'!$P170&gt;0,'2.报价结算清单'!$B170&lt;&gt;0,'2.报价结算清单'!D170&lt;&gt;0),'2.报价结算清单'!D170,"")</f>
        <v/>
      </c>
      <c r="E73" s="78" t="str">
        <f>IF(AND('2.报价结算清单'!$P170&gt;0,'2.报价结算清单'!$B170&lt;&gt;0,'2.报价结算清单'!E170&lt;&gt;0),'2.报价结算清单'!E170,"")</f>
        <v/>
      </c>
      <c r="F73" s="105" t="str">
        <f>_xlfn.IFNA(IF($A73="","",IF(VLOOKUP($A73,'3.框架内物料'!$A:$I,2,0)="","",VLOOKUP($A73,'3.框架内物料'!$A:$I,2,0))),"")</f>
        <v/>
      </c>
      <c r="G73" s="87" t="str">
        <f>IF(AND('2.报价结算清单'!$P170&gt;0,'2.报价结算清单'!$B170&lt;&gt;0,'2.报价结算清单'!H170&lt;&gt;0),'2.报价结算清单'!H170,"")</f>
        <v/>
      </c>
      <c r="H73" s="122" t="str">
        <f>IF(AND('2.报价结算清单'!$P170&gt;0,'2.报价结算清单'!$B170&lt;&gt;0,'2.报价结算清单'!$F170&lt;&gt;0),'2.报价结算清单'!J170,"")</f>
        <v/>
      </c>
      <c r="I73" s="105" t="str">
        <f>IF(AND('2.报价结算清单'!$P170&gt;0,'2.报价结算清单'!$B170&lt;&gt;0,'2.报价结算清单'!$F170&lt;&gt;0),'2.报价结算清单'!L170,"")</f>
        <v/>
      </c>
      <c r="J73" s="105" t="str">
        <f>IF(AND('2.报价结算清单'!$P170&gt;0,'2.报价结算清单'!$B170&lt;&gt;0,'2.报价结算清单'!I170&lt;&gt;0),'2.报价结算清单'!I170,"")</f>
        <v/>
      </c>
      <c r="K73" s="105" t="str">
        <f>IF(AND('2.报价结算清单'!$P170&gt;0,'2.报价结算清单'!$B170&lt;&gt;0,'2.报价结算清单'!$F170&lt;&gt;0),'2.报价结算清单'!N170,"")</f>
        <v/>
      </c>
      <c r="L73" s="105" t="str">
        <f>IF(AND('2.报价结算清单'!$P170&gt;0,'2.报价结算清单'!$B170&lt;&gt;0,'2.报价结算清单'!I170&lt;&gt;0),"天","")</f>
        <v/>
      </c>
      <c r="M73" s="80" t="str">
        <f t="shared" si="6"/>
        <v/>
      </c>
      <c r="N73" s="78" t="str">
        <f t="shared" si="7"/>
        <v/>
      </c>
      <c r="O73" s="78" t="str">
        <f>IF(AND('2.报价结算清单'!$P170&gt;0,'2.报价结算清单'!$B170&lt;&gt;0,'2.报价结算清单'!S170&lt;&gt;0),'2.报价结算清单'!S170,"")</f>
        <v/>
      </c>
      <c r="P73" s="78" t="str">
        <f>IF(AND('2.报价结算清单'!$P170&gt;0,'2.报价结算清单'!$B170&lt;&gt;0,'2.报价结算清单'!T170&lt;&gt;0),'2.报价结算清单'!T170,"")</f>
        <v/>
      </c>
      <c r="Q73" s="78" t="str">
        <f>IF(F73="",J73,VLOOKUP(F73,框架条目清单!A:K,4,FALSE))</f>
        <v/>
      </c>
      <c r="R73" s="106" t="str">
        <f>IF($A73="","",'2.报价结算清单'!$K$183)</f>
        <v/>
      </c>
      <c r="S73" s="80" t="str">
        <f>IF($A73="","",'2.报价结算清单'!$E$183)</f>
        <v/>
      </c>
      <c r="T73" s="78" t="str">
        <f>IF(F73="","",VLOOKUP(F73,框架条目清单!A:K,7,FALSE))</f>
        <v/>
      </c>
      <c r="U73" s="78" t="str">
        <f>IF(F73="","",VLOOKUP(F73,框架条目清单!A:K,8,FALSE))</f>
        <v/>
      </c>
      <c r="V73" s="78" t="str">
        <f>IF(F73="","",VLOOKUP(F73,框架条目清单!A:K,9,FALSE))</f>
        <v/>
      </c>
    </row>
    <row r="74" spans="1:22">
      <c r="A74" s="78" t="str">
        <f>IF(AND('2.报价结算清单'!$P171&gt;0,'2.报价结算清单'!$B171&lt;&gt;0,'2.报价结算清单'!$F171&lt;&gt;0),'2.报价结算清单'!$F171,"")</f>
        <v/>
      </c>
      <c r="B74" s="78" t="str">
        <f>_xlfn.IFNA(VLOOKUP(A74,'3.框架内物料'!$A:$I,3,0),A74)</f>
        <v/>
      </c>
      <c r="C74" s="78" t="str">
        <f>IF(AND('2.报价结算清单'!$P171&gt;0,'2.报价结算清单'!$B171&lt;&gt;0,'2.报价结算清单'!C171&lt;&gt;0),'2.报价结算清单'!C171,"")</f>
        <v/>
      </c>
      <c r="D74" s="78" t="str">
        <f>IF(AND('2.报价结算清单'!$P171&gt;0,'2.报价结算清单'!$B171&lt;&gt;0,'2.报价结算清单'!D171&lt;&gt;0),'2.报价结算清单'!D171,"")</f>
        <v/>
      </c>
      <c r="E74" s="78" t="str">
        <f>IF(AND('2.报价结算清单'!$P171&gt;0,'2.报价结算清单'!$B171&lt;&gt;0,'2.报价结算清单'!E171&lt;&gt;0),'2.报价结算清单'!E171,"")</f>
        <v/>
      </c>
      <c r="F74" s="105" t="str">
        <f>_xlfn.IFNA(IF($A74="","",IF(VLOOKUP($A74,'3.框架内物料'!$A:$I,2,0)="","",VLOOKUP($A74,'3.框架内物料'!$A:$I,2,0))),"")</f>
        <v/>
      </c>
      <c r="G74" s="87" t="str">
        <f>IF(AND('2.报价结算清单'!$P171&gt;0,'2.报价结算清单'!$B171&lt;&gt;0,'2.报价结算清单'!H171&lt;&gt;0),'2.报价结算清单'!H171,"")</f>
        <v/>
      </c>
      <c r="H74" s="122" t="str">
        <f>IF(AND('2.报价结算清单'!$P171&gt;0,'2.报价结算清单'!$B171&lt;&gt;0,'2.报价结算清单'!$F171&lt;&gt;0),'2.报价结算清单'!J171,"")</f>
        <v/>
      </c>
      <c r="I74" s="105" t="str">
        <f>IF(AND('2.报价结算清单'!$P171&gt;0,'2.报价结算清单'!$B171&lt;&gt;0,'2.报价结算清单'!$F171&lt;&gt;0),'2.报价结算清单'!L171,"")</f>
        <v/>
      </c>
      <c r="J74" s="105" t="str">
        <f>IF(AND('2.报价结算清单'!$P171&gt;0,'2.报价结算清单'!$B171&lt;&gt;0,'2.报价结算清单'!I171&lt;&gt;0),'2.报价结算清单'!I171,"")</f>
        <v/>
      </c>
      <c r="K74" s="105" t="str">
        <f>IF(AND('2.报价结算清单'!$P171&gt;0,'2.报价结算清单'!$B171&lt;&gt;0,'2.报价结算清单'!$F171&lt;&gt;0),'2.报价结算清单'!N171,"")</f>
        <v/>
      </c>
      <c r="L74" s="105" t="str">
        <f>IF(AND('2.报价结算清单'!$P171&gt;0,'2.报价结算清单'!$B171&lt;&gt;0,'2.报价结算清单'!I171&lt;&gt;0),"天","")</f>
        <v/>
      </c>
      <c r="M74" s="80" t="str">
        <f t="shared" si="6"/>
        <v/>
      </c>
      <c r="N74" s="78" t="str">
        <f t="shared" si="7"/>
        <v/>
      </c>
      <c r="O74" s="78" t="str">
        <f>IF(AND('2.报价结算清单'!$P171&gt;0,'2.报价结算清单'!$B171&lt;&gt;0,'2.报价结算清单'!S171&lt;&gt;0),'2.报价结算清单'!S171,"")</f>
        <v/>
      </c>
      <c r="P74" s="78" t="str">
        <f>IF(AND('2.报价结算清单'!$P171&gt;0,'2.报价结算清单'!$B171&lt;&gt;0,'2.报价结算清单'!T171&lt;&gt;0),'2.报价结算清单'!T171,"")</f>
        <v/>
      </c>
      <c r="Q74" s="78" t="str">
        <f>IF(F74="",J74,VLOOKUP(F74,框架条目清单!A:K,4,FALSE))</f>
        <v/>
      </c>
      <c r="R74" s="106" t="str">
        <f>IF($A74="","",'2.报价结算清单'!$K$183)</f>
        <v/>
      </c>
      <c r="S74" s="80" t="str">
        <f>IF($A74="","",'2.报价结算清单'!$E$183)</f>
        <v/>
      </c>
      <c r="T74" s="78" t="str">
        <f>IF(F74="","",VLOOKUP(F74,框架条目清单!A:K,7,FALSE))</f>
        <v/>
      </c>
      <c r="U74" s="78" t="str">
        <f>IF(F74="","",VLOOKUP(F74,框架条目清单!A:K,8,FALSE))</f>
        <v/>
      </c>
      <c r="V74" s="78" t="str">
        <f>IF(F74="","",VLOOKUP(F74,框架条目清单!A:K,9,FALSE))</f>
        <v/>
      </c>
    </row>
    <row r="75" spans="1:22">
      <c r="A75" s="78" t="str">
        <f>IF(AND('2.报价结算清单'!$P172&gt;0,'2.报价结算清单'!$B172&lt;&gt;0,'2.报价结算清单'!$F172&lt;&gt;0),'2.报价结算清单'!$F172,"")</f>
        <v/>
      </c>
      <c r="B75" s="78" t="str">
        <f>_xlfn.IFNA(VLOOKUP(A75,'3.框架内物料'!$A:$I,3,0),A75)</f>
        <v/>
      </c>
      <c r="C75" s="78" t="str">
        <f>IF(AND('2.报价结算清单'!$P172&gt;0,'2.报价结算清单'!$B172&lt;&gt;0,'2.报价结算清单'!C172&lt;&gt;0),'2.报价结算清单'!C172,"")</f>
        <v/>
      </c>
      <c r="D75" s="78" t="str">
        <f>IF(AND('2.报价结算清单'!$P172&gt;0,'2.报价结算清单'!$B172&lt;&gt;0,'2.报价结算清单'!D172&lt;&gt;0),'2.报价结算清单'!D172,"")</f>
        <v/>
      </c>
      <c r="E75" s="78" t="str">
        <f>IF(AND('2.报价结算清单'!$P172&gt;0,'2.报价结算清单'!$B172&lt;&gt;0,'2.报价结算清单'!E172&lt;&gt;0),'2.报价结算清单'!E172,"")</f>
        <v/>
      </c>
      <c r="F75" s="105" t="str">
        <f>_xlfn.IFNA(IF($A75="","",IF(VLOOKUP($A75,'3.框架内物料'!$A:$I,2,0)="","",VLOOKUP($A75,'3.框架内物料'!$A:$I,2,0))),"")</f>
        <v/>
      </c>
      <c r="G75" s="87" t="str">
        <f>IF(AND('2.报价结算清单'!$P172&gt;0,'2.报价结算清单'!$B172&lt;&gt;0,'2.报价结算清单'!H172&lt;&gt;0),'2.报价结算清单'!H172,"")</f>
        <v/>
      </c>
      <c r="H75" s="122" t="str">
        <f>IF(AND('2.报价结算清单'!$P172&gt;0,'2.报价结算清单'!$B172&lt;&gt;0,'2.报价结算清单'!$F172&lt;&gt;0),'2.报价结算清单'!J172,"")</f>
        <v/>
      </c>
      <c r="I75" s="105" t="str">
        <f>IF(AND('2.报价结算清单'!$P172&gt;0,'2.报价结算清单'!$B172&lt;&gt;0,'2.报价结算清单'!$F172&lt;&gt;0),'2.报价结算清单'!L172,"")</f>
        <v/>
      </c>
      <c r="J75" s="105" t="str">
        <f>IF(AND('2.报价结算清单'!$P172&gt;0,'2.报价结算清单'!$B172&lt;&gt;0,'2.报价结算清单'!I172&lt;&gt;0),'2.报价结算清单'!I172,"")</f>
        <v/>
      </c>
      <c r="K75" s="105" t="str">
        <f>IF(AND('2.报价结算清单'!$P172&gt;0,'2.报价结算清单'!$B172&lt;&gt;0,'2.报价结算清单'!$F172&lt;&gt;0),'2.报价结算清单'!N172,"")</f>
        <v/>
      </c>
      <c r="L75" s="105" t="str">
        <f>IF(AND('2.报价结算清单'!$P172&gt;0,'2.报价结算清单'!$B172&lt;&gt;0,'2.报价结算清单'!I172&lt;&gt;0),"天","")</f>
        <v/>
      </c>
      <c r="M75" s="80" t="str">
        <f t="shared" si="6"/>
        <v/>
      </c>
      <c r="N75" s="78" t="str">
        <f t="shared" si="7"/>
        <v/>
      </c>
      <c r="O75" s="78" t="str">
        <f>IF(AND('2.报价结算清单'!$P172&gt;0,'2.报价结算清单'!$B172&lt;&gt;0,'2.报价结算清单'!S172&lt;&gt;0),'2.报价结算清单'!S172,"")</f>
        <v/>
      </c>
      <c r="P75" s="78" t="str">
        <f>IF(AND('2.报价结算清单'!$P172&gt;0,'2.报价结算清单'!$B172&lt;&gt;0,'2.报价结算清单'!T172&lt;&gt;0),'2.报价结算清单'!T172,"")</f>
        <v/>
      </c>
      <c r="Q75" s="78" t="str">
        <f>IF(F75="",J75,VLOOKUP(F75,框架条目清单!A:K,4,FALSE))</f>
        <v/>
      </c>
      <c r="R75" s="106" t="str">
        <f>IF($A75="","",'2.报价结算清单'!$K$183)</f>
        <v/>
      </c>
      <c r="S75" s="80" t="str">
        <f>IF($A75="","",'2.报价结算清单'!$E$183)</f>
        <v/>
      </c>
      <c r="T75" s="78" t="str">
        <f>IF(F75="","",VLOOKUP(F75,框架条目清单!A:K,7,FALSE))</f>
        <v/>
      </c>
      <c r="U75" s="78" t="str">
        <f>IF(F75="","",VLOOKUP(F75,框架条目清单!A:K,8,FALSE))</f>
        <v/>
      </c>
      <c r="V75" s="78" t="str">
        <f>IF(F75="","",VLOOKUP(F75,框架条目清单!A:K,9,FALSE))</f>
        <v/>
      </c>
    </row>
    <row r="76" spans="1:22">
      <c r="A76" s="78" t="str">
        <f>IF(AND('2.报价结算清单'!$P173&gt;0,'2.报价结算清单'!$B173&lt;&gt;0,'2.报价结算清单'!$F173&lt;&gt;0),'2.报价结算清单'!$F173,"")</f>
        <v/>
      </c>
      <c r="B76" s="78" t="str">
        <f>_xlfn.IFNA(VLOOKUP(A76,'3.框架内物料'!$A:$I,3,0),A76)</f>
        <v/>
      </c>
      <c r="C76" s="78" t="str">
        <f>IF(AND('2.报价结算清单'!$P173&gt;0,'2.报价结算清单'!$B173&lt;&gt;0,'2.报价结算清单'!C173&lt;&gt;0),'2.报价结算清单'!C173,"")</f>
        <v/>
      </c>
      <c r="D76" s="78" t="str">
        <f>IF(AND('2.报价结算清单'!$P173&gt;0,'2.报价结算清单'!$B173&lt;&gt;0,'2.报价结算清单'!D173&lt;&gt;0),'2.报价结算清单'!D173,"")</f>
        <v/>
      </c>
      <c r="E76" s="78" t="str">
        <f>IF(AND('2.报价结算清单'!$P173&gt;0,'2.报价结算清单'!$B173&lt;&gt;0,'2.报价结算清单'!E173&lt;&gt;0),'2.报价结算清单'!E173,"")</f>
        <v/>
      </c>
      <c r="F76" s="105" t="str">
        <f>_xlfn.IFNA(IF($A76="","",IF(VLOOKUP($A76,'3.框架内物料'!$A:$I,2,0)="","",VLOOKUP($A76,'3.框架内物料'!$A:$I,2,0))),"")</f>
        <v/>
      </c>
      <c r="G76" s="87" t="str">
        <f>IF(AND('2.报价结算清单'!$P173&gt;0,'2.报价结算清单'!$B173&lt;&gt;0,'2.报价结算清单'!H173&lt;&gt;0),'2.报价结算清单'!H173,"")</f>
        <v/>
      </c>
      <c r="H76" s="122" t="str">
        <f>IF(AND('2.报价结算清单'!$P173&gt;0,'2.报价结算清单'!$B173&lt;&gt;0,'2.报价结算清单'!$F173&lt;&gt;0),'2.报价结算清单'!J173,"")</f>
        <v/>
      </c>
      <c r="I76" s="105" t="str">
        <f>IF(AND('2.报价结算清单'!$P173&gt;0,'2.报价结算清单'!$B173&lt;&gt;0,'2.报价结算清单'!$F173&lt;&gt;0),'2.报价结算清单'!L173,"")</f>
        <v/>
      </c>
      <c r="J76" s="105" t="str">
        <f>IF(AND('2.报价结算清单'!$P173&gt;0,'2.报价结算清单'!$B173&lt;&gt;0,'2.报价结算清单'!I173&lt;&gt;0),'2.报价结算清单'!I173,"")</f>
        <v/>
      </c>
      <c r="K76" s="105" t="str">
        <f>IF(AND('2.报价结算清单'!$P173&gt;0,'2.报价结算清单'!$B173&lt;&gt;0,'2.报价结算清单'!$F173&lt;&gt;0),'2.报价结算清单'!N173,"")</f>
        <v/>
      </c>
      <c r="L76" s="105" t="str">
        <f>IF(AND('2.报价结算清单'!$P173&gt;0,'2.报价结算清单'!$B173&lt;&gt;0,'2.报价结算清单'!I173&lt;&gt;0),"天","")</f>
        <v/>
      </c>
      <c r="M76" s="80" t="str">
        <f t="shared" si="6"/>
        <v/>
      </c>
      <c r="N76" s="78" t="str">
        <f t="shared" si="7"/>
        <v/>
      </c>
      <c r="O76" s="78" t="str">
        <f>IF(AND('2.报价结算清单'!$P173&gt;0,'2.报价结算清单'!$B173&lt;&gt;0,'2.报价结算清单'!S173&lt;&gt;0),'2.报价结算清单'!S173,"")</f>
        <v/>
      </c>
      <c r="P76" s="78" t="str">
        <f>IF(AND('2.报价结算清单'!$P173&gt;0,'2.报价结算清单'!$B173&lt;&gt;0,'2.报价结算清单'!T173&lt;&gt;0),'2.报价结算清单'!T173,"")</f>
        <v/>
      </c>
      <c r="Q76" s="78" t="str">
        <f>IF(F76="",J76,VLOOKUP(F76,框架条目清单!A:K,4,FALSE))</f>
        <v/>
      </c>
      <c r="R76" s="106" t="str">
        <f>IF($A76="","",'2.报价结算清单'!$K$183)</f>
        <v/>
      </c>
      <c r="S76" s="80" t="str">
        <f>IF($A76="","",'2.报价结算清单'!$E$183)</f>
        <v/>
      </c>
      <c r="T76" s="78" t="str">
        <f>IF(F76="","",VLOOKUP(F76,框架条目清单!A:K,7,FALSE))</f>
        <v/>
      </c>
      <c r="U76" s="78" t="str">
        <f>IF(F76="","",VLOOKUP(F76,框架条目清单!A:K,8,FALSE))</f>
        <v/>
      </c>
      <c r="V76" s="78" t="str">
        <f>IF(F76="","",VLOOKUP(F76,框架条目清单!A:K,9,FALSE))</f>
        <v/>
      </c>
    </row>
    <row r="77" spans="1:22">
      <c r="A77" s="78" t="str">
        <f>IF(AND('2.报价结算清单'!$P174&gt;0,'2.报价结算清单'!$B174&lt;&gt;0,'2.报价结算清单'!$F174&lt;&gt;0),'2.报价结算清单'!$F174,"")</f>
        <v/>
      </c>
      <c r="B77" s="78" t="str">
        <f>_xlfn.IFNA(VLOOKUP(A77,'3.框架内物料'!$A:$I,3,0),A77)</f>
        <v/>
      </c>
      <c r="C77" s="78" t="str">
        <f>IF(AND('2.报价结算清单'!$P174&gt;0,'2.报价结算清单'!$B174&lt;&gt;0,'2.报价结算清单'!C174&lt;&gt;0),'2.报价结算清单'!C174,"")</f>
        <v/>
      </c>
      <c r="D77" s="78" t="str">
        <f>IF(AND('2.报价结算清单'!$P174&gt;0,'2.报价结算清单'!$B174&lt;&gt;0,'2.报价结算清单'!D174&lt;&gt;0),'2.报价结算清单'!D174,"")</f>
        <v/>
      </c>
      <c r="E77" s="78" t="str">
        <f>IF(AND('2.报价结算清单'!$P174&gt;0,'2.报价结算清单'!$B174&lt;&gt;0,'2.报价结算清单'!E174&lt;&gt;0),'2.报价结算清单'!E174,"")</f>
        <v/>
      </c>
      <c r="F77" s="105" t="str">
        <f>_xlfn.IFNA(IF($A77="","",IF(VLOOKUP($A77,'3.框架内物料'!$A:$I,2,0)="","",VLOOKUP($A77,'3.框架内物料'!$A:$I,2,0))),"")</f>
        <v/>
      </c>
      <c r="G77" s="87" t="str">
        <f>IF(AND('2.报价结算清单'!$P174&gt;0,'2.报价结算清单'!$B174&lt;&gt;0,'2.报价结算清单'!H174&lt;&gt;0),'2.报价结算清单'!H174,"")</f>
        <v/>
      </c>
      <c r="H77" s="122" t="str">
        <f>IF(AND('2.报价结算清单'!$P174&gt;0,'2.报价结算清单'!$B174&lt;&gt;0,'2.报价结算清单'!$F174&lt;&gt;0),'2.报价结算清单'!J174,"")</f>
        <v/>
      </c>
      <c r="I77" s="105" t="str">
        <f>IF(AND('2.报价结算清单'!$P174&gt;0,'2.报价结算清单'!$B174&lt;&gt;0,'2.报价结算清单'!$F174&lt;&gt;0),'2.报价结算清单'!L174,"")</f>
        <v/>
      </c>
      <c r="J77" s="105" t="str">
        <f>IF(AND('2.报价结算清单'!$P174&gt;0,'2.报价结算清单'!$B174&lt;&gt;0,'2.报价结算清单'!I174&lt;&gt;0),'2.报价结算清单'!I174,"")</f>
        <v/>
      </c>
      <c r="K77" s="105" t="str">
        <f>IF(AND('2.报价结算清单'!$P174&gt;0,'2.报价结算清单'!$B174&lt;&gt;0,'2.报价结算清单'!$F174&lt;&gt;0),'2.报价结算清单'!N174,"")</f>
        <v/>
      </c>
      <c r="L77" s="105" t="str">
        <f>IF(AND('2.报价结算清单'!$P174&gt;0,'2.报价结算清单'!$B174&lt;&gt;0,'2.报价结算清单'!I174&lt;&gt;0),"天","")</f>
        <v/>
      </c>
      <c r="M77" s="80" t="str">
        <f t="shared" si="6"/>
        <v/>
      </c>
      <c r="N77" s="78" t="str">
        <f t="shared" si="7"/>
        <v/>
      </c>
      <c r="O77" s="78" t="str">
        <f>IF(AND('2.报价结算清单'!$P174&gt;0,'2.报价结算清单'!$B174&lt;&gt;0,'2.报价结算清单'!S174&lt;&gt;0),'2.报价结算清单'!S174,"")</f>
        <v/>
      </c>
      <c r="P77" s="78" t="str">
        <f>IF(AND('2.报价结算清单'!$P174&gt;0,'2.报价结算清单'!$B174&lt;&gt;0,'2.报价结算清单'!T174&lt;&gt;0),'2.报价结算清单'!T174,"")</f>
        <v/>
      </c>
      <c r="Q77" s="78" t="str">
        <f>IF(F77="",J77,VLOOKUP(F77,框架条目清单!A:K,4,FALSE))</f>
        <v/>
      </c>
      <c r="R77" s="106" t="str">
        <f>IF($A77="","",'2.报价结算清单'!$K$183)</f>
        <v/>
      </c>
      <c r="S77" s="80" t="str">
        <f>IF($A77="","",'2.报价结算清单'!$E$183)</f>
        <v/>
      </c>
      <c r="T77" s="78" t="str">
        <f>IF(F77="","",VLOOKUP(F77,框架条目清单!A:K,7,FALSE))</f>
        <v/>
      </c>
      <c r="U77" s="78" t="str">
        <f>IF(F77="","",VLOOKUP(F77,框架条目清单!A:K,8,FALSE))</f>
        <v/>
      </c>
      <c r="V77" s="78" t="str">
        <f>IF(F77="","",VLOOKUP(F77,框架条目清单!A:K,9,FALSE))</f>
        <v/>
      </c>
    </row>
    <row r="78" spans="1:22">
      <c r="A78" s="78" t="str">
        <f>IF(AND('2.报价结算清单'!$P175&gt;0,'2.报价结算清单'!$B175&lt;&gt;0,'2.报价结算清单'!$F175&lt;&gt;0),'2.报价结算清单'!$F175,"")</f>
        <v>M#004</v>
      </c>
      <c r="B78" s="78" t="str">
        <f>_xlfn.IFNA(VLOOKUP(A78,'3.框架内物料'!$A:$I,3,0),A78)</f>
        <v>服务费税费</v>
      </c>
      <c r="C78" s="78" t="str">
        <f>IF(AND('2.报价结算清单'!$P175&gt;0,'2.报价结算清单'!$B175&lt;&gt;0,'2.报价结算清单'!C175&lt;&gt;0),'2.报价结算清单'!C175,"")</f>
        <v/>
      </c>
      <c r="D78" s="78" t="str">
        <f>IF(AND('2.报价结算清单'!$P175&gt;0,'2.报价结算清单'!$B175&lt;&gt;0,'2.报价结算清单'!D175&lt;&gt;0),'2.报价结算清单'!D175,"")</f>
        <v/>
      </c>
      <c r="E78" s="78" t="str">
        <f>IF(AND('2.报价结算清单'!$P175&gt;0,'2.报价结算清单'!$B175&lt;&gt;0,'2.报价结算清单'!E175&lt;&gt;0),'2.报价结算清单'!E175,"")</f>
        <v/>
      </c>
      <c r="F78" s="105" t="str">
        <f>_xlfn.IFNA(IF($A78="","",IF(VLOOKUP($A78,'3.框架内物料'!$A:$I,2,0)="","",VLOOKUP($A78,'3.框架内物料'!$A:$I,2,0))),"")</f>
        <v/>
      </c>
      <c r="G78" s="87" t="str">
        <f>IF(AND('2.报价结算清单'!$P175&gt;0,'2.报价结算清单'!$B175&lt;&gt;0,'2.报价结算清单'!H175&lt;&gt;0),'2.报价结算清单'!H175,"")</f>
        <v>服务费税费-项目服务费-项目服务费-场地采买、酒店用房服务费-服务费比例</v>
      </c>
      <c r="H78" s="122">
        <f>IF(AND('2.报价结算清单'!$P175&gt;0,'2.报价结算清单'!$B175&lt;&gt;0,'2.报价结算清单'!$F175&lt;&gt;0),'2.报价结算清单'!J175,"")</f>
        <v>0.06</v>
      </c>
      <c r="I78" s="105">
        <f>IF(AND('2.报价结算清单'!$P175&gt;0,'2.报价结算清单'!$B175&lt;&gt;0,'2.报价结算清单'!$F175&lt;&gt;0),'2.报价结算清单'!L175,"")</f>
        <v>2294950</v>
      </c>
      <c r="J78" s="105" t="str">
        <f>IF(AND('2.报价结算清单'!$P175&gt;0,'2.报价结算清单'!$B175&lt;&gt;0,'2.报价结算清单'!I175&lt;&gt;0),'2.报价结算清单'!I175,"")</f>
        <v>项</v>
      </c>
      <c r="K78" s="105">
        <f>IF(AND('2.报价结算清单'!$P175&gt;0,'2.报价结算清单'!$B175&lt;&gt;0,'2.报价结算清单'!$F175&lt;&gt;0),'2.报价结算清单'!N175,"")</f>
        <v>1</v>
      </c>
      <c r="L78" s="105" t="str">
        <f>IF(AND('2.报价结算清单'!$P175&gt;0,'2.报价结算清单'!$B175&lt;&gt;0,'2.报价结算清单'!I175&lt;&gt;0),"天","")</f>
        <v>天</v>
      </c>
      <c r="M78" s="80" t="str">
        <f t="shared" si="6"/>
        <v>框架内</v>
      </c>
      <c r="N78" s="78">
        <f t="shared" si="7"/>
        <v>137697</v>
      </c>
      <c r="O78" s="78" t="str">
        <f>IF(AND('2.报价结算清单'!$P175&gt;0,'2.报价结算清单'!$B175&lt;&gt;0,'2.报价结算清单'!S175&lt;&gt;0),'2.报价结算清单'!S175,"")</f>
        <v/>
      </c>
      <c r="P78" s="78" t="str">
        <f>IF(AND('2.报价结算清单'!$P175&gt;0,'2.报价结算清单'!$B175&lt;&gt;0,'2.报价结算清单'!T175&lt;&gt;0),'2.报价结算清单'!T175,"")</f>
        <v/>
      </c>
      <c r="Q78" s="78" t="str">
        <f>IF(F78="",J78,VLOOKUP(F78,框架条目清单!A:K,4,FALSE))</f>
        <v>项</v>
      </c>
      <c r="R78" s="106">
        <f>IF($A78="","",'2.报价结算清单'!$K$183)</f>
        <v>0.06</v>
      </c>
      <c r="S78" s="80" t="str">
        <f>IF($A78="","",'2.报价结算清单'!$E$183)</f>
        <v>CNY</v>
      </c>
      <c r="T78" s="78" t="str">
        <f>IF(F78="","",VLOOKUP(F78,框架条目清单!A:K,7,FALSE))</f>
        <v/>
      </c>
      <c r="U78" s="78" t="str">
        <f>IF(F78="","",VLOOKUP(F78,框架条目清单!A:K,8,FALSE))</f>
        <v/>
      </c>
      <c r="V78" s="78" t="str">
        <f>IF(F78="","",VLOOKUP(F78,框架条目清单!A:K,9,FALSE))</f>
        <v/>
      </c>
    </row>
    <row r="79" spans="1:22">
      <c r="A79" s="78" t="str">
        <f>IF(AND('2.报价结算清单'!$P180&gt;0,'2.报价结算清单'!$B180&lt;&gt;0,'2.报价结算清单'!$F180&lt;&gt;0),'2.报价结算清单'!$F180,"")</f>
        <v/>
      </c>
      <c r="B79" s="78" t="str">
        <f>_xlfn.IFNA(VLOOKUP(A79,'3.框架内物料'!$A:$I,3,0),A79)</f>
        <v/>
      </c>
      <c r="C79" s="78" t="str">
        <f>IF(AND('2.报价结算清单'!$P180&gt;0,'2.报价结算清单'!$B180&lt;&gt;0,'2.报价结算清单'!C180&lt;&gt;0),'2.报价结算清单'!C180,"")</f>
        <v/>
      </c>
      <c r="D79" s="78" t="str">
        <f>IF(AND('2.报价结算清单'!$P180&gt;0,'2.报价结算清单'!$B180&lt;&gt;0,'2.报价结算清单'!D180&lt;&gt;0),'2.报价结算清单'!D180,"")</f>
        <v/>
      </c>
      <c r="E79" s="78" t="str">
        <f>IF(AND('2.报价结算清单'!$P180&gt;0,'2.报价结算清单'!$B180&lt;&gt;0,'2.报价结算清单'!E180&lt;&gt;0),'2.报价结算清单'!E180,"")</f>
        <v/>
      </c>
      <c r="F79" s="105" t="str">
        <f>_xlfn.IFNA(IF($A79="","",IF(VLOOKUP($A79,'3.框架内物料'!$A:$I,2,0)="","",VLOOKUP($A79,'3.框架内物料'!$A:$I,2,0))),"")</f>
        <v/>
      </c>
      <c r="G79" s="87" t="str">
        <f>IF(AND('2.报价结算清单'!$P180&gt;0,'2.报价结算清单'!$B180&lt;&gt;0,'2.报价结算清单'!H180&lt;&gt;0),'2.报价结算清单'!H180,"")</f>
        <v/>
      </c>
      <c r="H79" s="122" t="str">
        <f>IF(AND('2.报价结算清单'!$P180&gt;0,'2.报价结算清单'!$B180&lt;&gt;0,'2.报价结算清单'!$F180&lt;&gt;0),'2.报价结算清单'!J180,"")</f>
        <v/>
      </c>
      <c r="I79" s="105" t="str">
        <f>IF(AND('2.报价结算清单'!$P180&gt;0,'2.报价结算清单'!$B180&lt;&gt;0,'2.报价结算清单'!$F180&lt;&gt;0),'2.报价结算清单'!L180,"")</f>
        <v/>
      </c>
      <c r="J79" s="105" t="str">
        <f>IF(AND('2.报价结算清单'!$P180&gt;0,'2.报价结算清单'!$B180&lt;&gt;0,'2.报价结算清单'!I180&lt;&gt;0),'2.报价结算清单'!I180,"")</f>
        <v/>
      </c>
      <c r="K79" s="105" t="str">
        <f>IF(AND('2.报价结算清单'!$P180&gt;0,'2.报价结算清单'!$B180&lt;&gt;0,'2.报价结算清单'!$F180&lt;&gt;0),'2.报价结算清单'!N180,"")</f>
        <v/>
      </c>
      <c r="L79" s="105" t="str">
        <f>IF(AND('2.报价结算清单'!$P180&gt;0,'2.报价结算清单'!$B180&lt;&gt;0,'2.报价结算清单'!I180&lt;&gt;0),"天","")</f>
        <v/>
      </c>
      <c r="M79" s="80" t="str">
        <f t="shared" si="6"/>
        <v/>
      </c>
      <c r="N79" s="78" t="str">
        <f t="shared" si="7"/>
        <v/>
      </c>
      <c r="O79" s="78" t="str">
        <f>IF(AND('2.报价结算清单'!$P180&gt;0,'2.报价结算清单'!$B180&lt;&gt;0,'2.报价结算清单'!S180&lt;&gt;0),'2.报价结算清单'!S180,"")</f>
        <v/>
      </c>
      <c r="P79" s="78" t="str">
        <f>IF(AND('2.报价结算清单'!$P180&gt;0,'2.报价结算清单'!$B180&lt;&gt;0,'2.报价结算清单'!T180&lt;&gt;0),'2.报价结算清单'!T180,"")</f>
        <v/>
      </c>
      <c r="Q79" s="78" t="str">
        <f>IF(F79="",J79,VLOOKUP(F79,框架条目清单!A:K,4,FALSE))</f>
        <v/>
      </c>
      <c r="R79" s="106" t="str">
        <f>IF($A79="","",'2.报价结算清单'!$K$183)</f>
        <v/>
      </c>
      <c r="S79" s="80" t="str">
        <f>IF($A79="","",'2.报价结算清单'!$E$183)</f>
        <v/>
      </c>
      <c r="T79" s="78" t="str">
        <f>IF(F79="","",VLOOKUP(F79,框架条目清单!A:K,7,FALSE))</f>
        <v/>
      </c>
      <c r="U79" s="78" t="str">
        <f>IF(F79="","",VLOOKUP(F79,框架条目清单!A:K,8,FALSE))</f>
        <v/>
      </c>
      <c r="V79" s="78" t="str">
        <f>IF(F79="","",VLOOKUP(F79,框架条目清单!A:K,9,FALSE))</f>
        <v/>
      </c>
    </row>
    <row r="80" spans="1:22">
      <c r="A80" s="78" t="str">
        <f>IF(AND('2.报价结算清单'!$P181&gt;0,'2.报价结算清单'!$B181&lt;&gt;0,'2.报价结算清单'!$F181&lt;&gt;0),'2.报价结算清单'!$F181,"")</f>
        <v/>
      </c>
      <c r="B80" s="78" t="str">
        <f>_xlfn.IFNA(VLOOKUP(A80,'3.框架内物料'!$A:$I,3,0),A80)</f>
        <v/>
      </c>
      <c r="C80" s="78" t="str">
        <f>IF(AND('2.报价结算清单'!$P181&gt;0,'2.报价结算清单'!$B181&lt;&gt;0,'2.报价结算清单'!C181&lt;&gt;0),'2.报价结算清单'!C181,"")</f>
        <v/>
      </c>
      <c r="D80" s="78" t="str">
        <f>IF(AND('2.报价结算清单'!$P181&gt;0,'2.报价结算清单'!$B181&lt;&gt;0,'2.报价结算清单'!D181&lt;&gt;0),'2.报价结算清单'!D181,"")</f>
        <v/>
      </c>
      <c r="E80" s="78" t="str">
        <f>IF(AND('2.报价结算清单'!$P181&gt;0,'2.报价结算清单'!$B181&lt;&gt;0,'2.报价结算清单'!E181&lt;&gt;0),'2.报价结算清单'!E181,"")</f>
        <v/>
      </c>
      <c r="F80" s="105" t="str">
        <f>_xlfn.IFNA(IF($A80="","",IF(VLOOKUP($A80,'3.框架内物料'!$A:$I,2,0)="","",VLOOKUP($A80,'3.框架内物料'!$A:$I,2,0))),"")</f>
        <v/>
      </c>
      <c r="G80" s="87" t="str">
        <f>IF(AND('2.报价结算清单'!$P181&gt;0,'2.报价结算清单'!$B181&lt;&gt;0,'2.报价结算清单'!H181&lt;&gt;0),'2.报价结算清单'!H181,"")</f>
        <v/>
      </c>
      <c r="H80" s="122" t="str">
        <f>IF(AND('2.报价结算清单'!$P181&gt;0,'2.报价结算清单'!$B181&lt;&gt;0,'2.报价结算清单'!$F181&lt;&gt;0),'2.报价结算清单'!J181,"")</f>
        <v/>
      </c>
      <c r="I80" s="105" t="str">
        <f>IF(AND('2.报价结算清单'!$P181&gt;0,'2.报价结算清单'!$B181&lt;&gt;0,'2.报价结算清单'!$F181&lt;&gt;0),'2.报价结算清单'!L181,"")</f>
        <v/>
      </c>
      <c r="J80" s="105" t="str">
        <f>IF(AND('2.报价结算清单'!$P181&gt;0,'2.报价结算清单'!$B181&lt;&gt;0,'2.报价结算清单'!I181&lt;&gt;0),'2.报价结算清单'!I181,"")</f>
        <v/>
      </c>
      <c r="K80" s="105" t="str">
        <f>IF(AND('2.报价结算清单'!$P181&gt;0,'2.报价结算清单'!$B181&lt;&gt;0,'2.报价结算清单'!$F181&lt;&gt;0),'2.报价结算清单'!N181,"")</f>
        <v/>
      </c>
      <c r="L80" s="105" t="str">
        <f>IF(AND('2.报价结算清单'!$P181&gt;0,'2.报价结算清单'!$B181&lt;&gt;0,'2.报价结算清单'!I181&lt;&gt;0),"天","")</f>
        <v/>
      </c>
      <c r="M80" s="80" t="str">
        <f t="shared" si="6"/>
        <v/>
      </c>
      <c r="N80" s="78" t="str">
        <f t="shared" si="7"/>
        <v/>
      </c>
      <c r="O80" s="78" t="str">
        <f>IF(AND('2.报价结算清单'!$P181&gt;0,'2.报价结算清单'!$B181&lt;&gt;0,'2.报价结算清单'!S181&lt;&gt;0),'2.报价结算清单'!S181,"")</f>
        <v/>
      </c>
      <c r="P80" s="78" t="str">
        <f>IF(AND('2.报价结算清单'!$P181&gt;0,'2.报价结算清单'!$B181&lt;&gt;0,'2.报价结算清单'!T181&lt;&gt;0),'2.报价结算清单'!T181,"")</f>
        <v/>
      </c>
      <c r="Q80" s="78" t="str">
        <f>IF(F80="",J80,VLOOKUP(F80,框架条目清单!A:K,4,FALSE))</f>
        <v/>
      </c>
      <c r="R80" s="106" t="str">
        <f>IF($A80="","",'2.报价结算清单'!$K$183)</f>
        <v/>
      </c>
      <c r="S80" s="80" t="str">
        <f>IF($A80="","",'2.报价结算清单'!$E$183)</f>
        <v/>
      </c>
      <c r="T80" s="78" t="str">
        <f>IF(F80="","",VLOOKUP(F80,框架条目清单!A:K,7,FALSE))</f>
        <v/>
      </c>
      <c r="U80" s="78" t="str">
        <f>IF(F80="","",VLOOKUP(F80,框架条目清单!A:K,8,FALSE))</f>
        <v/>
      </c>
      <c r="V80" s="78" t="str">
        <f>IF(F80="","",VLOOKUP(F80,框架条目清单!A:K,9,FALSE))</f>
        <v/>
      </c>
    </row>
    <row r="81" spans="1:22">
      <c r="A81" s="78" t="str">
        <f>IF(AND('2.报价结算清单'!$P182&gt;0,'2.报价结算清单'!$B182&lt;&gt;0,'2.报价结算清单'!$F182&lt;&gt;0),'2.报价结算清单'!$F182,"")</f>
        <v/>
      </c>
      <c r="B81" s="78" t="str">
        <f>_xlfn.IFNA(VLOOKUP(A81,'3.框架内物料'!$A:$I,3,0),A81)</f>
        <v/>
      </c>
      <c r="C81" s="78" t="str">
        <f>IF(AND('2.报价结算清单'!$P182&gt;0,'2.报价结算清单'!$B182&lt;&gt;0,'2.报价结算清单'!C182&lt;&gt;0),'2.报价结算清单'!C182,"")</f>
        <v/>
      </c>
      <c r="D81" s="78" t="str">
        <f>IF(AND('2.报价结算清单'!$P182&gt;0,'2.报价结算清单'!$B182&lt;&gt;0,'2.报价结算清单'!D182&lt;&gt;0),'2.报价结算清单'!D182,"")</f>
        <v/>
      </c>
      <c r="E81" s="78" t="str">
        <f>IF(AND('2.报价结算清单'!$P182&gt;0,'2.报价结算清单'!$B182&lt;&gt;0,'2.报价结算清单'!E182&lt;&gt;0),'2.报价结算清单'!E182,"")</f>
        <v/>
      </c>
      <c r="F81" s="105" t="str">
        <f>_xlfn.IFNA(IF($A81="","",IF(VLOOKUP($A81,'3.框架内物料'!$A:$I,2,0)="","",VLOOKUP($A81,'3.框架内物料'!$A:$I,2,0))),"")</f>
        <v/>
      </c>
      <c r="G81" s="87" t="str">
        <f>IF(AND('2.报价结算清单'!$P182&gt;0,'2.报价结算清单'!$B182&lt;&gt;0,'2.报价结算清单'!H182&lt;&gt;0),'2.报价结算清单'!H182,"")</f>
        <v/>
      </c>
      <c r="H81" s="122" t="str">
        <f>IF(AND('2.报价结算清单'!$P182&gt;0,'2.报价结算清单'!$B182&lt;&gt;0,'2.报价结算清单'!$F182&lt;&gt;0),'2.报价结算清单'!J182,"")</f>
        <v/>
      </c>
      <c r="I81" s="105" t="str">
        <f>IF(AND('2.报价结算清单'!$P182&gt;0,'2.报价结算清单'!$B182&lt;&gt;0,'2.报价结算清单'!$F182&lt;&gt;0),'2.报价结算清单'!L182,"")</f>
        <v/>
      </c>
      <c r="J81" s="105" t="str">
        <f>IF(AND('2.报价结算清单'!$P182&gt;0,'2.报价结算清单'!$B182&lt;&gt;0,'2.报价结算清单'!I182&lt;&gt;0),'2.报价结算清单'!I182,"")</f>
        <v/>
      </c>
      <c r="K81" s="105" t="str">
        <f>IF(AND('2.报价结算清单'!$P182&gt;0,'2.报价结算清单'!$B182&lt;&gt;0,'2.报价结算清单'!$F182&lt;&gt;0),'2.报价结算清单'!N182,"")</f>
        <v/>
      </c>
      <c r="L81" s="105" t="str">
        <f>IF(AND('2.报价结算清单'!$P182&gt;0,'2.报价结算清单'!$B182&lt;&gt;0,'2.报价结算清单'!I182&lt;&gt;0),"天","")</f>
        <v/>
      </c>
      <c r="M81" s="80" t="str">
        <f t="shared" si="6"/>
        <v/>
      </c>
      <c r="N81" s="78" t="str">
        <f t="shared" si="7"/>
        <v/>
      </c>
      <c r="O81" s="78" t="str">
        <f>IF(AND('2.报价结算清单'!$P182&gt;0,'2.报价结算清单'!$B182&lt;&gt;0,'2.报价结算清单'!S182&lt;&gt;0),'2.报价结算清单'!S182,"")</f>
        <v/>
      </c>
      <c r="P81" s="78" t="str">
        <f>IF(AND('2.报价结算清单'!$P182&gt;0,'2.报价结算清单'!$B182&lt;&gt;0,'2.报价结算清单'!T182&lt;&gt;0),'2.报价结算清单'!T182,"")</f>
        <v/>
      </c>
      <c r="Q81" s="78" t="str">
        <f>IF(F81="",J81,VLOOKUP(F81,框架条目清单!A:K,4,FALSE))</f>
        <v/>
      </c>
      <c r="R81" s="106" t="str">
        <f>IF($A81="","",'2.报价结算清单'!$K$183)</f>
        <v/>
      </c>
      <c r="S81" s="80" t="str">
        <f>IF($A81="","",'2.报价结算清单'!$E$183)</f>
        <v/>
      </c>
      <c r="T81" s="78" t="str">
        <f>IF(F81="","",VLOOKUP(F81,框架条目清单!A:K,7,FALSE))</f>
        <v/>
      </c>
      <c r="U81" s="78" t="str">
        <f>IF(F81="","",VLOOKUP(F81,框架条目清单!A:K,8,FALSE))</f>
        <v/>
      </c>
      <c r="V81" s="78" t="str">
        <f>IF(F81="","",VLOOKUP(F81,框架条目清单!A:K,9,FALSE))</f>
        <v/>
      </c>
    </row>
    <row r="82" spans="1:22">
      <c r="A82" s="78" t="str">
        <f>IF(AND('2.报价结算清单'!$P183&gt;0,'2.报价结算清单'!$B183&lt;&gt;0,'2.报价结算清单'!$F183&lt;&gt;0),'2.报价结算清单'!$F183,"")</f>
        <v/>
      </c>
      <c r="B82" s="78" t="str">
        <f>_xlfn.IFNA(VLOOKUP(A82,'3.框架内物料'!$A:$I,3,0),A82)</f>
        <v/>
      </c>
      <c r="C82" s="78" t="str">
        <f>IF(AND('2.报价结算清单'!$P183&gt;0,'2.报价结算清单'!$B183&lt;&gt;0,'2.报价结算清单'!C183&lt;&gt;0),'2.报价结算清单'!C183,"")</f>
        <v/>
      </c>
      <c r="D82" s="78" t="str">
        <f>IF(AND('2.报价结算清单'!$P183&gt;0,'2.报价结算清单'!$B183&lt;&gt;0,'2.报价结算清单'!D183&lt;&gt;0),'2.报价结算清单'!D183,"")</f>
        <v/>
      </c>
      <c r="E82" s="78" t="str">
        <f>IF(AND('2.报价结算清单'!$P183&gt;0,'2.报价结算清单'!$B183&lt;&gt;0,'2.报价结算清单'!E183&lt;&gt;0),'2.报价结算清单'!E183,"")</f>
        <v/>
      </c>
      <c r="F82" s="105" t="str">
        <f>_xlfn.IFNA(IF($A82="","",IF(VLOOKUP($A82,'3.框架内物料'!$A:$I,2,0)="","",VLOOKUP($A82,'3.框架内物料'!$A:$I,2,0))),"")</f>
        <v/>
      </c>
      <c r="G82" s="87" t="str">
        <f>IF(AND('2.报价结算清单'!$P183&gt;0,'2.报价结算清单'!$B183&lt;&gt;0,'2.报价结算清单'!H183&lt;&gt;0),'2.报价结算清单'!H183,"")</f>
        <v/>
      </c>
      <c r="H82" s="122" t="str">
        <f>IF(AND('2.报价结算清单'!$P183&gt;0,'2.报价结算清单'!$B183&lt;&gt;0,'2.报价结算清单'!$F183&lt;&gt;0),'2.报价结算清单'!J183,"")</f>
        <v/>
      </c>
      <c r="I82" s="105" t="str">
        <f>IF(AND('2.报价结算清单'!$P183&gt;0,'2.报价结算清单'!$B183&lt;&gt;0,'2.报价结算清单'!$F183&lt;&gt;0),'2.报价结算清单'!L183,"")</f>
        <v/>
      </c>
      <c r="J82" s="105" t="str">
        <f>IF(AND('2.报价结算清单'!$P183&gt;0,'2.报价结算清单'!$B183&lt;&gt;0,'2.报价结算清单'!I183&lt;&gt;0),'2.报价结算清单'!I183,"")</f>
        <v/>
      </c>
      <c r="K82" s="105" t="str">
        <f>IF(AND('2.报价结算清单'!$P183&gt;0,'2.报价结算清单'!$B183&lt;&gt;0,'2.报价结算清单'!$F183&lt;&gt;0),'2.报价结算清单'!N183,"")</f>
        <v/>
      </c>
      <c r="L82" s="105" t="str">
        <f>IF(AND('2.报价结算清单'!$P183&gt;0,'2.报价结算清单'!$B183&lt;&gt;0,'2.报价结算清单'!I183&lt;&gt;0),"天","")</f>
        <v/>
      </c>
      <c r="M82" s="80" t="str">
        <f t="shared" si="6"/>
        <v/>
      </c>
      <c r="N82" s="78" t="str">
        <f t="shared" si="7"/>
        <v/>
      </c>
      <c r="O82" s="78" t="str">
        <f>IF(AND('2.报价结算清单'!$P183&gt;0,'2.报价结算清单'!$B183&lt;&gt;0,'2.报价结算清单'!S183&lt;&gt;0),'2.报价结算清单'!S183,"")</f>
        <v/>
      </c>
      <c r="P82" s="78" t="str">
        <f>IF(AND('2.报价结算清单'!$P183&gt;0,'2.报价结算清单'!$B183&lt;&gt;0,'2.报价结算清单'!T183&lt;&gt;0),'2.报价结算清单'!T183,"")</f>
        <v/>
      </c>
      <c r="Q82" s="78" t="str">
        <f>IF(F82="",J82,VLOOKUP(F82,框架条目清单!A:K,4,FALSE))</f>
        <v/>
      </c>
      <c r="R82" s="106" t="str">
        <f>IF($A82="","",'2.报价结算清单'!$K$183)</f>
        <v/>
      </c>
      <c r="S82" s="80" t="str">
        <f>IF($A82="","",'2.报价结算清单'!$E$183)</f>
        <v/>
      </c>
      <c r="T82" s="78" t="str">
        <f>IF(F82="","",VLOOKUP(F82,框架条目清单!A:K,7,FALSE))</f>
        <v/>
      </c>
      <c r="U82" s="78" t="str">
        <f>IF(F82="","",VLOOKUP(F82,框架条目清单!A:K,8,FALSE))</f>
        <v/>
      </c>
      <c r="V82" s="78" t="str">
        <f>IF(F82="","",VLOOKUP(F82,框架条目清单!A:K,9,FALSE))</f>
        <v/>
      </c>
    </row>
    <row r="83" spans="1:22">
      <c r="A83" s="78" t="str">
        <f>IF(AND('2.报价结算清单'!$P184&gt;0,'2.报价结算清单'!$B184&lt;&gt;0,'2.报价结算清单'!$F184&lt;&gt;0),'2.报价结算清单'!$F184,"")</f>
        <v/>
      </c>
      <c r="B83" s="78" t="str">
        <f>_xlfn.IFNA(VLOOKUP(A83,'3.框架内物料'!$A:$I,3,0),A83)</f>
        <v/>
      </c>
      <c r="C83" s="78" t="str">
        <f>IF(AND('2.报价结算清单'!$P184&gt;0,'2.报价结算清单'!$B184&lt;&gt;0,'2.报价结算清单'!C184&lt;&gt;0),'2.报价结算清单'!C184,"")</f>
        <v/>
      </c>
      <c r="D83" s="78" t="str">
        <f>IF(AND('2.报价结算清单'!$P184&gt;0,'2.报价结算清单'!$B184&lt;&gt;0,'2.报价结算清单'!D184&lt;&gt;0),'2.报价结算清单'!D184,"")</f>
        <v/>
      </c>
      <c r="E83" s="78" t="str">
        <f>IF(AND('2.报价结算清单'!$P184&gt;0,'2.报价结算清单'!$B184&lt;&gt;0,'2.报价结算清单'!E184&lt;&gt;0),'2.报价结算清单'!E184,"")</f>
        <v/>
      </c>
      <c r="F83" s="105" t="str">
        <f>_xlfn.IFNA(IF($A83="","",IF(VLOOKUP($A83,'3.框架内物料'!$A:$I,2,0)="","",VLOOKUP($A83,'3.框架内物料'!$A:$I,2,0))),"")</f>
        <v/>
      </c>
      <c r="G83" s="87" t="str">
        <f>IF(AND('2.报价结算清单'!$P184&gt;0,'2.报价结算清单'!$B184&lt;&gt;0,'2.报价结算清单'!H184&lt;&gt;0),'2.报价结算清单'!H184,"")</f>
        <v/>
      </c>
      <c r="H83" s="122" t="str">
        <f>IF(AND('2.报价结算清单'!$P184&gt;0,'2.报价结算清单'!$B184&lt;&gt;0,'2.报价结算清单'!$F184&lt;&gt;0),'2.报价结算清单'!J184,"")</f>
        <v/>
      </c>
      <c r="I83" s="105" t="str">
        <f>IF(AND('2.报价结算清单'!$P184&gt;0,'2.报价结算清单'!$B184&lt;&gt;0,'2.报价结算清单'!$F184&lt;&gt;0),'2.报价结算清单'!L184,"")</f>
        <v/>
      </c>
      <c r="J83" s="105" t="str">
        <f>IF(AND('2.报价结算清单'!$P184&gt;0,'2.报价结算清单'!$B184&lt;&gt;0,'2.报价结算清单'!I184&lt;&gt;0),'2.报价结算清单'!I184,"")</f>
        <v/>
      </c>
      <c r="K83" s="105" t="str">
        <f>IF(AND('2.报价结算清单'!$P184&gt;0,'2.报价结算清单'!$B184&lt;&gt;0,'2.报价结算清单'!$F184&lt;&gt;0),'2.报价结算清单'!N184,"")</f>
        <v/>
      </c>
      <c r="L83" s="105" t="str">
        <f>IF(AND('2.报价结算清单'!$P184&gt;0,'2.报价结算清单'!$B184&lt;&gt;0,'2.报价结算清单'!I184&lt;&gt;0),"天","")</f>
        <v/>
      </c>
      <c r="M83" s="80" t="str">
        <f t="shared" si="6"/>
        <v/>
      </c>
      <c r="N83" s="78" t="str">
        <f t="shared" si="7"/>
        <v/>
      </c>
      <c r="O83" s="78" t="str">
        <f>IF(AND('2.报价结算清单'!$P184&gt;0,'2.报价结算清单'!$B184&lt;&gt;0,'2.报价结算清单'!S184&lt;&gt;0),'2.报价结算清单'!S184,"")</f>
        <v/>
      </c>
      <c r="P83" s="78" t="str">
        <f>IF(AND('2.报价结算清单'!$P184&gt;0,'2.报价结算清单'!$B184&lt;&gt;0,'2.报价结算清单'!T184&lt;&gt;0),'2.报价结算清单'!T184,"")</f>
        <v/>
      </c>
      <c r="Q83" s="78" t="str">
        <f>IF(F83="",J83,VLOOKUP(F83,框架条目清单!A:K,4,FALSE))</f>
        <v/>
      </c>
      <c r="R83" s="106" t="str">
        <f>IF($A83="","",'2.报价结算清单'!$K$183)</f>
        <v/>
      </c>
      <c r="S83" s="80" t="str">
        <f>IF($A83="","",'2.报价结算清单'!$E$183)</f>
        <v/>
      </c>
      <c r="T83" s="78" t="str">
        <f>IF(F83="","",VLOOKUP(F83,框架条目清单!A:K,7,FALSE))</f>
        <v/>
      </c>
      <c r="U83" s="78" t="str">
        <f>IF(F83="","",VLOOKUP(F83,框架条目清单!A:K,8,FALSE))</f>
        <v/>
      </c>
      <c r="V83" s="78" t="str">
        <f>IF(F83="","",VLOOKUP(F83,框架条目清单!A:K,9,FALSE))</f>
        <v/>
      </c>
    </row>
    <row r="84" spans="1:22">
      <c r="A84" s="78" t="str">
        <f>IF(AND('2.报价结算清单'!$P186&gt;0,'2.报价结算清单'!$B186&lt;&gt;0,'2.报价结算清单'!$F186&lt;&gt;0),'2.报价结算清单'!$F186,"")</f>
        <v/>
      </c>
      <c r="B84" s="78" t="str">
        <f>_xlfn.IFNA(VLOOKUP(A84,'3.框架内物料'!$A:$I,3,0),A84)</f>
        <v/>
      </c>
      <c r="C84" s="78" t="str">
        <f>IF(AND('2.报价结算清单'!$P186&gt;0,'2.报价结算清单'!$B186&lt;&gt;0,'2.报价结算清单'!C186&lt;&gt;0),'2.报价结算清单'!C186,"")</f>
        <v/>
      </c>
      <c r="D84" s="78" t="str">
        <f>IF(AND('2.报价结算清单'!$P186&gt;0,'2.报价结算清单'!$B186&lt;&gt;0,'2.报价结算清单'!D186&lt;&gt;0),'2.报价结算清单'!D186,"")</f>
        <v/>
      </c>
      <c r="E84" s="78" t="str">
        <f>IF(AND('2.报价结算清单'!$P186&gt;0,'2.报价结算清单'!$B186&lt;&gt;0,'2.报价结算清单'!E186&lt;&gt;0),'2.报价结算清单'!E186,"")</f>
        <v/>
      </c>
      <c r="F84" s="105" t="str">
        <f>_xlfn.IFNA(IF($A84="","",IF(VLOOKUP($A84,'3.框架内物料'!$A:$I,2,0)="","",VLOOKUP($A84,'3.框架内物料'!$A:$I,2,0))),"")</f>
        <v/>
      </c>
      <c r="G84" s="87" t="str">
        <f>IF(AND('2.报价结算清单'!$P186&gt;0,'2.报价结算清单'!$B186&lt;&gt;0,'2.报价结算清单'!H186&lt;&gt;0),'2.报价结算清单'!H186,"")</f>
        <v/>
      </c>
      <c r="H84" s="122" t="str">
        <f>IF(AND('2.报价结算清单'!$P186&gt;0,'2.报价结算清单'!$B186&lt;&gt;0,'2.报价结算清单'!$F186&lt;&gt;0),'2.报价结算清单'!J186,"")</f>
        <v/>
      </c>
      <c r="I84" s="105" t="str">
        <f>IF(AND('2.报价结算清单'!$P186&gt;0,'2.报价结算清单'!$B186&lt;&gt;0,'2.报价结算清单'!$F186&lt;&gt;0),'2.报价结算清单'!L186,"")</f>
        <v/>
      </c>
      <c r="J84" s="105" t="str">
        <f>IF(AND('2.报价结算清单'!$P186&gt;0,'2.报价结算清单'!$B186&lt;&gt;0,'2.报价结算清单'!I186&lt;&gt;0),'2.报价结算清单'!I186,"")</f>
        <v/>
      </c>
      <c r="K84" s="105" t="str">
        <f>IF(AND('2.报价结算清单'!$P186&gt;0,'2.报价结算清单'!$B186&lt;&gt;0,'2.报价结算清单'!$F186&lt;&gt;0),'2.报价结算清单'!N186,"")</f>
        <v/>
      </c>
      <c r="L84" s="105" t="str">
        <f>IF(AND('2.报价结算清单'!$P186&gt;0,'2.报价结算清单'!$B186&lt;&gt;0,'2.报价结算清单'!I186&lt;&gt;0),"天","")</f>
        <v/>
      </c>
      <c r="M84" s="80" t="str">
        <f t="shared" si="6"/>
        <v/>
      </c>
      <c r="N84" s="78" t="str">
        <f t="shared" si="7"/>
        <v/>
      </c>
      <c r="O84" s="78" t="str">
        <f>IF(AND('2.报价结算清单'!$P186&gt;0,'2.报价结算清单'!$B186&lt;&gt;0,'2.报价结算清单'!S186&lt;&gt;0),'2.报价结算清单'!S186,"")</f>
        <v/>
      </c>
      <c r="P84" s="78" t="str">
        <f>IF(AND('2.报价结算清单'!$P186&gt;0,'2.报价结算清单'!$B186&lt;&gt;0,'2.报价结算清单'!T186&lt;&gt;0),'2.报价结算清单'!T186,"")</f>
        <v/>
      </c>
      <c r="Q84" s="78" t="str">
        <f>IF(F84="",J84,VLOOKUP(F84,框架条目清单!A:K,4,FALSE))</f>
        <v/>
      </c>
      <c r="R84" s="106" t="str">
        <f>IF($A84="","",'2.报价结算清单'!$K$183)</f>
        <v/>
      </c>
      <c r="S84" s="80" t="str">
        <f>IF($A84="","",'2.报价结算清单'!$E$183)</f>
        <v/>
      </c>
      <c r="T84" s="78" t="str">
        <f>IF(F84="","",VLOOKUP(F84,框架条目清单!A:K,7,FALSE))</f>
        <v/>
      </c>
      <c r="U84" s="78" t="str">
        <f>IF(F84="","",VLOOKUP(F84,框架条目清单!A:K,8,FALSE))</f>
        <v/>
      </c>
      <c r="V84" s="78" t="str">
        <f>IF(F84="","",VLOOKUP(F84,框架条目清单!A:K,9,FALSE))</f>
        <v/>
      </c>
    </row>
    <row r="85" spans="1:22">
      <c r="A85" s="78" t="str">
        <f>IF(AND('2.报价结算清单'!$P188&gt;0,'2.报价结算清单'!$B188&lt;&gt;0,'2.报价结算清单'!$F188&lt;&gt;0),'2.报价结算清单'!$F188,"")</f>
        <v/>
      </c>
      <c r="B85" s="78" t="str">
        <f>_xlfn.IFNA(VLOOKUP(A85,'3.框架内物料'!$A:$I,3,0),A85)</f>
        <v/>
      </c>
      <c r="C85" s="78" t="str">
        <f>IF(AND('2.报价结算清单'!$P188&gt;0,'2.报价结算清单'!$B188&lt;&gt;0,'2.报价结算清单'!C188&lt;&gt;0),'2.报价结算清单'!C188,"")</f>
        <v/>
      </c>
      <c r="D85" s="78" t="str">
        <f>IF(AND('2.报价结算清单'!$P188&gt;0,'2.报价结算清单'!$B188&lt;&gt;0,'2.报价结算清单'!D188&lt;&gt;0),'2.报价结算清单'!D188,"")</f>
        <v/>
      </c>
      <c r="E85" s="78" t="str">
        <f>IF(AND('2.报价结算清单'!$P188&gt;0,'2.报价结算清单'!$B188&lt;&gt;0,'2.报价结算清单'!E188&lt;&gt;0),'2.报价结算清单'!E188,"")</f>
        <v/>
      </c>
      <c r="F85" s="105" t="str">
        <f>_xlfn.IFNA(IF($A85="","",IF(VLOOKUP($A85,'3.框架内物料'!$A:$I,2,0)="","",VLOOKUP($A85,'3.框架内物料'!$A:$I,2,0))),"")</f>
        <v/>
      </c>
      <c r="G85" s="87" t="str">
        <f>IF(AND('2.报价结算清单'!$P188&gt;0,'2.报价结算清单'!$B188&lt;&gt;0,'2.报价结算清单'!H188&lt;&gt;0),'2.报价结算清单'!H188,"")</f>
        <v/>
      </c>
      <c r="H85" s="122" t="str">
        <f>IF(AND('2.报价结算清单'!$P188&gt;0,'2.报价结算清单'!$B188&lt;&gt;0,'2.报价结算清单'!$F188&lt;&gt;0),'2.报价结算清单'!J188,"")</f>
        <v/>
      </c>
      <c r="I85" s="105" t="str">
        <f>IF(AND('2.报价结算清单'!$P188&gt;0,'2.报价结算清单'!$B188&lt;&gt;0,'2.报价结算清单'!$F188&lt;&gt;0),'2.报价结算清单'!L188,"")</f>
        <v/>
      </c>
      <c r="J85" s="105" t="str">
        <f>IF(AND('2.报价结算清单'!$P188&gt;0,'2.报价结算清单'!$B188&lt;&gt;0,'2.报价结算清单'!I188&lt;&gt;0),'2.报价结算清单'!I188,"")</f>
        <v/>
      </c>
      <c r="K85" s="105" t="str">
        <f>IF(AND('2.报价结算清单'!$P188&gt;0,'2.报价结算清单'!$B188&lt;&gt;0,'2.报价结算清单'!$F188&lt;&gt;0),'2.报价结算清单'!N188,"")</f>
        <v/>
      </c>
      <c r="L85" s="105" t="str">
        <f>IF(AND('2.报价结算清单'!$P188&gt;0,'2.报价结算清单'!$B188&lt;&gt;0,'2.报价结算清单'!I188&lt;&gt;0),"天","")</f>
        <v/>
      </c>
      <c r="M85" s="80" t="str">
        <f t="shared" si="6"/>
        <v/>
      </c>
      <c r="N85" s="78" t="str">
        <f t="shared" si="7"/>
        <v/>
      </c>
      <c r="O85" s="78" t="str">
        <f>IF(AND('2.报价结算清单'!$P188&gt;0,'2.报价结算清单'!$B188&lt;&gt;0,'2.报价结算清单'!S188&lt;&gt;0),'2.报价结算清单'!S188,"")</f>
        <v/>
      </c>
      <c r="P85" s="78" t="str">
        <f>IF(AND('2.报价结算清单'!$P188&gt;0,'2.报价结算清单'!$B188&lt;&gt;0,'2.报价结算清单'!T188&lt;&gt;0),'2.报价结算清单'!T188,"")</f>
        <v/>
      </c>
      <c r="Q85" s="78" t="str">
        <f>IF(F85="",J85,VLOOKUP(F85,框架条目清单!A:K,4,FALSE))</f>
        <v/>
      </c>
      <c r="R85" s="106" t="str">
        <f>IF($A85="","",'2.报价结算清单'!$K$183)</f>
        <v/>
      </c>
      <c r="S85" s="80" t="str">
        <f>IF($A85="","",'2.报价结算清单'!$E$183)</f>
        <v/>
      </c>
      <c r="T85" s="78" t="str">
        <f>IF(F85="","",VLOOKUP(F85,框架条目清单!A:K,7,FALSE))</f>
        <v/>
      </c>
      <c r="U85" s="78" t="str">
        <f>IF(F85="","",VLOOKUP(F85,框架条目清单!A:K,8,FALSE))</f>
        <v/>
      </c>
      <c r="V85" s="78" t="str">
        <f>IF(F85="","",VLOOKUP(F85,框架条目清单!A:K,9,FALSE))</f>
        <v/>
      </c>
    </row>
    <row r="86" spans="1:22">
      <c r="A86" s="78" t="str">
        <f>IF(AND('2.报价结算清单'!$P189&gt;0,'2.报价结算清单'!$B189&lt;&gt;0,'2.报价结算清单'!$F189&lt;&gt;0),'2.报价结算清单'!$F189,"")</f>
        <v/>
      </c>
      <c r="B86" s="78" t="str">
        <f>_xlfn.IFNA(VLOOKUP(A86,'3.框架内物料'!$A:$I,3,0),A86)</f>
        <v/>
      </c>
      <c r="C86" s="78" t="str">
        <f>IF(AND('2.报价结算清单'!$P189&gt;0,'2.报价结算清单'!$B189&lt;&gt;0,'2.报价结算清单'!C189&lt;&gt;0),'2.报价结算清单'!C189,"")</f>
        <v/>
      </c>
      <c r="D86" s="78" t="str">
        <f>IF(AND('2.报价结算清单'!$P189&gt;0,'2.报价结算清单'!$B189&lt;&gt;0,'2.报价结算清单'!D189&lt;&gt;0),'2.报价结算清单'!D189,"")</f>
        <v/>
      </c>
      <c r="E86" s="78" t="str">
        <f>IF(AND('2.报价结算清单'!$P189&gt;0,'2.报价结算清单'!$B189&lt;&gt;0,'2.报价结算清单'!E189&lt;&gt;0),'2.报价结算清单'!E189,"")</f>
        <v/>
      </c>
      <c r="F86" s="105" t="str">
        <f>_xlfn.IFNA(IF($A86="","",IF(VLOOKUP($A86,'3.框架内物料'!$A:$I,2,0)="","",VLOOKUP($A86,'3.框架内物料'!$A:$I,2,0))),"")</f>
        <v/>
      </c>
      <c r="G86" s="87" t="str">
        <f>IF(AND('2.报价结算清单'!$P189&gt;0,'2.报价结算清单'!$B189&lt;&gt;0,'2.报价结算清单'!H189&lt;&gt;0),'2.报价结算清单'!H189,"")</f>
        <v/>
      </c>
      <c r="H86" s="122" t="str">
        <f>IF(AND('2.报价结算清单'!$P189&gt;0,'2.报价结算清单'!$B189&lt;&gt;0,'2.报价结算清单'!$F189&lt;&gt;0),'2.报价结算清单'!J189,"")</f>
        <v/>
      </c>
      <c r="I86" s="105" t="str">
        <f>IF(AND('2.报价结算清单'!$P189&gt;0,'2.报价结算清单'!$B189&lt;&gt;0,'2.报价结算清单'!$F189&lt;&gt;0),'2.报价结算清单'!L189,"")</f>
        <v/>
      </c>
      <c r="J86" s="105" t="str">
        <f>IF(AND('2.报价结算清单'!$P189&gt;0,'2.报价结算清单'!$B189&lt;&gt;0,'2.报价结算清单'!I189&lt;&gt;0),'2.报价结算清单'!I189,"")</f>
        <v/>
      </c>
      <c r="K86" s="105" t="str">
        <f>IF(AND('2.报价结算清单'!$P189&gt;0,'2.报价结算清单'!$B189&lt;&gt;0,'2.报价结算清单'!$F189&lt;&gt;0),'2.报价结算清单'!N189,"")</f>
        <v/>
      </c>
      <c r="L86" s="105" t="str">
        <f>IF(AND('2.报价结算清单'!$P189&gt;0,'2.报价结算清单'!$B189&lt;&gt;0,'2.报价结算清单'!I189&lt;&gt;0),"天","")</f>
        <v/>
      </c>
      <c r="M86" s="80" t="str">
        <f t="shared" si="6"/>
        <v/>
      </c>
      <c r="N86" s="78" t="str">
        <f t="shared" si="7"/>
        <v/>
      </c>
      <c r="O86" s="78" t="str">
        <f>IF(AND('2.报价结算清单'!$P189&gt;0,'2.报价结算清单'!$B189&lt;&gt;0,'2.报价结算清单'!S189&lt;&gt;0),'2.报价结算清单'!S189,"")</f>
        <v/>
      </c>
      <c r="P86" s="78" t="str">
        <f>IF(AND('2.报价结算清单'!$P189&gt;0,'2.报价结算清单'!$B189&lt;&gt;0,'2.报价结算清单'!T189&lt;&gt;0),'2.报价结算清单'!T189,"")</f>
        <v/>
      </c>
      <c r="Q86" s="78" t="str">
        <f>IF(F86="",J86,VLOOKUP(F86,框架条目清单!A:K,4,FALSE))</f>
        <v/>
      </c>
      <c r="R86" s="106" t="str">
        <f>IF($A86="","",'2.报价结算清单'!$K$183)</f>
        <v/>
      </c>
      <c r="S86" s="80" t="str">
        <f>IF($A86="","",'2.报价结算清单'!$E$183)</f>
        <v/>
      </c>
      <c r="T86" s="78" t="str">
        <f>IF(F86="","",VLOOKUP(F86,框架条目清单!A:K,7,FALSE))</f>
        <v/>
      </c>
      <c r="U86" s="78" t="str">
        <f>IF(F86="","",VLOOKUP(F86,框架条目清单!A:K,8,FALSE))</f>
        <v/>
      </c>
      <c r="V86" s="78" t="str">
        <f>IF(F86="","",VLOOKUP(F86,框架条目清单!A:K,9,FALSE))</f>
        <v/>
      </c>
    </row>
    <row r="87" spans="1:22">
      <c r="A87" s="78" t="str">
        <f>IF(AND('2.报价结算清单'!$P190&gt;0,'2.报价结算清单'!$B190&lt;&gt;0,'2.报价结算清单'!$F190&lt;&gt;0),'2.报价结算清单'!$F190,"")</f>
        <v/>
      </c>
      <c r="B87" s="78" t="str">
        <f>_xlfn.IFNA(VLOOKUP(A87,'3.框架内物料'!$A:$I,3,0),A87)</f>
        <v/>
      </c>
      <c r="C87" s="78" t="str">
        <f>IF(AND('2.报价结算清单'!$P190&gt;0,'2.报价结算清单'!$B190&lt;&gt;0,'2.报价结算清单'!C190&lt;&gt;0),'2.报价结算清单'!C190,"")</f>
        <v/>
      </c>
      <c r="D87" s="78" t="str">
        <f>IF(AND('2.报价结算清单'!$P190&gt;0,'2.报价结算清单'!$B190&lt;&gt;0,'2.报价结算清单'!D190&lt;&gt;0),'2.报价结算清单'!D190,"")</f>
        <v/>
      </c>
      <c r="E87" s="78" t="str">
        <f>IF(AND('2.报价结算清单'!$P190&gt;0,'2.报价结算清单'!$B190&lt;&gt;0,'2.报价结算清单'!E190&lt;&gt;0),'2.报价结算清单'!E190,"")</f>
        <v/>
      </c>
      <c r="F87" s="105" t="str">
        <f>_xlfn.IFNA(IF($A87="","",IF(VLOOKUP($A87,'3.框架内物料'!$A:$I,2,0)="","",VLOOKUP($A87,'3.框架内物料'!$A:$I,2,0))),"")</f>
        <v/>
      </c>
      <c r="G87" s="87" t="str">
        <f>IF(AND('2.报价结算清单'!$P190&gt;0,'2.报价结算清单'!$B190&lt;&gt;0,'2.报价结算清单'!H190&lt;&gt;0),'2.报价结算清单'!H190,"")</f>
        <v/>
      </c>
      <c r="H87" s="122" t="str">
        <f>IF(AND('2.报价结算清单'!$P190&gt;0,'2.报价结算清单'!$B190&lt;&gt;0,'2.报价结算清单'!$F190&lt;&gt;0),'2.报价结算清单'!J190,"")</f>
        <v/>
      </c>
      <c r="I87" s="105" t="str">
        <f>IF(AND('2.报价结算清单'!$P190&gt;0,'2.报价结算清单'!$B190&lt;&gt;0,'2.报价结算清单'!$F190&lt;&gt;0),'2.报价结算清单'!L190,"")</f>
        <v/>
      </c>
      <c r="J87" s="105" t="str">
        <f>IF(AND('2.报价结算清单'!$P190&gt;0,'2.报价结算清单'!$B190&lt;&gt;0,'2.报价结算清单'!I190&lt;&gt;0),'2.报价结算清单'!I190,"")</f>
        <v/>
      </c>
      <c r="K87" s="105" t="str">
        <f>IF(AND('2.报价结算清单'!$P190&gt;0,'2.报价结算清单'!$B190&lt;&gt;0,'2.报价结算清单'!$F190&lt;&gt;0),'2.报价结算清单'!N190,"")</f>
        <v/>
      </c>
      <c r="L87" s="105" t="str">
        <f>IF(AND('2.报价结算清单'!$P190&gt;0,'2.报价结算清单'!$B190&lt;&gt;0,'2.报价结算清单'!I190&lt;&gt;0),"天","")</f>
        <v/>
      </c>
      <c r="M87" s="80" t="str">
        <f t="shared" si="6"/>
        <v/>
      </c>
      <c r="N87" s="78" t="str">
        <f t="shared" si="7"/>
        <v/>
      </c>
      <c r="O87" s="78" t="str">
        <f>IF(AND('2.报价结算清单'!$P190&gt;0,'2.报价结算清单'!$B190&lt;&gt;0,'2.报价结算清单'!S190&lt;&gt;0),'2.报价结算清单'!S190,"")</f>
        <v/>
      </c>
      <c r="P87" s="78" t="str">
        <f>IF(AND('2.报价结算清单'!$P190&gt;0,'2.报价结算清单'!$B190&lt;&gt;0,'2.报价结算清单'!T190&lt;&gt;0),'2.报价结算清单'!T190,"")</f>
        <v/>
      </c>
      <c r="Q87" s="78" t="str">
        <f>IF(F87="",J87,VLOOKUP(F87,框架条目清单!A:K,4,FALSE))</f>
        <v/>
      </c>
      <c r="R87" s="106" t="str">
        <f>IF($A87="","",'2.报价结算清单'!$K$183)</f>
        <v/>
      </c>
      <c r="S87" s="80" t="str">
        <f>IF($A87="","",'2.报价结算清单'!$E$183)</f>
        <v/>
      </c>
      <c r="T87" s="78" t="str">
        <f>IF(F87="","",VLOOKUP(F87,框架条目清单!A:K,7,FALSE))</f>
        <v/>
      </c>
      <c r="U87" s="78" t="str">
        <f>IF(F87="","",VLOOKUP(F87,框架条目清单!A:K,8,FALSE))</f>
        <v/>
      </c>
      <c r="V87" s="78" t="str">
        <f>IF(F87="","",VLOOKUP(F87,框架条目清单!A:K,9,FALSE))</f>
        <v/>
      </c>
    </row>
    <row r="88" spans="1:22">
      <c r="A88" s="78" t="str">
        <f>IF(AND('2.报价结算清单'!$P191&gt;0,'2.报价结算清单'!$B191&lt;&gt;0,'2.报价结算清单'!$F191&lt;&gt;0),'2.报价结算清单'!$F191,"")</f>
        <v/>
      </c>
      <c r="B88" s="78" t="str">
        <f>_xlfn.IFNA(VLOOKUP(A88,'3.框架内物料'!$A:$I,3,0),A88)</f>
        <v/>
      </c>
      <c r="C88" s="78" t="str">
        <f>IF(AND('2.报价结算清单'!$P191&gt;0,'2.报价结算清单'!$B191&lt;&gt;0,'2.报价结算清单'!C191&lt;&gt;0),'2.报价结算清单'!C191,"")</f>
        <v/>
      </c>
      <c r="D88" s="78" t="str">
        <f>IF(AND('2.报价结算清单'!$P191&gt;0,'2.报价结算清单'!$B191&lt;&gt;0,'2.报价结算清单'!D191&lt;&gt;0),'2.报价结算清单'!D191,"")</f>
        <v/>
      </c>
      <c r="E88" s="78" t="str">
        <f>IF(AND('2.报价结算清单'!$P191&gt;0,'2.报价结算清单'!$B191&lt;&gt;0,'2.报价结算清单'!E191&lt;&gt;0),'2.报价结算清单'!E191,"")</f>
        <v/>
      </c>
      <c r="F88" s="105" t="str">
        <f>_xlfn.IFNA(IF($A88="","",IF(VLOOKUP($A88,'3.框架内物料'!$A:$I,2,0)="","",VLOOKUP($A88,'3.框架内物料'!$A:$I,2,0))),"")</f>
        <v/>
      </c>
      <c r="G88" s="87" t="str">
        <f>IF(AND('2.报价结算清单'!$P191&gt;0,'2.报价结算清单'!$B191&lt;&gt;0,'2.报价结算清单'!H191&lt;&gt;0),'2.报价结算清单'!H191,"")</f>
        <v/>
      </c>
      <c r="H88" s="122" t="str">
        <f>IF(AND('2.报价结算清单'!$P191&gt;0,'2.报价结算清单'!$B191&lt;&gt;0,'2.报价结算清单'!$F191&lt;&gt;0),'2.报价结算清单'!J191,"")</f>
        <v/>
      </c>
      <c r="I88" s="105" t="str">
        <f>IF(AND('2.报价结算清单'!$P191&gt;0,'2.报价结算清单'!$B191&lt;&gt;0,'2.报价结算清单'!$F191&lt;&gt;0),'2.报价结算清单'!L191,"")</f>
        <v/>
      </c>
      <c r="J88" s="105" t="str">
        <f>IF(AND('2.报价结算清单'!$P191&gt;0,'2.报价结算清单'!$B191&lt;&gt;0,'2.报价结算清单'!I191&lt;&gt;0),'2.报价结算清单'!I191,"")</f>
        <v/>
      </c>
      <c r="K88" s="105" t="str">
        <f>IF(AND('2.报价结算清单'!$P191&gt;0,'2.报价结算清单'!$B191&lt;&gt;0,'2.报价结算清单'!$F191&lt;&gt;0),'2.报价结算清单'!N191,"")</f>
        <v/>
      </c>
      <c r="L88" s="105" t="str">
        <f>IF(AND('2.报价结算清单'!$P191&gt;0,'2.报价结算清单'!$B191&lt;&gt;0,'2.报价结算清单'!I191&lt;&gt;0),"天","")</f>
        <v/>
      </c>
      <c r="M88" s="80" t="str">
        <f t="shared" si="6"/>
        <v/>
      </c>
      <c r="N88" s="78" t="str">
        <f t="shared" si="7"/>
        <v/>
      </c>
      <c r="O88" s="78" t="str">
        <f>IF(AND('2.报价结算清单'!$P191&gt;0,'2.报价结算清单'!$B191&lt;&gt;0,'2.报价结算清单'!S191&lt;&gt;0),'2.报价结算清单'!S191,"")</f>
        <v/>
      </c>
      <c r="P88" s="78" t="str">
        <f>IF(AND('2.报价结算清单'!$P191&gt;0,'2.报价结算清单'!$B191&lt;&gt;0,'2.报价结算清单'!T191&lt;&gt;0),'2.报价结算清单'!T191,"")</f>
        <v/>
      </c>
      <c r="Q88" s="78" t="str">
        <f>IF(F88="",J88,VLOOKUP(F88,框架条目清单!A:K,4,FALSE))</f>
        <v/>
      </c>
      <c r="R88" s="106" t="str">
        <f>IF($A88="","",'2.报价结算清单'!$K$183)</f>
        <v/>
      </c>
      <c r="S88" s="80" t="str">
        <f>IF($A88="","",'2.报价结算清单'!$E$183)</f>
        <v/>
      </c>
      <c r="T88" s="78" t="str">
        <f>IF(F88="","",VLOOKUP(F88,框架条目清单!A:K,7,FALSE))</f>
        <v/>
      </c>
      <c r="U88" s="78" t="str">
        <f>IF(F88="","",VLOOKUP(F88,框架条目清单!A:K,8,FALSE))</f>
        <v/>
      </c>
      <c r="V88" s="78" t="str">
        <f>IF(F88="","",VLOOKUP(F88,框架条目清单!A:K,9,FALSE))</f>
        <v/>
      </c>
    </row>
    <row r="89" spans="1:22">
      <c r="A89" s="78" t="str">
        <f>IF(AND('2.报价结算清单'!$P192&gt;0,'2.报价结算清单'!$B192&lt;&gt;0,'2.报价结算清单'!$F192&lt;&gt;0),'2.报价结算清单'!$F192,"")</f>
        <v/>
      </c>
      <c r="B89" s="78" t="str">
        <f>_xlfn.IFNA(VLOOKUP(A89,'3.框架内物料'!$A:$I,3,0),A89)</f>
        <v/>
      </c>
      <c r="C89" s="78" t="str">
        <f>IF(AND('2.报价结算清单'!$P192&gt;0,'2.报价结算清单'!$B192&lt;&gt;0,'2.报价结算清单'!C192&lt;&gt;0),'2.报价结算清单'!C192,"")</f>
        <v/>
      </c>
      <c r="D89" s="78" t="str">
        <f>IF(AND('2.报价结算清单'!$P192&gt;0,'2.报价结算清单'!$B192&lt;&gt;0,'2.报价结算清单'!D192&lt;&gt;0),'2.报价结算清单'!D192,"")</f>
        <v/>
      </c>
      <c r="E89" s="78" t="str">
        <f>IF(AND('2.报价结算清单'!$P192&gt;0,'2.报价结算清单'!$B192&lt;&gt;0,'2.报价结算清单'!E192&lt;&gt;0),'2.报价结算清单'!E192,"")</f>
        <v/>
      </c>
      <c r="F89" s="105" t="str">
        <f>_xlfn.IFNA(IF($A89="","",IF(VLOOKUP($A89,'3.框架内物料'!$A:$I,2,0)="","",VLOOKUP($A89,'3.框架内物料'!$A:$I,2,0))),"")</f>
        <v/>
      </c>
      <c r="G89" s="87" t="str">
        <f>IF(AND('2.报价结算清单'!$P192&gt;0,'2.报价结算清单'!$B192&lt;&gt;0,'2.报价结算清单'!H192&lt;&gt;0),'2.报价结算清单'!H192,"")</f>
        <v/>
      </c>
      <c r="H89" s="122" t="str">
        <f>IF(AND('2.报价结算清单'!$P192&gt;0,'2.报价结算清单'!$B192&lt;&gt;0,'2.报价结算清单'!$F192&lt;&gt;0),'2.报价结算清单'!J192,"")</f>
        <v/>
      </c>
      <c r="I89" s="105" t="str">
        <f>IF(AND('2.报价结算清单'!$P192&gt;0,'2.报价结算清单'!$B192&lt;&gt;0,'2.报价结算清单'!$F192&lt;&gt;0),'2.报价结算清单'!L192,"")</f>
        <v/>
      </c>
      <c r="J89" s="105" t="str">
        <f>IF(AND('2.报价结算清单'!$P192&gt;0,'2.报价结算清单'!$B192&lt;&gt;0,'2.报价结算清单'!I192&lt;&gt;0),'2.报价结算清单'!I192,"")</f>
        <v/>
      </c>
      <c r="K89" s="105" t="str">
        <f>IF(AND('2.报价结算清单'!$P192&gt;0,'2.报价结算清单'!$B192&lt;&gt;0,'2.报价结算清单'!$F192&lt;&gt;0),'2.报价结算清单'!N192,"")</f>
        <v/>
      </c>
      <c r="L89" s="105" t="str">
        <f>IF(AND('2.报价结算清单'!$P192&gt;0,'2.报价结算清单'!$B192&lt;&gt;0,'2.报价结算清单'!I192&lt;&gt;0),"天","")</f>
        <v/>
      </c>
      <c r="M89" s="80" t="str">
        <f t="shared" si="6"/>
        <v/>
      </c>
      <c r="N89" s="78" t="str">
        <f t="shared" si="7"/>
        <v/>
      </c>
      <c r="O89" s="78" t="str">
        <f>IF(AND('2.报价结算清单'!$P192&gt;0,'2.报价结算清单'!$B192&lt;&gt;0,'2.报价结算清单'!S192&lt;&gt;0),'2.报价结算清单'!S192,"")</f>
        <v/>
      </c>
      <c r="P89" s="78" t="str">
        <f>IF(AND('2.报价结算清单'!$P192&gt;0,'2.报价结算清单'!$B192&lt;&gt;0,'2.报价结算清单'!T192&lt;&gt;0),'2.报价结算清单'!T192,"")</f>
        <v/>
      </c>
      <c r="Q89" s="78" t="str">
        <f>IF(F89="",J89,VLOOKUP(F89,框架条目清单!A:K,4,FALSE))</f>
        <v/>
      </c>
      <c r="R89" s="106" t="str">
        <f>IF($A89="","",'2.报价结算清单'!$K$183)</f>
        <v/>
      </c>
      <c r="S89" s="80" t="str">
        <f>IF($A89="","",'2.报价结算清单'!$E$183)</f>
        <v/>
      </c>
      <c r="T89" s="78" t="str">
        <f>IF(F89="","",VLOOKUP(F89,框架条目清单!A:K,7,FALSE))</f>
        <v/>
      </c>
      <c r="U89" s="78" t="str">
        <f>IF(F89="","",VLOOKUP(F89,框架条目清单!A:K,8,FALSE))</f>
        <v/>
      </c>
      <c r="V89" s="78" t="str">
        <f>IF(F89="","",VLOOKUP(F89,框架条目清单!A:K,9,FALSE))</f>
        <v/>
      </c>
    </row>
    <row r="90" spans="1:22">
      <c r="A90" s="78" t="str">
        <f>IF(AND('2.报价结算清单'!$P193&gt;0,'2.报价结算清单'!$B193&lt;&gt;0,'2.报价结算清单'!$F193&lt;&gt;0),'2.报价结算清单'!$F193,"")</f>
        <v/>
      </c>
      <c r="B90" s="78" t="str">
        <f>_xlfn.IFNA(VLOOKUP(A90,'3.框架内物料'!$A:$I,3,0),A90)</f>
        <v/>
      </c>
      <c r="C90" s="78" t="str">
        <f>IF(AND('2.报价结算清单'!$P193&gt;0,'2.报价结算清单'!$B193&lt;&gt;0,'2.报价结算清单'!C193&lt;&gt;0),'2.报价结算清单'!C193,"")</f>
        <v/>
      </c>
      <c r="D90" s="78" t="str">
        <f>IF(AND('2.报价结算清单'!$P193&gt;0,'2.报价结算清单'!$B193&lt;&gt;0,'2.报价结算清单'!D193&lt;&gt;0),'2.报价结算清单'!D193,"")</f>
        <v/>
      </c>
      <c r="E90" s="78" t="str">
        <f>IF(AND('2.报价结算清单'!$P193&gt;0,'2.报价结算清单'!$B193&lt;&gt;0,'2.报价结算清单'!E193&lt;&gt;0),'2.报价结算清单'!E193,"")</f>
        <v/>
      </c>
      <c r="F90" s="105" t="str">
        <f>_xlfn.IFNA(IF($A90="","",IF(VLOOKUP($A90,'3.框架内物料'!$A:$I,2,0)="","",VLOOKUP($A90,'3.框架内物料'!$A:$I,2,0))),"")</f>
        <v/>
      </c>
      <c r="G90" s="87" t="str">
        <f>IF(AND('2.报价结算清单'!$P193&gt;0,'2.报价结算清单'!$B193&lt;&gt;0,'2.报价结算清单'!H193&lt;&gt;0),'2.报价结算清单'!H193,"")</f>
        <v/>
      </c>
      <c r="H90" s="122" t="str">
        <f>IF(AND('2.报价结算清单'!$P193&gt;0,'2.报价结算清单'!$B193&lt;&gt;0,'2.报价结算清单'!$F193&lt;&gt;0),'2.报价结算清单'!J193,"")</f>
        <v/>
      </c>
      <c r="I90" s="105" t="str">
        <f>IF(AND('2.报价结算清单'!$P193&gt;0,'2.报价结算清单'!$B193&lt;&gt;0,'2.报价结算清单'!$F193&lt;&gt;0),'2.报价结算清单'!L193,"")</f>
        <v/>
      </c>
      <c r="J90" s="105" t="str">
        <f>IF(AND('2.报价结算清单'!$P193&gt;0,'2.报价结算清单'!$B193&lt;&gt;0,'2.报价结算清单'!I193&lt;&gt;0),'2.报价结算清单'!I193,"")</f>
        <v/>
      </c>
      <c r="K90" s="105" t="str">
        <f>IF(AND('2.报价结算清单'!$P193&gt;0,'2.报价结算清单'!$B193&lt;&gt;0,'2.报价结算清单'!$F193&lt;&gt;0),'2.报价结算清单'!N193,"")</f>
        <v/>
      </c>
      <c r="L90" s="105" t="str">
        <f>IF(AND('2.报价结算清单'!$P193&gt;0,'2.报价结算清单'!$B193&lt;&gt;0,'2.报价结算清单'!I193&lt;&gt;0),"天","")</f>
        <v/>
      </c>
      <c r="M90" s="80" t="str">
        <f t="shared" si="6"/>
        <v/>
      </c>
      <c r="N90" s="78" t="str">
        <f t="shared" si="7"/>
        <v/>
      </c>
      <c r="O90" s="78" t="str">
        <f>IF(AND('2.报价结算清单'!$P193&gt;0,'2.报价结算清单'!$B193&lt;&gt;0,'2.报价结算清单'!S193&lt;&gt;0),'2.报价结算清单'!S193,"")</f>
        <v/>
      </c>
      <c r="P90" s="78" t="str">
        <f>IF(AND('2.报价结算清单'!$P193&gt;0,'2.报价结算清单'!$B193&lt;&gt;0,'2.报价结算清单'!T193&lt;&gt;0),'2.报价结算清单'!T193,"")</f>
        <v/>
      </c>
      <c r="Q90" s="78" t="str">
        <f>IF(F90="",J90,VLOOKUP(F90,框架条目清单!A:K,4,FALSE))</f>
        <v/>
      </c>
      <c r="R90" s="106" t="str">
        <f>IF($A90="","",'2.报价结算清单'!$K$183)</f>
        <v/>
      </c>
      <c r="S90" s="80" t="str">
        <f>IF($A90="","",'2.报价结算清单'!$E$183)</f>
        <v/>
      </c>
      <c r="T90" s="78" t="str">
        <f>IF(F90="","",VLOOKUP(F90,框架条目清单!A:K,7,FALSE))</f>
        <v/>
      </c>
      <c r="U90" s="78" t="str">
        <f>IF(F90="","",VLOOKUP(F90,框架条目清单!A:K,8,FALSE))</f>
        <v/>
      </c>
      <c r="V90" s="78" t="str">
        <f>IF(F90="","",VLOOKUP(F90,框架条目清单!A:K,9,FALSE))</f>
        <v/>
      </c>
    </row>
    <row r="91" spans="1:22">
      <c r="A91" s="78" t="str">
        <f>IF(AND('2.报价结算清单'!$P194&gt;0,'2.报价结算清单'!$B194&lt;&gt;0,'2.报价结算清单'!$F194&lt;&gt;0),'2.报价结算清单'!$F194,"")</f>
        <v/>
      </c>
      <c r="B91" s="78" t="str">
        <f>_xlfn.IFNA(VLOOKUP(A91,'3.框架内物料'!$A:$I,3,0),A91)</f>
        <v/>
      </c>
      <c r="C91" s="78" t="str">
        <f>IF(AND('2.报价结算清单'!$P194&gt;0,'2.报价结算清单'!$B194&lt;&gt;0,'2.报价结算清单'!C194&lt;&gt;0),'2.报价结算清单'!C194,"")</f>
        <v/>
      </c>
      <c r="D91" s="78" t="str">
        <f>IF(AND('2.报价结算清单'!$P194&gt;0,'2.报价结算清单'!$B194&lt;&gt;0,'2.报价结算清单'!D194&lt;&gt;0),'2.报价结算清单'!D194,"")</f>
        <v/>
      </c>
      <c r="E91" s="78" t="str">
        <f>IF(AND('2.报价结算清单'!$P194&gt;0,'2.报价结算清单'!$B194&lt;&gt;0,'2.报价结算清单'!E194&lt;&gt;0),'2.报价结算清单'!E194,"")</f>
        <v/>
      </c>
      <c r="F91" s="105" t="str">
        <f>_xlfn.IFNA(IF($A91="","",IF(VLOOKUP($A91,'3.框架内物料'!$A:$I,2,0)="","",VLOOKUP($A91,'3.框架内物料'!$A:$I,2,0))),"")</f>
        <v/>
      </c>
      <c r="G91" s="87" t="str">
        <f>IF(AND('2.报价结算清单'!$P194&gt;0,'2.报价结算清单'!$B194&lt;&gt;0,'2.报价结算清单'!H194&lt;&gt;0),'2.报价结算清单'!H194,"")</f>
        <v/>
      </c>
      <c r="H91" s="122" t="str">
        <f>IF(AND('2.报价结算清单'!$P194&gt;0,'2.报价结算清单'!$B194&lt;&gt;0,'2.报价结算清单'!$F194&lt;&gt;0),'2.报价结算清单'!J194,"")</f>
        <v/>
      </c>
      <c r="I91" s="105" t="str">
        <f>IF(AND('2.报价结算清单'!$P194&gt;0,'2.报价结算清单'!$B194&lt;&gt;0,'2.报价结算清单'!$F194&lt;&gt;0),'2.报价结算清单'!L194,"")</f>
        <v/>
      </c>
      <c r="J91" s="105" t="str">
        <f>IF(AND('2.报价结算清单'!$P194&gt;0,'2.报价结算清单'!$B194&lt;&gt;0,'2.报价结算清单'!I194&lt;&gt;0),'2.报价结算清单'!I194,"")</f>
        <v/>
      </c>
      <c r="K91" s="105" t="str">
        <f>IF(AND('2.报价结算清单'!$P194&gt;0,'2.报价结算清单'!$B194&lt;&gt;0,'2.报价结算清单'!$F194&lt;&gt;0),'2.报价结算清单'!N194,"")</f>
        <v/>
      </c>
      <c r="L91" s="105" t="str">
        <f>IF(AND('2.报价结算清单'!$P194&gt;0,'2.报价结算清单'!$B194&lt;&gt;0,'2.报价结算清单'!I194&lt;&gt;0),"天","")</f>
        <v/>
      </c>
      <c r="M91" s="80" t="str">
        <f t="shared" si="6"/>
        <v/>
      </c>
      <c r="N91" s="78" t="str">
        <f t="shared" si="7"/>
        <v/>
      </c>
      <c r="O91" s="78" t="str">
        <f>IF(AND('2.报价结算清单'!$P194&gt;0,'2.报价结算清单'!$B194&lt;&gt;0,'2.报价结算清单'!S194&lt;&gt;0),'2.报价结算清单'!S194,"")</f>
        <v/>
      </c>
      <c r="P91" s="78" t="str">
        <f>IF(AND('2.报价结算清单'!$P194&gt;0,'2.报价结算清单'!$B194&lt;&gt;0,'2.报价结算清单'!T194&lt;&gt;0),'2.报价结算清单'!T194,"")</f>
        <v/>
      </c>
      <c r="Q91" s="78" t="str">
        <f>IF(F91="",J91,VLOOKUP(F91,框架条目清单!A:K,4,FALSE))</f>
        <v/>
      </c>
      <c r="R91" s="106" t="str">
        <f>IF($A91="","",'2.报价结算清单'!$K$183)</f>
        <v/>
      </c>
      <c r="S91" s="80" t="str">
        <f>IF($A91="","",'2.报价结算清单'!$E$183)</f>
        <v/>
      </c>
      <c r="T91" s="78" t="str">
        <f>IF(F91="","",VLOOKUP(F91,框架条目清单!A:K,7,FALSE))</f>
        <v/>
      </c>
      <c r="U91" s="78" t="str">
        <f>IF(F91="","",VLOOKUP(F91,框架条目清单!A:K,8,FALSE))</f>
        <v/>
      </c>
      <c r="V91" s="78" t="str">
        <f>IF(F91="","",VLOOKUP(F91,框架条目清单!A:K,9,FALSE))</f>
        <v/>
      </c>
    </row>
    <row r="92" spans="1:22">
      <c r="A92" s="78" t="str">
        <f>IF(AND('2.报价结算清单'!$P195&gt;0,'2.报价结算清单'!$B195&lt;&gt;0,'2.报价结算清单'!$F195&lt;&gt;0),'2.报价结算清单'!$F195,"")</f>
        <v/>
      </c>
      <c r="B92" s="78" t="str">
        <f>_xlfn.IFNA(VLOOKUP(A92,'3.框架内物料'!$A:$I,3,0),A92)</f>
        <v/>
      </c>
      <c r="C92" s="78" t="str">
        <f>IF(AND('2.报价结算清单'!$P195&gt;0,'2.报价结算清单'!$B195&lt;&gt;0,'2.报价结算清单'!C195&lt;&gt;0),'2.报价结算清单'!C195,"")</f>
        <v/>
      </c>
      <c r="D92" s="78" t="str">
        <f>IF(AND('2.报价结算清单'!$P195&gt;0,'2.报价结算清单'!$B195&lt;&gt;0,'2.报价结算清单'!D195&lt;&gt;0),'2.报价结算清单'!D195,"")</f>
        <v/>
      </c>
      <c r="E92" s="78" t="str">
        <f>IF(AND('2.报价结算清单'!$P195&gt;0,'2.报价结算清单'!$B195&lt;&gt;0,'2.报价结算清单'!E195&lt;&gt;0),'2.报价结算清单'!E195,"")</f>
        <v/>
      </c>
      <c r="F92" s="105" t="str">
        <f>_xlfn.IFNA(IF($A92="","",IF(VLOOKUP($A92,'3.框架内物料'!$A:$I,2,0)="","",VLOOKUP($A92,'3.框架内物料'!$A:$I,2,0))),"")</f>
        <v/>
      </c>
      <c r="G92" s="87" t="str">
        <f>IF(AND('2.报价结算清单'!$P195&gt;0,'2.报价结算清单'!$B195&lt;&gt;0,'2.报价结算清单'!H195&lt;&gt;0),'2.报价结算清单'!H195,"")</f>
        <v/>
      </c>
      <c r="H92" s="122" t="str">
        <f>IF(AND('2.报价结算清单'!$P195&gt;0,'2.报价结算清单'!$B195&lt;&gt;0,'2.报价结算清单'!$F195&lt;&gt;0),'2.报价结算清单'!J195,"")</f>
        <v/>
      </c>
      <c r="I92" s="105" t="str">
        <f>IF(AND('2.报价结算清单'!$P195&gt;0,'2.报价结算清单'!$B195&lt;&gt;0,'2.报价结算清单'!$F195&lt;&gt;0),'2.报价结算清单'!L195,"")</f>
        <v/>
      </c>
      <c r="J92" s="105" t="str">
        <f>IF(AND('2.报价结算清单'!$P195&gt;0,'2.报价结算清单'!$B195&lt;&gt;0,'2.报价结算清单'!I195&lt;&gt;0),'2.报价结算清单'!I195,"")</f>
        <v/>
      </c>
      <c r="K92" s="105" t="str">
        <f>IF(AND('2.报价结算清单'!$P195&gt;0,'2.报价结算清单'!$B195&lt;&gt;0,'2.报价结算清单'!$F195&lt;&gt;0),'2.报价结算清单'!N195,"")</f>
        <v/>
      </c>
      <c r="L92" s="105" t="str">
        <f>IF(AND('2.报价结算清单'!$P195&gt;0,'2.报价结算清单'!$B195&lt;&gt;0,'2.报价结算清单'!I195&lt;&gt;0),"天","")</f>
        <v/>
      </c>
      <c r="M92" s="80" t="str">
        <f t="shared" si="6"/>
        <v/>
      </c>
      <c r="N92" s="78" t="str">
        <f t="shared" si="7"/>
        <v/>
      </c>
      <c r="O92" s="78" t="str">
        <f>IF(AND('2.报价结算清单'!$P195&gt;0,'2.报价结算清单'!$B195&lt;&gt;0,'2.报价结算清单'!S195&lt;&gt;0),'2.报价结算清单'!S195,"")</f>
        <v/>
      </c>
      <c r="P92" s="78" t="str">
        <f>IF(AND('2.报价结算清单'!$P195&gt;0,'2.报价结算清单'!$B195&lt;&gt;0,'2.报价结算清单'!T195&lt;&gt;0),'2.报价结算清单'!T195,"")</f>
        <v/>
      </c>
      <c r="Q92" s="78" t="str">
        <f>IF(F92="",J92,VLOOKUP(F92,框架条目清单!A:K,4,FALSE))</f>
        <v/>
      </c>
      <c r="R92" s="106" t="str">
        <f>IF($A92="","",'2.报价结算清单'!$K$183)</f>
        <v/>
      </c>
      <c r="S92" s="80" t="str">
        <f>IF($A92="","",'2.报价结算清单'!$E$183)</f>
        <v/>
      </c>
      <c r="T92" s="78" t="str">
        <f>IF(F92="","",VLOOKUP(F92,框架条目清单!A:K,7,FALSE))</f>
        <v/>
      </c>
      <c r="U92" s="78" t="str">
        <f>IF(F92="","",VLOOKUP(F92,框架条目清单!A:K,8,FALSE))</f>
        <v/>
      </c>
      <c r="V92" s="78" t="str">
        <f>IF(F92="","",VLOOKUP(F92,框架条目清单!A:K,9,FALSE))</f>
        <v/>
      </c>
    </row>
    <row r="93" spans="1:22">
      <c r="A93" s="78" t="str">
        <f>IF(AND('2.报价结算清单'!$P196&gt;0,'2.报价结算清单'!$B196&lt;&gt;0,'2.报价结算清单'!$F196&lt;&gt;0),'2.报价结算清单'!$F196,"")</f>
        <v/>
      </c>
      <c r="B93" s="78" t="str">
        <f>_xlfn.IFNA(VLOOKUP(A93,'3.框架内物料'!$A:$I,3,0),A93)</f>
        <v/>
      </c>
      <c r="C93" s="78" t="str">
        <f>IF(AND('2.报价结算清单'!$P196&gt;0,'2.报价结算清单'!$B196&lt;&gt;0,'2.报价结算清单'!C196&lt;&gt;0),'2.报价结算清单'!C196,"")</f>
        <v/>
      </c>
      <c r="D93" s="78" t="str">
        <f>IF(AND('2.报价结算清单'!$P196&gt;0,'2.报价结算清单'!$B196&lt;&gt;0,'2.报价结算清单'!D196&lt;&gt;0),'2.报价结算清单'!D196,"")</f>
        <v/>
      </c>
      <c r="E93" s="78" t="str">
        <f>IF(AND('2.报价结算清单'!$P196&gt;0,'2.报价结算清单'!$B196&lt;&gt;0,'2.报价结算清单'!E196&lt;&gt;0),'2.报价结算清单'!E196,"")</f>
        <v/>
      </c>
      <c r="F93" s="105" t="str">
        <f>_xlfn.IFNA(IF($A93="","",IF(VLOOKUP($A93,'3.框架内物料'!$A:$I,2,0)="","",VLOOKUP($A93,'3.框架内物料'!$A:$I,2,0))),"")</f>
        <v/>
      </c>
      <c r="G93" s="87" t="str">
        <f>IF(AND('2.报价结算清单'!$P196&gt;0,'2.报价结算清单'!$B196&lt;&gt;0,'2.报价结算清单'!H196&lt;&gt;0),'2.报价结算清单'!H196,"")</f>
        <v/>
      </c>
      <c r="H93" s="122" t="str">
        <f>IF(AND('2.报价结算清单'!$P196&gt;0,'2.报价结算清单'!$B196&lt;&gt;0,'2.报价结算清单'!$F196&lt;&gt;0),'2.报价结算清单'!J196,"")</f>
        <v/>
      </c>
      <c r="I93" s="105" t="str">
        <f>IF(AND('2.报价结算清单'!$P196&gt;0,'2.报价结算清单'!$B196&lt;&gt;0,'2.报价结算清单'!$F196&lt;&gt;0),'2.报价结算清单'!L196,"")</f>
        <v/>
      </c>
      <c r="J93" s="105" t="str">
        <f>IF(AND('2.报价结算清单'!$P196&gt;0,'2.报价结算清单'!$B196&lt;&gt;0,'2.报价结算清单'!I196&lt;&gt;0),'2.报价结算清单'!I196,"")</f>
        <v/>
      </c>
      <c r="K93" s="105" t="str">
        <f>IF(AND('2.报价结算清单'!$P196&gt;0,'2.报价结算清单'!$B196&lt;&gt;0,'2.报价结算清单'!$F196&lt;&gt;0),'2.报价结算清单'!N196,"")</f>
        <v/>
      </c>
      <c r="L93" s="105" t="str">
        <f>IF(AND('2.报价结算清单'!$P196&gt;0,'2.报价结算清单'!$B196&lt;&gt;0,'2.报价结算清单'!I196&lt;&gt;0),"天","")</f>
        <v/>
      </c>
      <c r="M93" s="80" t="str">
        <f t="shared" si="6"/>
        <v/>
      </c>
      <c r="N93" s="78" t="str">
        <f t="shared" si="7"/>
        <v/>
      </c>
      <c r="O93" s="78" t="str">
        <f>IF(AND('2.报价结算清单'!$P196&gt;0,'2.报价结算清单'!$B196&lt;&gt;0,'2.报价结算清单'!S196&lt;&gt;0),'2.报价结算清单'!S196,"")</f>
        <v/>
      </c>
      <c r="P93" s="78" t="str">
        <f>IF(AND('2.报价结算清单'!$P196&gt;0,'2.报价结算清单'!$B196&lt;&gt;0,'2.报价结算清单'!T196&lt;&gt;0),'2.报价结算清单'!T196,"")</f>
        <v/>
      </c>
      <c r="Q93" s="78" t="str">
        <f>IF(F93="",J93,VLOOKUP(F93,框架条目清单!A:K,4,FALSE))</f>
        <v/>
      </c>
      <c r="R93" s="106" t="str">
        <f>IF($A93="","",'2.报价结算清单'!$K$183)</f>
        <v/>
      </c>
      <c r="S93" s="80" t="str">
        <f>IF($A93="","",'2.报价结算清单'!$E$183)</f>
        <v/>
      </c>
      <c r="T93" s="78" t="str">
        <f>IF(F93="","",VLOOKUP(F93,框架条目清单!A:K,7,FALSE))</f>
        <v/>
      </c>
      <c r="U93" s="78" t="str">
        <f>IF(F93="","",VLOOKUP(F93,框架条目清单!A:K,8,FALSE))</f>
        <v/>
      </c>
      <c r="V93" s="78" t="str">
        <f>IF(F93="","",VLOOKUP(F93,框架条目清单!A:K,9,FALSE))</f>
        <v/>
      </c>
    </row>
    <row r="94" spans="1:22">
      <c r="A94" s="78" t="str">
        <f>IF(AND('2.报价结算清单'!$P197&gt;0,'2.报价结算清单'!$B197&lt;&gt;0,'2.报价结算清单'!$F197&lt;&gt;0),'2.报价结算清单'!$F197,"")</f>
        <v/>
      </c>
      <c r="B94" s="78" t="str">
        <f>_xlfn.IFNA(VLOOKUP(A94,'3.框架内物料'!$A:$I,3,0),A94)</f>
        <v/>
      </c>
      <c r="C94" s="78" t="str">
        <f>IF(AND('2.报价结算清单'!$P197&gt;0,'2.报价结算清单'!$B197&lt;&gt;0,'2.报价结算清单'!C197&lt;&gt;0),'2.报价结算清单'!C197,"")</f>
        <v/>
      </c>
      <c r="D94" s="78" t="str">
        <f>IF(AND('2.报价结算清单'!$P197&gt;0,'2.报价结算清单'!$B197&lt;&gt;0,'2.报价结算清单'!D197&lt;&gt;0),'2.报价结算清单'!D197,"")</f>
        <v/>
      </c>
      <c r="E94" s="78" t="str">
        <f>IF(AND('2.报价结算清单'!$P197&gt;0,'2.报价结算清单'!$B197&lt;&gt;0,'2.报价结算清单'!E197&lt;&gt;0),'2.报价结算清单'!E197,"")</f>
        <v/>
      </c>
      <c r="F94" s="105" t="str">
        <f>_xlfn.IFNA(IF($A94="","",IF(VLOOKUP($A94,'3.框架内物料'!$A:$I,2,0)="","",VLOOKUP($A94,'3.框架内物料'!$A:$I,2,0))),"")</f>
        <v/>
      </c>
      <c r="G94" s="87" t="str">
        <f>IF(AND('2.报价结算清单'!$P197&gt;0,'2.报价结算清单'!$B197&lt;&gt;0,'2.报价结算清单'!H197&lt;&gt;0),'2.报价结算清单'!H197,"")</f>
        <v/>
      </c>
      <c r="H94" s="122" t="str">
        <f>IF(AND('2.报价结算清单'!$P197&gt;0,'2.报价结算清单'!$B197&lt;&gt;0,'2.报价结算清单'!$F197&lt;&gt;0),'2.报价结算清单'!J197,"")</f>
        <v/>
      </c>
      <c r="I94" s="105" t="str">
        <f>IF(AND('2.报价结算清单'!$P197&gt;0,'2.报价结算清单'!$B197&lt;&gt;0,'2.报价结算清单'!$F197&lt;&gt;0),'2.报价结算清单'!L197,"")</f>
        <v/>
      </c>
      <c r="J94" s="105" t="str">
        <f>IF(AND('2.报价结算清单'!$P197&gt;0,'2.报价结算清单'!$B197&lt;&gt;0,'2.报价结算清单'!I197&lt;&gt;0),'2.报价结算清单'!I197,"")</f>
        <v/>
      </c>
      <c r="K94" s="105" t="str">
        <f>IF(AND('2.报价结算清单'!$P197&gt;0,'2.报价结算清单'!$B197&lt;&gt;0,'2.报价结算清单'!$F197&lt;&gt;0),'2.报价结算清单'!N197,"")</f>
        <v/>
      </c>
      <c r="L94" s="105" t="str">
        <f>IF(AND('2.报价结算清单'!$P197&gt;0,'2.报价结算清单'!$B197&lt;&gt;0,'2.报价结算清单'!I197&lt;&gt;0),"天","")</f>
        <v/>
      </c>
      <c r="M94" s="80" t="str">
        <f t="shared" si="6"/>
        <v/>
      </c>
      <c r="N94" s="78" t="str">
        <f t="shared" si="7"/>
        <v/>
      </c>
      <c r="O94" s="78" t="str">
        <f>IF(AND('2.报价结算清单'!$P197&gt;0,'2.报价结算清单'!$B197&lt;&gt;0,'2.报价结算清单'!S197&lt;&gt;0),'2.报价结算清单'!S197,"")</f>
        <v/>
      </c>
      <c r="P94" s="78" t="str">
        <f>IF(AND('2.报价结算清单'!$P197&gt;0,'2.报价结算清单'!$B197&lt;&gt;0,'2.报价结算清单'!T197&lt;&gt;0),'2.报价结算清单'!T197,"")</f>
        <v/>
      </c>
      <c r="Q94" s="78" t="str">
        <f>IF(F94="",J94,VLOOKUP(F94,框架条目清单!A:K,4,FALSE))</f>
        <v/>
      </c>
      <c r="R94" s="106" t="str">
        <f>IF($A94="","",'2.报价结算清单'!$K$183)</f>
        <v/>
      </c>
      <c r="S94" s="80" t="str">
        <f>IF($A94="","",'2.报价结算清单'!$E$183)</f>
        <v/>
      </c>
      <c r="T94" s="78" t="str">
        <f>IF(F94="","",VLOOKUP(F94,框架条目清单!A:K,7,FALSE))</f>
        <v/>
      </c>
      <c r="U94" s="78" t="str">
        <f>IF(F94="","",VLOOKUP(F94,框架条目清单!A:K,8,FALSE))</f>
        <v/>
      </c>
      <c r="V94" s="78" t="str">
        <f>IF(F94="","",VLOOKUP(F94,框架条目清单!A:K,9,FALSE))</f>
        <v/>
      </c>
    </row>
    <row r="95" spans="1:22">
      <c r="A95" s="78" t="str">
        <f>IF(AND('2.报价结算清单'!$P198&gt;0,'2.报价结算清单'!$B198&lt;&gt;0,'2.报价结算清单'!$F198&lt;&gt;0),'2.报价结算清单'!$F198,"")</f>
        <v/>
      </c>
      <c r="B95" s="78" t="str">
        <f>_xlfn.IFNA(VLOOKUP(A95,'3.框架内物料'!$A:$I,3,0),A95)</f>
        <v/>
      </c>
      <c r="C95" s="78" t="str">
        <f>IF(AND('2.报价结算清单'!$P198&gt;0,'2.报价结算清单'!$B198&lt;&gt;0,'2.报价结算清单'!C198&lt;&gt;0),'2.报价结算清单'!C198,"")</f>
        <v/>
      </c>
      <c r="D95" s="78" t="str">
        <f>IF(AND('2.报价结算清单'!$P198&gt;0,'2.报价结算清单'!$B198&lt;&gt;0,'2.报价结算清单'!D198&lt;&gt;0),'2.报价结算清单'!D198,"")</f>
        <v/>
      </c>
      <c r="E95" s="78" t="str">
        <f>IF(AND('2.报价结算清单'!$P198&gt;0,'2.报价结算清单'!$B198&lt;&gt;0,'2.报价结算清单'!E198&lt;&gt;0),'2.报价结算清单'!E198,"")</f>
        <v/>
      </c>
      <c r="F95" s="105" t="str">
        <f>_xlfn.IFNA(IF($A95="","",IF(VLOOKUP($A95,'3.框架内物料'!$A:$I,2,0)="","",VLOOKUP($A95,'3.框架内物料'!$A:$I,2,0))),"")</f>
        <v/>
      </c>
      <c r="G95" s="87" t="str">
        <f>IF(AND('2.报价结算清单'!$P198&gt;0,'2.报价结算清单'!$B198&lt;&gt;0,'2.报价结算清单'!H198&lt;&gt;0),'2.报价结算清单'!H198,"")</f>
        <v/>
      </c>
      <c r="H95" s="122" t="str">
        <f>IF(AND('2.报价结算清单'!$P198&gt;0,'2.报价结算清单'!$B198&lt;&gt;0,'2.报价结算清单'!$F198&lt;&gt;0),'2.报价结算清单'!J198,"")</f>
        <v/>
      </c>
      <c r="I95" s="105" t="str">
        <f>IF(AND('2.报价结算清单'!$P198&gt;0,'2.报价结算清单'!$B198&lt;&gt;0,'2.报价结算清单'!$F198&lt;&gt;0),'2.报价结算清单'!L198,"")</f>
        <v/>
      </c>
      <c r="J95" s="105" t="str">
        <f>IF(AND('2.报价结算清单'!$P198&gt;0,'2.报价结算清单'!$B198&lt;&gt;0,'2.报价结算清单'!I198&lt;&gt;0),'2.报价结算清单'!I198,"")</f>
        <v/>
      </c>
      <c r="K95" s="105" t="str">
        <f>IF(AND('2.报价结算清单'!$P198&gt;0,'2.报价结算清单'!$B198&lt;&gt;0,'2.报价结算清单'!$F198&lt;&gt;0),'2.报价结算清单'!N198,"")</f>
        <v/>
      </c>
      <c r="L95" s="105" t="str">
        <f>IF(AND('2.报价结算清单'!$P198&gt;0,'2.报价结算清单'!$B198&lt;&gt;0,'2.报价结算清单'!I198&lt;&gt;0),"天","")</f>
        <v/>
      </c>
      <c r="M95" s="80" t="str">
        <f t="shared" si="6"/>
        <v/>
      </c>
      <c r="N95" s="78" t="str">
        <f t="shared" si="7"/>
        <v/>
      </c>
      <c r="O95" s="78" t="str">
        <f>IF(AND('2.报价结算清单'!$P198&gt;0,'2.报价结算清单'!$B198&lt;&gt;0,'2.报价结算清单'!S198&lt;&gt;0),'2.报价结算清单'!S198,"")</f>
        <v/>
      </c>
      <c r="P95" s="78" t="str">
        <f>IF(AND('2.报价结算清单'!$P198&gt;0,'2.报价结算清单'!$B198&lt;&gt;0,'2.报价结算清单'!T198&lt;&gt;0),'2.报价结算清单'!T198,"")</f>
        <v/>
      </c>
      <c r="Q95" s="78" t="str">
        <f>IF(F95="",J95,VLOOKUP(F95,框架条目清单!A:K,4,FALSE))</f>
        <v/>
      </c>
      <c r="R95" s="106" t="str">
        <f>IF($A95="","",'2.报价结算清单'!$K$183)</f>
        <v/>
      </c>
      <c r="S95" s="80" t="str">
        <f>IF($A95="","",'2.报价结算清单'!$E$183)</f>
        <v/>
      </c>
      <c r="T95" s="78" t="str">
        <f>IF(F95="","",VLOOKUP(F95,框架条目清单!A:K,7,FALSE))</f>
        <v/>
      </c>
      <c r="U95" s="78" t="str">
        <f>IF(F95="","",VLOOKUP(F95,框架条目清单!A:K,8,FALSE))</f>
        <v/>
      </c>
      <c r="V95" s="78" t="str">
        <f>IF(F95="","",VLOOKUP(F95,框架条目清单!A:K,9,FALSE))</f>
        <v/>
      </c>
    </row>
    <row r="96" spans="1:22">
      <c r="A96" s="78" t="str">
        <f>IF(AND('2.报价结算清单'!$P199&gt;0,'2.报价结算清单'!$B199&lt;&gt;0,'2.报价结算清单'!$F199&lt;&gt;0),'2.报价结算清单'!$F199,"")</f>
        <v/>
      </c>
      <c r="B96" s="78" t="str">
        <f>_xlfn.IFNA(VLOOKUP(A96,'3.框架内物料'!$A:$I,3,0),A96)</f>
        <v/>
      </c>
      <c r="C96" s="78" t="str">
        <f>IF(AND('2.报价结算清单'!$P199&gt;0,'2.报价结算清单'!$B199&lt;&gt;0,'2.报价结算清单'!C199&lt;&gt;0),'2.报价结算清单'!C199,"")</f>
        <v/>
      </c>
      <c r="D96" s="78" t="str">
        <f>IF(AND('2.报价结算清单'!$P199&gt;0,'2.报价结算清单'!$B199&lt;&gt;0,'2.报价结算清单'!D199&lt;&gt;0),'2.报价结算清单'!D199,"")</f>
        <v/>
      </c>
      <c r="E96" s="78" t="str">
        <f>IF(AND('2.报价结算清单'!$P199&gt;0,'2.报价结算清单'!$B199&lt;&gt;0,'2.报价结算清单'!E199&lt;&gt;0),'2.报价结算清单'!E199,"")</f>
        <v/>
      </c>
      <c r="F96" s="105" t="str">
        <f>_xlfn.IFNA(IF($A96="","",IF(VLOOKUP($A96,'3.框架内物料'!$A:$I,2,0)="","",VLOOKUP($A96,'3.框架内物料'!$A:$I,2,0))),"")</f>
        <v/>
      </c>
      <c r="G96" s="87" t="str">
        <f>IF(AND('2.报价结算清单'!$P199&gt;0,'2.报价结算清单'!$B199&lt;&gt;0,'2.报价结算清单'!H199&lt;&gt;0),'2.报价结算清单'!H199,"")</f>
        <v/>
      </c>
      <c r="H96" s="122" t="str">
        <f>IF(AND('2.报价结算清单'!$P199&gt;0,'2.报价结算清单'!$B199&lt;&gt;0,'2.报价结算清单'!$F199&lt;&gt;0),'2.报价结算清单'!J199,"")</f>
        <v/>
      </c>
      <c r="I96" s="105" t="str">
        <f>IF(AND('2.报价结算清单'!$P199&gt;0,'2.报价结算清单'!$B199&lt;&gt;0,'2.报价结算清单'!$F199&lt;&gt;0),'2.报价结算清单'!L199,"")</f>
        <v/>
      </c>
      <c r="J96" s="105" t="str">
        <f>IF(AND('2.报价结算清单'!$P199&gt;0,'2.报价结算清单'!$B199&lt;&gt;0,'2.报价结算清单'!I199&lt;&gt;0),'2.报价结算清单'!I199,"")</f>
        <v/>
      </c>
      <c r="K96" s="105" t="str">
        <f>IF(AND('2.报价结算清单'!$P199&gt;0,'2.报价结算清单'!$B199&lt;&gt;0,'2.报价结算清单'!$F199&lt;&gt;0),'2.报价结算清单'!N199,"")</f>
        <v/>
      </c>
      <c r="L96" s="105" t="str">
        <f>IF(AND('2.报价结算清单'!$P199&gt;0,'2.报价结算清单'!$B199&lt;&gt;0,'2.报价结算清单'!I199&lt;&gt;0),"天","")</f>
        <v/>
      </c>
      <c r="M96" s="80" t="str">
        <f t="shared" si="6"/>
        <v/>
      </c>
      <c r="N96" s="78" t="str">
        <f t="shared" si="7"/>
        <v/>
      </c>
      <c r="O96" s="78" t="str">
        <f>IF(AND('2.报价结算清单'!$P199&gt;0,'2.报价结算清单'!$B199&lt;&gt;0,'2.报价结算清单'!S199&lt;&gt;0),'2.报价结算清单'!S199,"")</f>
        <v/>
      </c>
      <c r="P96" s="78" t="str">
        <f>IF(AND('2.报价结算清单'!$P199&gt;0,'2.报价结算清单'!$B199&lt;&gt;0,'2.报价结算清单'!T199&lt;&gt;0),'2.报价结算清单'!T199,"")</f>
        <v/>
      </c>
      <c r="Q96" s="78" t="str">
        <f>IF(F96="",J96,VLOOKUP(F96,框架条目清单!A:K,4,FALSE))</f>
        <v/>
      </c>
      <c r="R96" s="106" t="str">
        <f>IF($A96="","",'2.报价结算清单'!$K$183)</f>
        <v/>
      </c>
      <c r="S96" s="80" t="str">
        <f>IF($A96="","",'2.报价结算清单'!$E$183)</f>
        <v/>
      </c>
      <c r="T96" s="78" t="str">
        <f>IF(F96="","",VLOOKUP(F96,框架条目清单!A:K,7,FALSE))</f>
        <v/>
      </c>
      <c r="U96" s="78" t="str">
        <f>IF(F96="","",VLOOKUP(F96,框架条目清单!A:K,8,FALSE))</f>
        <v/>
      </c>
      <c r="V96" s="78" t="str">
        <f>IF(F96="","",VLOOKUP(F96,框架条目清单!A:K,9,FALSE))</f>
        <v/>
      </c>
    </row>
    <row r="97" spans="1:22">
      <c r="A97" s="78" t="str">
        <f>IF(AND('2.报价结算清单'!$P200&gt;0,'2.报价结算清单'!$B200&lt;&gt;0,'2.报价结算清单'!$F200&lt;&gt;0),'2.报价结算清单'!$F200,"")</f>
        <v/>
      </c>
      <c r="B97" s="78" t="str">
        <f>_xlfn.IFNA(VLOOKUP(A97,'3.框架内物料'!$A:$I,3,0),A97)</f>
        <v/>
      </c>
      <c r="C97" s="78" t="str">
        <f>IF(AND('2.报价结算清单'!$P200&gt;0,'2.报价结算清单'!$B200&lt;&gt;0,'2.报价结算清单'!C200&lt;&gt;0),'2.报价结算清单'!C200,"")</f>
        <v/>
      </c>
      <c r="D97" s="78" t="str">
        <f>IF(AND('2.报价结算清单'!$P200&gt;0,'2.报价结算清单'!$B200&lt;&gt;0,'2.报价结算清单'!D200&lt;&gt;0),'2.报价结算清单'!D200,"")</f>
        <v/>
      </c>
      <c r="E97" s="78" t="str">
        <f>IF(AND('2.报价结算清单'!$P200&gt;0,'2.报价结算清单'!$B200&lt;&gt;0,'2.报价结算清单'!E200&lt;&gt;0),'2.报价结算清单'!E200,"")</f>
        <v/>
      </c>
      <c r="F97" s="105" t="str">
        <f>_xlfn.IFNA(IF($A97="","",IF(VLOOKUP($A97,'3.框架内物料'!$A:$I,2,0)="","",VLOOKUP($A97,'3.框架内物料'!$A:$I,2,0))),"")</f>
        <v/>
      </c>
      <c r="G97" s="87" t="str">
        <f>IF(AND('2.报价结算清单'!$P200&gt;0,'2.报价结算清单'!$B200&lt;&gt;0,'2.报价结算清单'!H200&lt;&gt;0),'2.报价结算清单'!H200,"")</f>
        <v/>
      </c>
      <c r="H97" s="122" t="str">
        <f>IF(AND('2.报价结算清单'!$P200&gt;0,'2.报价结算清单'!$B200&lt;&gt;0,'2.报价结算清单'!$F200&lt;&gt;0),'2.报价结算清单'!J200,"")</f>
        <v/>
      </c>
      <c r="I97" s="105" t="str">
        <f>IF(AND('2.报价结算清单'!$P200&gt;0,'2.报价结算清单'!$B200&lt;&gt;0,'2.报价结算清单'!$F200&lt;&gt;0),'2.报价结算清单'!L200,"")</f>
        <v/>
      </c>
      <c r="J97" s="105" t="str">
        <f>IF(AND('2.报价结算清单'!$P200&gt;0,'2.报价结算清单'!$B200&lt;&gt;0,'2.报价结算清单'!I200&lt;&gt;0),'2.报价结算清单'!I200,"")</f>
        <v/>
      </c>
      <c r="K97" s="105" t="str">
        <f>IF(AND('2.报价结算清单'!$P200&gt;0,'2.报价结算清单'!$B200&lt;&gt;0,'2.报价结算清单'!$F200&lt;&gt;0),'2.报价结算清单'!N200,"")</f>
        <v/>
      </c>
      <c r="L97" s="105" t="str">
        <f>IF(AND('2.报价结算清单'!$P200&gt;0,'2.报价结算清单'!$B200&lt;&gt;0,'2.报价结算清单'!I200&lt;&gt;0),"天","")</f>
        <v/>
      </c>
      <c r="M97" s="80" t="str">
        <f t="shared" si="6"/>
        <v/>
      </c>
      <c r="N97" s="78" t="str">
        <f t="shared" si="7"/>
        <v/>
      </c>
      <c r="O97" s="78" t="str">
        <f>IF(AND('2.报价结算清单'!$P200&gt;0,'2.报价结算清单'!$B200&lt;&gt;0,'2.报价结算清单'!S200&lt;&gt;0),'2.报价结算清单'!S200,"")</f>
        <v/>
      </c>
      <c r="P97" s="78" t="str">
        <f>IF(AND('2.报价结算清单'!$P200&gt;0,'2.报价结算清单'!$B200&lt;&gt;0,'2.报价结算清单'!T200&lt;&gt;0),'2.报价结算清单'!T200,"")</f>
        <v/>
      </c>
      <c r="Q97" s="78" t="str">
        <f>IF(F97="",J97,VLOOKUP(F97,框架条目清单!A:K,4,FALSE))</f>
        <v/>
      </c>
      <c r="R97" s="106" t="str">
        <f>IF($A97="","",'2.报价结算清单'!$K$183)</f>
        <v/>
      </c>
      <c r="S97" s="80" t="str">
        <f>IF($A97="","",'2.报价结算清单'!$E$183)</f>
        <v/>
      </c>
      <c r="T97" s="78" t="str">
        <f>IF(F97="","",VLOOKUP(F97,框架条目清单!A:K,7,FALSE))</f>
        <v/>
      </c>
      <c r="U97" s="78" t="str">
        <f>IF(F97="","",VLOOKUP(F97,框架条目清单!A:K,8,FALSE))</f>
        <v/>
      </c>
      <c r="V97" s="78" t="str">
        <f>IF(F97="","",VLOOKUP(F97,框架条目清单!A:K,9,FALSE))</f>
        <v/>
      </c>
    </row>
    <row r="98" spans="1:22">
      <c r="A98" s="78" t="str">
        <f>IF(AND('2.报价结算清单'!$P201&gt;0,'2.报价结算清单'!$B201&lt;&gt;0,'2.报价结算清单'!$F201&lt;&gt;0),'2.报价结算清单'!$F201,"")</f>
        <v/>
      </c>
      <c r="B98" s="78" t="str">
        <f>_xlfn.IFNA(VLOOKUP(A98,'3.框架内物料'!$A:$I,3,0),A98)</f>
        <v/>
      </c>
      <c r="C98" s="78" t="str">
        <f>IF(AND('2.报价结算清单'!$P201&gt;0,'2.报价结算清单'!$B201&lt;&gt;0,'2.报价结算清单'!C201&lt;&gt;0),'2.报价结算清单'!C201,"")</f>
        <v/>
      </c>
      <c r="D98" s="78" t="str">
        <f>IF(AND('2.报价结算清单'!$P201&gt;0,'2.报价结算清单'!$B201&lt;&gt;0,'2.报价结算清单'!D201&lt;&gt;0),'2.报价结算清单'!D201,"")</f>
        <v/>
      </c>
      <c r="E98" s="78" t="str">
        <f>IF(AND('2.报价结算清单'!$P201&gt;0,'2.报价结算清单'!$B201&lt;&gt;0,'2.报价结算清单'!E201&lt;&gt;0),'2.报价结算清单'!E201,"")</f>
        <v/>
      </c>
      <c r="F98" s="105" t="str">
        <f>_xlfn.IFNA(IF($A98="","",IF(VLOOKUP($A98,'3.框架内物料'!$A:$I,2,0)="","",VLOOKUP($A98,'3.框架内物料'!$A:$I,2,0))),"")</f>
        <v/>
      </c>
      <c r="G98" s="87" t="str">
        <f>IF(AND('2.报价结算清单'!$P201&gt;0,'2.报价结算清单'!$B201&lt;&gt;0,'2.报价结算清单'!H201&lt;&gt;0),'2.报价结算清单'!H201,"")</f>
        <v/>
      </c>
      <c r="H98" s="122" t="str">
        <f>IF(AND('2.报价结算清单'!$P201&gt;0,'2.报价结算清单'!$B201&lt;&gt;0,'2.报价结算清单'!$F201&lt;&gt;0),'2.报价结算清单'!J201,"")</f>
        <v/>
      </c>
      <c r="I98" s="105" t="str">
        <f>IF(AND('2.报价结算清单'!$P201&gt;0,'2.报价结算清单'!$B201&lt;&gt;0,'2.报价结算清单'!$F201&lt;&gt;0),'2.报价结算清单'!L201,"")</f>
        <v/>
      </c>
      <c r="J98" s="105" t="str">
        <f>IF(AND('2.报价结算清单'!$P201&gt;0,'2.报价结算清单'!$B201&lt;&gt;0,'2.报价结算清单'!I201&lt;&gt;0),'2.报价结算清单'!I201,"")</f>
        <v/>
      </c>
      <c r="K98" s="105" t="str">
        <f>IF(AND('2.报价结算清单'!$P201&gt;0,'2.报价结算清单'!$B201&lt;&gt;0,'2.报价结算清单'!$F201&lt;&gt;0),'2.报价结算清单'!N201,"")</f>
        <v/>
      </c>
      <c r="L98" s="105" t="str">
        <f>IF(AND('2.报价结算清单'!$P201&gt;0,'2.报价结算清单'!$B201&lt;&gt;0,'2.报价结算清单'!I201&lt;&gt;0),"天","")</f>
        <v/>
      </c>
      <c r="M98" s="80" t="str">
        <f t="shared" si="6"/>
        <v/>
      </c>
      <c r="N98" s="78" t="str">
        <f t="shared" si="7"/>
        <v/>
      </c>
      <c r="O98" s="78" t="str">
        <f>IF(AND('2.报价结算清单'!$P201&gt;0,'2.报价结算清单'!$B201&lt;&gt;0,'2.报价结算清单'!S201&lt;&gt;0),'2.报价结算清单'!S201,"")</f>
        <v/>
      </c>
      <c r="P98" s="78" t="str">
        <f>IF(AND('2.报价结算清单'!$P201&gt;0,'2.报价结算清单'!$B201&lt;&gt;0,'2.报价结算清单'!T201&lt;&gt;0),'2.报价结算清单'!T201,"")</f>
        <v/>
      </c>
      <c r="Q98" s="78" t="str">
        <f>IF(F98="",J98,VLOOKUP(F98,框架条目清单!A:K,4,FALSE))</f>
        <v/>
      </c>
      <c r="R98" s="106" t="str">
        <f>IF($A98="","",'2.报价结算清单'!$K$183)</f>
        <v/>
      </c>
      <c r="S98" s="80" t="str">
        <f>IF($A98="","",'2.报价结算清单'!$E$183)</f>
        <v/>
      </c>
      <c r="T98" s="78" t="str">
        <f>IF(F98="","",VLOOKUP(F98,框架条目清单!A:K,7,FALSE))</f>
        <v/>
      </c>
      <c r="U98" s="78" t="str">
        <f>IF(F98="","",VLOOKUP(F98,框架条目清单!A:K,8,FALSE))</f>
        <v/>
      </c>
      <c r="V98" s="78" t="str">
        <f>IF(F98="","",VLOOKUP(F98,框架条目清单!A:K,9,FALSE))</f>
        <v/>
      </c>
    </row>
    <row r="99" spans="1:22">
      <c r="A99" s="78" t="str">
        <f>IF(AND('2.报价结算清单'!$P202&gt;0,'2.报价结算清单'!$B202&lt;&gt;0,'2.报价结算清单'!$F202&lt;&gt;0),'2.报价结算清单'!$F202,"")</f>
        <v/>
      </c>
      <c r="B99" s="78" t="str">
        <f>_xlfn.IFNA(VLOOKUP(A99,'3.框架内物料'!$A:$I,3,0),A99)</f>
        <v/>
      </c>
      <c r="C99" s="78" t="str">
        <f>IF(AND('2.报价结算清单'!$P202&gt;0,'2.报价结算清单'!$B202&lt;&gt;0,'2.报价结算清单'!C202&lt;&gt;0),'2.报价结算清单'!C202,"")</f>
        <v/>
      </c>
      <c r="D99" s="78" t="str">
        <f>IF(AND('2.报价结算清单'!$P202&gt;0,'2.报价结算清单'!$B202&lt;&gt;0,'2.报价结算清单'!D202&lt;&gt;0),'2.报价结算清单'!D202,"")</f>
        <v/>
      </c>
      <c r="E99" s="78" t="str">
        <f>IF(AND('2.报价结算清单'!$P202&gt;0,'2.报价结算清单'!$B202&lt;&gt;0,'2.报价结算清单'!E202&lt;&gt;0),'2.报价结算清单'!E202,"")</f>
        <v/>
      </c>
      <c r="F99" s="105" t="str">
        <f>_xlfn.IFNA(IF($A99="","",IF(VLOOKUP($A99,'3.框架内物料'!$A:$I,2,0)="","",VLOOKUP($A99,'3.框架内物料'!$A:$I,2,0))),"")</f>
        <v/>
      </c>
      <c r="G99" s="87" t="str">
        <f>IF(AND('2.报价结算清单'!$P202&gt;0,'2.报价结算清单'!$B202&lt;&gt;0,'2.报价结算清单'!H202&lt;&gt;0),'2.报价结算清单'!H202,"")</f>
        <v/>
      </c>
      <c r="H99" s="122" t="str">
        <f>IF(AND('2.报价结算清单'!$P202&gt;0,'2.报价结算清单'!$B202&lt;&gt;0,'2.报价结算清单'!$F202&lt;&gt;0),'2.报价结算清单'!J202,"")</f>
        <v/>
      </c>
      <c r="I99" s="105" t="str">
        <f>IF(AND('2.报价结算清单'!$P202&gt;0,'2.报价结算清单'!$B202&lt;&gt;0,'2.报价结算清单'!$F202&lt;&gt;0),'2.报价结算清单'!L202,"")</f>
        <v/>
      </c>
      <c r="J99" s="105" t="str">
        <f>IF(AND('2.报价结算清单'!$P202&gt;0,'2.报价结算清单'!$B202&lt;&gt;0,'2.报价结算清单'!I202&lt;&gt;0),'2.报价结算清单'!I202,"")</f>
        <v/>
      </c>
      <c r="K99" s="105" t="str">
        <f>IF(AND('2.报价结算清单'!$P202&gt;0,'2.报价结算清单'!$B202&lt;&gt;0,'2.报价结算清单'!$F202&lt;&gt;0),'2.报价结算清单'!N202,"")</f>
        <v/>
      </c>
      <c r="L99" s="105" t="str">
        <f>IF(AND('2.报价结算清单'!$P202&gt;0,'2.报价结算清单'!$B202&lt;&gt;0,'2.报价结算清单'!I202&lt;&gt;0),"天","")</f>
        <v/>
      </c>
      <c r="M99" s="80" t="str">
        <f t="shared" si="6"/>
        <v/>
      </c>
      <c r="N99" s="78" t="str">
        <f t="shared" si="7"/>
        <v/>
      </c>
      <c r="O99" s="78" t="str">
        <f>IF(AND('2.报价结算清单'!$P202&gt;0,'2.报价结算清单'!$B202&lt;&gt;0,'2.报价结算清单'!S202&lt;&gt;0),'2.报价结算清单'!S202,"")</f>
        <v/>
      </c>
      <c r="P99" s="78" t="str">
        <f>IF(AND('2.报价结算清单'!$P202&gt;0,'2.报价结算清单'!$B202&lt;&gt;0,'2.报价结算清单'!T202&lt;&gt;0),'2.报价结算清单'!T202,"")</f>
        <v/>
      </c>
      <c r="Q99" s="78" t="str">
        <f>IF(F99="",J99,VLOOKUP(F99,框架条目清单!A:K,4,FALSE))</f>
        <v/>
      </c>
      <c r="R99" s="106" t="str">
        <f>IF($A99="","",'2.报价结算清单'!$K$183)</f>
        <v/>
      </c>
      <c r="S99" s="80" t="str">
        <f>IF($A99="","",'2.报价结算清单'!$E$183)</f>
        <v/>
      </c>
      <c r="T99" s="78" t="str">
        <f>IF(F99="","",VLOOKUP(F99,框架条目清单!A:K,7,FALSE))</f>
        <v/>
      </c>
      <c r="U99" s="78" t="str">
        <f>IF(F99="","",VLOOKUP(F99,框架条目清单!A:K,8,FALSE))</f>
        <v/>
      </c>
      <c r="V99" s="78" t="str">
        <f>IF(F99="","",VLOOKUP(F99,框架条目清单!A:K,9,FALSE))</f>
        <v/>
      </c>
    </row>
    <row r="100" spans="1:22">
      <c r="A100" s="78" t="str">
        <f>IF(AND('2.报价结算清单'!$P203&gt;0,'2.报价结算清单'!$B203&lt;&gt;0,'2.报价结算清单'!$F203&lt;&gt;0),'2.报价结算清单'!$F203,"")</f>
        <v/>
      </c>
      <c r="B100" s="78" t="str">
        <f>_xlfn.IFNA(VLOOKUP(A100,'3.框架内物料'!$A:$I,3,0),A100)</f>
        <v/>
      </c>
      <c r="C100" s="78" t="str">
        <f>IF(AND('2.报价结算清单'!$P203&gt;0,'2.报价结算清单'!$B203&lt;&gt;0,'2.报价结算清单'!C203&lt;&gt;0),'2.报价结算清单'!C203,"")</f>
        <v/>
      </c>
      <c r="D100" s="78" t="str">
        <f>IF(AND('2.报价结算清单'!$P203&gt;0,'2.报价结算清单'!$B203&lt;&gt;0,'2.报价结算清单'!D203&lt;&gt;0),'2.报价结算清单'!D203,"")</f>
        <v/>
      </c>
      <c r="E100" s="78" t="str">
        <f>IF(AND('2.报价结算清单'!$P203&gt;0,'2.报价结算清单'!$B203&lt;&gt;0,'2.报价结算清单'!E203&lt;&gt;0),'2.报价结算清单'!E203,"")</f>
        <v/>
      </c>
      <c r="F100" s="105" t="str">
        <f>_xlfn.IFNA(IF($A100="","",IF(VLOOKUP($A100,'3.框架内物料'!$A:$I,2,0)="","",VLOOKUP($A100,'3.框架内物料'!$A:$I,2,0))),"")</f>
        <v/>
      </c>
      <c r="G100" s="87" t="str">
        <f>IF(AND('2.报价结算清单'!$P203&gt;0,'2.报价结算清单'!$B203&lt;&gt;0,'2.报价结算清单'!H203&lt;&gt;0),'2.报价结算清单'!H203,"")</f>
        <v/>
      </c>
      <c r="H100" s="122" t="str">
        <f>IF(AND('2.报价结算清单'!$P203&gt;0,'2.报价结算清单'!$B203&lt;&gt;0,'2.报价结算清单'!$F203&lt;&gt;0),'2.报价结算清单'!J203,"")</f>
        <v/>
      </c>
      <c r="I100" s="105" t="str">
        <f>IF(AND('2.报价结算清单'!$P203&gt;0,'2.报价结算清单'!$B203&lt;&gt;0,'2.报价结算清单'!$F203&lt;&gt;0),'2.报价结算清单'!L203,"")</f>
        <v/>
      </c>
      <c r="J100" s="105" t="str">
        <f>IF(AND('2.报价结算清单'!$P203&gt;0,'2.报价结算清单'!$B203&lt;&gt;0,'2.报价结算清单'!I203&lt;&gt;0),'2.报价结算清单'!I203,"")</f>
        <v/>
      </c>
      <c r="K100" s="105" t="str">
        <f>IF(AND('2.报价结算清单'!$P203&gt;0,'2.报价结算清单'!$B203&lt;&gt;0,'2.报价结算清单'!$F203&lt;&gt;0),'2.报价结算清单'!N203,"")</f>
        <v/>
      </c>
      <c r="L100" s="105" t="str">
        <f>IF(AND('2.报价结算清单'!$P203&gt;0,'2.报价结算清单'!$B203&lt;&gt;0,'2.报价结算清单'!I203&lt;&gt;0),"天","")</f>
        <v/>
      </c>
      <c r="M100" s="80" t="str">
        <f t="shared" si="6"/>
        <v/>
      </c>
      <c r="N100" s="78" t="str">
        <f t="shared" si="7"/>
        <v/>
      </c>
      <c r="O100" s="78" t="str">
        <f>IF(AND('2.报价结算清单'!$P203&gt;0,'2.报价结算清单'!$B203&lt;&gt;0,'2.报价结算清单'!S203&lt;&gt;0),'2.报价结算清单'!S203,"")</f>
        <v/>
      </c>
      <c r="P100" s="78" t="str">
        <f>IF(AND('2.报价结算清单'!$P203&gt;0,'2.报价结算清单'!$B203&lt;&gt;0,'2.报价结算清单'!T203&lt;&gt;0),'2.报价结算清单'!T203,"")</f>
        <v/>
      </c>
      <c r="Q100" s="78" t="str">
        <f>IF(F100="",J100,VLOOKUP(F100,框架条目清单!A:K,4,FALSE))</f>
        <v/>
      </c>
      <c r="R100" s="106" t="str">
        <f>IF($A100="","",'2.报价结算清单'!$K$183)</f>
        <v/>
      </c>
      <c r="S100" s="80" t="str">
        <f>IF($A100="","",'2.报价结算清单'!$E$183)</f>
        <v/>
      </c>
      <c r="T100" s="78" t="str">
        <f>IF(F100="","",VLOOKUP(F100,框架条目清单!A:K,7,FALSE))</f>
        <v/>
      </c>
      <c r="U100" s="78" t="str">
        <f>IF(F100="","",VLOOKUP(F100,框架条目清单!A:K,8,FALSE))</f>
        <v/>
      </c>
      <c r="V100" s="78" t="str">
        <f>IF(F100="","",VLOOKUP(F100,框架条目清单!A:K,9,FALSE))</f>
        <v/>
      </c>
    </row>
    <row r="101" spans="1:22">
      <c r="A101" s="78" t="str">
        <f>IF(AND('2.报价结算清单'!$P204&gt;0,'2.报价结算清单'!$B204&lt;&gt;0,'2.报价结算清单'!$F204&lt;&gt;0),'2.报价结算清单'!$F204,"")</f>
        <v/>
      </c>
      <c r="B101" s="78" t="str">
        <f>_xlfn.IFNA(VLOOKUP(A101,'3.框架内物料'!$A:$I,3,0),A101)</f>
        <v/>
      </c>
      <c r="C101" s="78" t="str">
        <f>IF(AND('2.报价结算清单'!$P204&gt;0,'2.报价结算清单'!$B204&lt;&gt;0,'2.报价结算清单'!C204&lt;&gt;0),'2.报价结算清单'!C204,"")</f>
        <v/>
      </c>
      <c r="D101" s="78" t="str">
        <f>IF(AND('2.报价结算清单'!$P204&gt;0,'2.报价结算清单'!$B204&lt;&gt;0,'2.报价结算清单'!D204&lt;&gt;0),'2.报价结算清单'!D204,"")</f>
        <v/>
      </c>
      <c r="E101" s="78" t="str">
        <f>IF(AND('2.报价结算清单'!$P204&gt;0,'2.报价结算清单'!$B204&lt;&gt;0,'2.报价结算清单'!E204&lt;&gt;0),'2.报价结算清单'!E204,"")</f>
        <v/>
      </c>
      <c r="F101" s="105" t="str">
        <f>_xlfn.IFNA(IF($A101="","",IF(VLOOKUP($A101,'3.框架内物料'!$A:$I,2,0)="","",VLOOKUP($A101,'3.框架内物料'!$A:$I,2,0))),"")</f>
        <v/>
      </c>
      <c r="G101" s="87" t="str">
        <f>IF(AND('2.报价结算清单'!$P204&gt;0,'2.报价结算清单'!$B204&lt;&gt;0,'2.报价结算清单'!H204&lt;&gt;0),'2.报价结算清单'!H204,"")</f>
        <v/>
      </c>
      <c r="H101" s="122" t="str">
        <f>IF(AND('2.报价结算清单'!$P204&gt;0,'2.报价结算清单'!$B204&lt;&gt;0,'2.报价结算清单'!$F204&lt;&gt;0),'2.报价结算清单'!J204,"")</f>
        <v/>
      </c>
      <c r="I101" s="105" t="str">
        <f>IF(AND('2.报价结算清单'!$P204&gt;0,'2.报价结算清单'!$B204&lt;&gt;0,'2.报价结算清单'!$F204&lt;&gt;0),'2.报价结算清单'!L204,"")</f>
        <v/>
      </c>
      <c r="J101" s="105" t="str">
        <f>IF(AND('2.报价结算清单'!$P204&gt;0,'2.报价结算清单'!$B204&lt;&gt;0,'2.报价结算清单'!I204&lt;&gt;0),'2.报价结算清单'!I204,"")</f>
        <v/>
      </c>
      <c r="K101" s="105" t="str">
        <f>IF(AND('2.报价结算清单'!$P204&gt;0,'2.报价结算清单'!$B204&lt;&gt;0,'2.报价结算清单'!$F204&lt;&gt;0),'2.报价结算清单'!N204,"")</f>
        <v/>
      </c>
      <c r="L101" s="105" t="str">
        <f>IF(AND('2.报价结算清单'!$P204&gt;0,'2.报价结算清单'!$B204&lt;&gt;0,'2.报价结算清单'!I204&lt;&gt;0),"天","")</f>
        <v/>
      </c>
      <c r="M101" s="80" t="str">
        <f t="shared" si="6"/>
        <v/>
      </c>
      <c r="N101" s="78" t="str">
        <f t="shared" si="7"/>
        <v/>
      </c>
      <c r="O101" s="78" t="str">
        <f>IF(AND('2.报价结算清单'!$P204&gt;0,'2.报价结算清单'!$B204&lt;&gt;0,'2.报价结算清单'!S204&lt;&gt;0),'2.报价结算清单'!S204,"")</f>
        <v/>
      </c>
      <c r="P101" s="78" t="str">
        <f>IF(AND('2.报价结算清单'!$P204&gt;0,'2.报价结算清单'!$B204&lt;&gt;0,'2.报价结算清单'!T204&lt;&gt;0),'2.报价结算清单'!T204,"")</f>
        <v/>
      </c>
      <c r="Q101" s="78" t="str">
        <f>IF(F101="",J101,VLOOKUP(F101,框架条目清单!A:K,4,FALSE))</f>
        <v/>
      </c>
      <c r="R101" s="106" t="str">
        <f>IF($A101="","",'2.报价结算清单'!$K$183)</f>
        <v/>
      </c>
      <c r="S101" s="80" t="str">
        <f>IF($A101="","",'2.报价结算清单'!$E$183)</f>
        <v/>
      </c>
      <c r="T101" s="78" t="str">
        <f>IF(F101="","",VLOOKUP(F101,框架条目清单!A:K,7,FALSE))</f>
        <v/>
      </c>
      <c r="U101" s="78" t="str">
        <f>IF(F101="","",VLOOKUP(F101,框架条目清单!A:K,8,FALSE))</f>
        <v/>
      </c>
      <c r="V101" s="78" t="str">
        <f>IF(F101="","",VLOOKUP(F101,框架条目清单!A:K,9,FALSE))</f>
        <v/>
      </c>
    </row>
    <row r="102" spans="1:22">
      <c r="A102" s="78" t="str">
        <f>IF(AND('2.报价结算清单'!$P205&gt;0,'2.报价结算清单'!$B205&lt;&gt;0,'2.报价结算清单'!$F205&lt;&gt;0),'2.报价结算清单'!$F205,"")</f>
        <v/>
      </c>
      <c r="B102" s="78" t="str">
        <f>_xlfn.IFNA(VLOOKUP(A102,'3.框架内物料'!$A:$I,3,0),A102)</f>
        <v/>
      </c>
      <c r="C102" s="78" t="str">
        <f>IF(AND('2.报价结算清单'!$P205&gt;0,'2.报价结算清单'!$B205&lt;&gt;0,'2.报价结算清单'!C205&lt;&gt;0),'2.报价结算清单'!C205,"")</f>
        <v/>
      </c>
      <c r="D102" s="78" t="str">
        <f>IF(AND('2.报价结算清单'!$P205&gt;0,'2.报价结算清单'!$B205&lt;&gt;0,'2.报价结算清单'!D205&lt;&gt;0),'2.报价结算清单'!D205,"")</f>
        <v/>
      </c>
      <c r="E102" s="78" t="str">
        <f>IF(AND('2.报价结算清单'!$P205&gt;0,'2.报价结算清单'!$B205&lt;&gt;0,'2.报价结算清单'!E205&lt;&gt;0),'2.报价结算清单'!E205,"")</f>
        <v/>
      </c>
      <c r="F102" s="105" t="str">
        <f>_xlfn.IFNA(IF($A102="","",IF(VLOOKUP($A102,'3.框架内物料'!$A:$I,2,0)="","",VLOOKUP($A102,'3.框架内物料'!$A:$I,2,0))),"")</f>
        <v/>
      </c>
      <c r="G102" s="87" t="str">
        <f>IF(AND('2.报价结算清单'!$P205&gt;0,'2.报价结算清单'!$B205&lt;&gt;0,'2.报价结算清单'!H205&lt;&gt;0),'2.报价结算清单'!H205,"")</f>
        <v/>
      </c>
      <c r="H102" s="122" t="str">
        <f>IF(AND('2.报价结算清单'!$P205&gt;0,'2.报价结算清单'!$B205&lt;&gt;0,'2.报价结算清单'!$F205&lt;&gt;0),'2.报价结算清单'!J205,"")</f>
        <v/>
      </c>
      <c r="I102" s="105" t="str">
        <f>IF(AND('2.报价结算清单'!$P205&gt;0,'2.报价结算清单'!$B205&lt;&gt;0,'2.报价结算清单'!$F205&lt;&gt;0),'2.报价结算清单'!L205,"")</f>
        <v/>
      </c>
      <c r="J102" s="105" t="str">
        <f>IF(AND('2.报价结算清单'!$P205&gt;0,'2.报价结算清单'!$B205&lt;&gt;0,'2.报价结算清单'!I205&lt;&gt;0),'2.报价结算清单'!I205,"")</f>
        <v/>
      </c>
      <c r="K102" s="105" t="str">
        <f>IF(AND('2.报价结算清单'!$P205&gt;0,'2.报价结算清单'!$B205&lt;&gt;0,'2.报价结算清单'!$F205&lt;&gt;0),'2.报价结算清单'!N205,"")</f>
        <v/>
      </c>
      <c r="L102" s="105" t="str">
        <f>IF(AND('2.报价结算清单'!$P205&gt;0,'2.报价结算清单'!$B205&lt;&gt;0,'2.报价结算清单'!I205&lt;&gt;0),"天","")</f>
        <v/>
      </c>
      <c r="M102" s="80" t="str">
        <f t="shared" si="6"/>
        <v/>
      </c>
      <c r="N102" s="78" t="str">
        <f t="shared" si="7"/>
        <v/>
      </c>
      <c r="O102" s="78" t="str">
        <f>IF(AND('2.报价结算清单'!$P205&gt;0,'2.报价结算清单'!$B205&lt;&gt;0,'2.报价结算清单'!S205&lt;&gt;0),'2.报价结算清单'!S205,"")</f>
        <v/>
      </c>
      <c r="P102" s="78" t="str">
        <f>IF(AND('2.报价结算清单'!$P205&gt;0,'2.报价结算清单'!$B205&lt;&gt;0,'2.报价结算清单'!T205&lt;&gt;0),'2.报价结算清单'!T205,"")</f>
        <v/>
      </c>
      <c r="Q102" s="78" t="str">
        <f>IF(F102="",J102,VLOOKUP(F102,框架条目清单!A:K,4,FALSE))</f>
        <v/>
      </c>
      <c r="R102" s="106" t="str">
        <f>IF($A102="","",'2.报价结算清单'!$K$183)</f>
        <v/>
      </c>
      <c r="S102" s="80" t="str">
        <f>IF($A102="","",'2.报价结算清单'!$E$183)</f>
        <v/>
      </c>
      <c r="T102" s="78" t="str">
        <f>IF(F102="","",VLOOKUP(F102,框架条目清单!A:K,7,FALSE))</f>
        <v/>
      </c>
      <c r="U102" s="78" t="str">
        <f>IF(F102="","",VLOOKUP(F102,框架条目清单!A:K,8,FALSE))</f>
        <v/>
      </c>
      <c r="V102" s="78" t="str">
        <f>IF(F102="","",VLOOKUP(F102,框架条目清单!A:K,9,FALSE))</f>
        <v/>
      </c>
    </row>
    <row r="103" spans="1:22">
      <c r="A103" s="78" t="str">
        <f>IF(AND('2.报价结算清单'!$P206&gt;0,'2.报价结算清单'!$B206&lt;&gt;0,'2.报价结算清单'!$F206&lt;&gt;0),'2.报价结算清单'!$F206,"")</f>
        <v/>
      </c>
      <c r="B103" s="78" t="str">
        <f>_xlfn.IFNA(VLOOKUP(A103,'3.框架内物料'!$A:$I,3,0),A103)</f>
        <v/>
      </c>
      <c r="C103" s="78" t="str">
        <f>IF(AND('2.报价结算清单'!$P206&gt;0,'2.报价结算清单'!$B206&lt;&gt;0,'2.报价结算清单'!C206&lt;&gt;0),'2.报价结算清单'!C206,"")</f>
        <v/>
      </c>
      <c r="D103" s="78" t="str">
        <f>IF(AND('2.报价结算清单'!$P206&gt;0,'2.报价结算清单'!$B206&lt;&gt;0,'2.报价结算清单'!D206&lt;&gt;0),'2.报价结算清单'!D206,"")</f>
        <v/>
      </c>
      <c r="E103" s="78" t="str">
        <f>IF(AND('2.报价结算清单'!$P206&gt;0,'2.报价结算清单'!$B206&lt;&gt;0,'2.报价结算清单'!E206&lt;&gt;0),'2.报价结算清单'!E206,"")</f>
        <v/>
      </c>
      <c r="F103" s="105" t="str">
        <f>_xlfn.IFNA(IF($A103="","",IF(VLOOKUP($A103,'3.框架内物料'!$A:$I,2,0)="","",VLOOKUP($A103,'3.框架内物料'!$A:$I,2,0))),"")</f>
        <v/>
      </c>
      <c r="G103" s="87" t="str">
        <f>IF(AND('2.报价结算清单'!$P206&gt;0,'2.报价结算清单'!$B206&lt;&gt;0,'2.报价结算清单'!H206&lt;&gt;0),'2.报价结算清单'!H206,"")</f>
        <v/>
      </c>
      <c r="H103" s="122" t="str">
        <f>IF(AND('2.报价结算清单'!$P206&gt;0,'2.报价结算清单'!$B206&lt;&gt;0,'2.报价结算清单'!$F206&lt;&gt;0),'2.报价结算清单'!J206,"")</f>
        <v/>
      </c>
      <c r="I103" s="105" t="str">
        <f>IF(AND('2.报价结算清单'!$P206&gt;0,'2.报价结算清单'!$B206&lt;&gt;0,'2.报价结算清单'!$F206&lt;&gt;0),'2.报价结算清单'!L206,"")</f>
        <v/>
      </c>
      <c r="J103" s="105" t="str">
        <f>IF(AND('2.报价结算清单'!$P206&gt;0,'2.报价结算清单'!$B206&lt;&gt;0,'2.报价结算清单'!I206&lt;&gt;0),'2.报价结算清单'!I206,"")</f>
        <v/>
      </c>
      <c r="K103" s="105" t="str">
        <f>IF(AND('2.报价结算清单'!$P206&gt;0,'2.报价结算清单'!$B206&lt;&gt;0,'2.报价结算清单'!$F206&lt;&gt;0),'2.报价结算清单'!N206,"")</f>
        <v/>
      </c>
      <c r="L103" s="105" t="str">
        <f>IF(AND('2.报价结算清单'!$P206&gt;0,'2.报价结算清单'!$B206&lt;&gt;0,'2.报价结算清单'!I206&lt;&gt;0),"天","")</f>
        <v/>
      </c>
      <c r="M103" s="80" t="str">
        <f t="shared" si="6"/>
        <v/>
      </c>
      <c r="N103" s="78" t="str">
        <f t="shared" si="7"/>
        <v/>
      </c>
      <c r="O103" s="78" t="str">
        <f>IF(AND('2.报价结算清单'!$P206&gt;0,'2.报价结算清单'!$B206&lt;&gt;0,'2.报价结算清单'!S206&lt;&gt;0),'2.报价结算清单'!S206,"")</f>
        <v/>
      </c>
      <c r="P103" s="78" t="str">
        <f>IF(AND('2.报价结算清单'!$P206&gt;0,'2.报价结算清单'!$B206&lt;&gt;0,'2.报价结算清单'!T206&lt;&gt;0),'2.报价结算清单'!T206,"")</f>
        <v/>
      </c>
      <c r="Q103" s="78" t="str">
        <f>IF(F103="",J103,VLOOKUP(F103,框架条目清单!A:K,4,FALSE))</f>
        <v/>
      </c>
      <c r="R103" s="106" t="str">
        <f>IF($A103="","",'2.报价结算清单'!$K$183)</f>
        <v/>
      </c>
      <c r="S103" s="80" t="str">
        <f>IF($A103="","",'2.报价结算清单'!$E$183)</f>
        <v/>
      </c>
      <c r="T103" s="78" t="str">
        <f>IF(F103="","",VLOOKUP(F103,框架条目清单!A:K,7,FALSE))</f>
        <v/>
      </c>
      <c r="U103" s="78" t="str">
        <f>IF(F103="","",VLOOKUP(F103,框架条目清单!A:K,8,FALSE))</f>
        <v/>
      </c>
      <c r="V103" s="78" t="str">
        <f>IF(F103="","",VLOOKUP(F103,框架条目清单!A:K,9,FALSE))</f>
        <v/>
      </c>
    </row>
    <row r="104" spans="1:22">
      <c r="A104" s="78" t="str">
        <f>IF(AND('2.报价结算清单'!$P207&gt;0,'2.报价结算清单'!$B207&lt;&gt;0,'2.报价结算清单'!$F207&lt;&gt;0),'2.报价结算清单'!$F207,"")</f>
        <v/>
      </c>
      <c r="B104" s="78" t="str">
        <f>_xlfn.IFNA(VLOOKUP(A104,'3.框架内物料'!$A:$I,3,0),A104)</f>
        <v/>
      </c>
      <c r="C104" s="78" t="str">
        <f>IF(AND('2.报价结算清单'!$P207&gt;0,'2.报价结算清单'!$B207&lt;&gt;0,'2.报价结算清单'!C207&lt;&gt;0),'2.报价结算清单'!C207,"")</f>
        <v/>
      </c>
      <c r="D104" s="78" t="str">
        <f>IF(AND('2.报价结算清单'!$P207&gt;0,'2.报价结算清单'!$B207&lt;&gt;0,'2.报价结算清单'!D207&lt;&gt;0),'2.报价结算清单'!D207,"")</f>
        <v/>
      </c>
      <c r="E104" s="78" t="str">
        <f>IF(AND('2.报价结算清单'!$P207&gt;0,'2.报价结算清单'!$B207&lt;&gt;0,'2.报价结算清单'!E207&lt;&gt;0),'2.报价结算清单'!E207,"")</f>
        <v/>
      </c>
      <c r="F104" s="105" t="str">
        <f>_xlfn.IFNA(IF($A104="","",IF(VLOOKUP($A104,'3.框架内物料'!$A:$I,2,0)="","",VLOOKUP($A104,'3.框架内物料'!$A:$I,2,0))),"")</f>
        <v/>
      </c>
      <c r="G104" s="87" t="str">
        <f>IF(AND('2.报价结算清单'!$P207&gt;0,'2.报价结算清单'!$B207&lt;&gt;0,'2.报价结算清单'!H207&lt;&gt;0),'2.报价结算清单'!H207,"")</f>
        <v/>
      </c>
      <c r="H104" s="122" t="str">
        <f>IF(AND('2.报价结算清单'!$P207&gt;0,'2.报价结算清单'!$B207&lt;&gt;0,'2.报价结算清单'!$F207&lt;&gt;0),'2.报价结算清单'!J207,"")</f>
        <v/>
      </c>
      <c r="I104" s="105" t="str">
        <f>IF(AND('2.报价结算清单'!$P207&gt;0,'2.报价结算清单'!$B207&lt;&gt;0,'2.报价结算清单'!$F207&lt;&gt;0),'2.报价结算清单'!L207,"")</f>
        <v/>
      </c>
      <c r="J104" s="105" t="str">
        <f>IF(AND('2.报价结算清单'!$P207&gt;0,'2.报价结算清单'!$B207&lt;&gt;0,'2.报价结算清单'!I207&lt;&gt;0),'2.报价结算清单'!I207,"")</f>
        <v/>
      </c>
      <c r="K104" s="105" t="str">
        <f>IF(AND('2.报价结算清单'!$P207&gt;0,'2.报价结算清单'!$B207&lt;&gt;0,'2.报价结算清单'!$F207&lt;&gt;0),'2.报价结算清单'!N207,"")</f>
        <v/>
      </c>
      <c r="L104" s="105" t="str">
        <f>IF(AND('2.报价结算清单'!$P207&gt;0,'2.报价结算清单'!$B207&lt;&gt;0,'2.报价结算清单'!I207&lt;&gt;0),"天","")</f>
        <v/>
      </c>
      <c r="M104" s="80" t="str">
        <f t="shared" si="6"/>
        <v/>
      </c>
      <c r="N104" s="78" t="str">
        <f t="shared" si="7"/>
        <v/>
      </c>
      <c r="O104" s="78" t="str">
        <f>IF(AND('2.报价结算清单'!$P207&gt;0,'2.报价结算清单'!$B207&lt;&gt;0,'2.报价结算清单'!S207&lt;&gt;0),'2.报价结算清单'!S207,"")</f>
        <v/>
      </c>
      <c r="P104" s="78" t="str">
        <f>IF(AND('2.报价结算清单'!$P207&gt;0,'2.报价结算清单'!$B207&lt;&gt;0,'2.报价结算清单'!T207&lt;&gt;0),'2.报价结算清单'!T207,"")</f>
        <v/>
      </c>
      <c r="Q104" s="78" t="str">
        <f>IF(F104="",J104,VLOOKUP(F104,框架条目清单!A:K,4,FALSE))</f>
        <v/>
      </c>
      <c r="R104" s="106" t="str">
        <f>IF($A104="","",'2.报价结算清单'!$K$183)</f>
        <v/>
      </c>
      <c r="S104" s="80" t="str">
        <f>IF($A104="","",'2.报价结算清单'!$E$183)</f>
        <v/>
      </c>
      <c r="T104" s="78" t="str">
        <f>IF(F104="","",VLOOKUP(F104,框架条目清单!A:K,7,FALSE))</f>
        <v/>
      </c>
      <c r="U104" s="78" t="str">
        <f>IF(F104="","",VLOOKUP(F104,框架条目清单!A:K,8,FALSE))</f>
        <v/>
      </c>
      <c r="V104" s="78" t="str">
        <f>IF(F104="","",VLOOKUP(F104,框架条目清单!A:K,9,FALSE))</f>
        <v/>
      </c>
    </row>
    <row r="105" spans="1:22">
      <c r="A105" s="78" t="str">
        <f>IF(AND('2.报价结算清单'!$P208&gt;0,'2.报价结算清单'!$B208&lt;&gt;0,'2.报价结算清单'!$F208&lt;&gt;0),'2.报价结算清单'!$F208,"")</f>
        <v/>
      </c>
      <c r="B105" s="78" t="str">
        <f>_xlfn.IFNA(VLOOKUP(A105,'3.框架内物料'!$A:$I,3,0),A105)</f>
        <v/>
      </c>
      <c r="C105" s="78" t="str">
        <f>IF(AND('2.报价结算清单'!$P208&gt;0,'2.报价结算清单'!$B208&lt;&gt;0,'2.报价结算清单'!C208&lt;&gt;0),'2.报价结算清单'!C208,"")</f>
        <v/>
      </c>
      <c r="D105" s="78" t="str">
        <f>IF(AND('2.报价结算清单'!$P208&gt;0,'2.报价结算清单'!$B208&lt;&gt;0,'2.报价结算清单'!D208&lt;&gt;0),'2.报价结算清单'!D208,"")</f>
        <v/>
      </c>
      <c r="E105" s="78" t="str">
        <f>IF(AND('2.报价结算清单'!$P208&gt;0,'2.报价结算清单'!$B208&lt;&gt;0,'2.报价结算清单'!E208&lt;&gt;0),'2.报价结算清单'!E208,"")</f>
        <v/>
      </c>
      <c r="F105" s="105" t="str">
        <f>_xlfn.IFNA(IF($A105="","",IF(VLOOKUP($A105,'3.框架内物料'!$A:$I,2,0)="","",VLOOKUP($A105,'3.框架内物料'!$A:$I,2,0))),"")</f>
        <v/>
      </c>
      <c r="G105" s="87" t="str">
        <f>IF(AND('2.报价结算清单'!$P208&gt;0,'2.报价结算清单'!$B208&lt;&gt;0,'2.报价结算清单'!H208&lt;&gt;0),'2.报价结算清单'!H208,"")</f>
        <v/>
      </c>
      <c r="H105" s="122" t="str">
        <f>IF(AND('2.报价结算清单'!$P208&gt;0,'2.报价结算清单'!$B208&lt;&gt;0,'2.报价结算清单'!$F208&lt;&gt;0),'2.报价结算清单'!J208,"")</f>
        <v/>
      </c>
      <c r="I105" s="105" t="str">
        <f>IF(AND('2.报价结算清单'!$P208&gt;0,'2.报价结算清单'!$B208&lt;&gt;0,'2.报价结算清单'!$F208&lt;&gt;0),'2.报价结算清单'!L208,"")</f>
        <v/>
      </c>
      <c r="J105" s="105" t="str">
        <f>IF(AND('2.报价结算清单'!$P208&gt;0,'2.报价结算清单'!$B208&lt;&gt;0,'2.报价结算清单'!I208&lt;&gt;0),'2.报价结算清单'!I208,"")</f>
        <v/>
      </c>
      <c r="K105" s="105" t="str">
        <f>IF(AND('2.报价结算清单'!$P208&gt;0,'2.报价结算清单'!$B208&lt;&gt;0,'2.报价结算清单'!$F208&lt;&gt;0),'2.报价结算清单'!N208,"")</f>
        <v/>
      </c>
      <c r="L105" s="105" t="str">
        <f>IF(AND('2.报价结算清单'!$P208&gt;0,'2.报价结算清单'!$B208&lt;&gt;0,'2.报价结算清单'!I208&lt;&gt;0),"天","")</f>
        <v/>
      </c>
      <c r="M105" s="80" t="str">
        <f t="shared" si="6"/>
        <v/>
      </c>
      <c r="N105" s="78" t="str">
        <f t="shared" si="7"/>
        <v/>
      </c>
      <c r="O105" s="78" t="str">
        <f>IF(AND('2.报价结算清单'!$P208&gt;0,'2.报价结算清单'!$B208&lt;&gt;0,'2.报价结算清单'!S208&lt;&gt;0),'2.报价结算清单'!S208,"")</f>
        <v/>
      </c>
      <c r="P105" s="78" t="str">
        <f>IF(AND('2.报价结算清单'!$P208&gt;0,'2.报价结算清单'!$B208&lt;&gt;0,'2.报价结算清单'!T208&lt;&gt;0),'2.报价结算清单'!T208,"")</f>
        <v/>
      </c>
      <c r="Q105" s="78" t="str">
        <f>IF(F105="",J105,VLOOKUP(F105,框架条目清单!A:K,4,FALSE))</f>
        <v/>
      </c>
      <c r="R105" s="106" t="str">
        <f>IF($A105="","",'2.报价结算清单'!$K$183)</f>
        <v/>
      </c>
      <c r="S105" s="80" t="str">
        <f>IF($A105="","",'2.报价结算清单'!$E$183)</f>
        <v/>
      </c>
      <c r="T105" s="78" t="str">
        <f>IF(F105="","",VLOOKUP(F105,框架条目清单!A:K,7,FALSE))</f>
        <v/>
      </c>
      <c r="U105" s="78" t="str">
        <f>IF(F105="","",VLOOKUP(F105,框架条目清单!A:K,8,FALSE))</f>
        <v/>
      </c>
      <c r="V105" s="78" t="str">
        <f>IF(F105="","",VLOOKUP(F105,框架条目清单!A:K,9,FALSE))</f>
        <v/>
      </c>
    </row>
    <row r="106" spans="1:22">
      <c r="A106" s="78" t="str">
        <f>IF(AND('2.报价结算清单'!$P209&gt;0,'2.报价结算清单'!$B209&lt;&gt;0,'2.报价结算清单'!$F209&lt;&gt;0),'2.报价结算清单'!$F209,"")</f>
        <v/>
      </c>
      <c r="B106" s="78" t="str">
        <f>_xlfn.IFNA(VLOOKUP(A106,'3.框架内物料'!$A:$I,3,0),A106)</f>
        <v/>
      </c>
      <c r="C106" s="78" t="str">
        <f>IF(AND('2.报价结算清单'!$P209&gt;0,'2.报价结算清单'!$B209&lt;&gt;0,'2.报价结算清单'!C209&lt;&gt;0),'2.报价结算清单'!C209,"")</f>
        <v/>
      </c>
      <c r="D106" s="78" t="str">
        <f>IF(AND('2.报价结算清单'!$P209&gt;0,'2.报价结算清单'!$B209&lt;&gt;0,'2.报价结算清单'!D209&lt;&gt;0),'2.报价结算清单'!D209,"")</f>
        <v/>
      </c>
      <c r="E106" s="78" t="str">
        <f>IF(AND('2.报价结算清单'!$P209&gt;0,'2.报价结算清单'!$B209&lt;&gt;0,'2.报价结算清单'!E209&lt;&gt;0),'2.报价结算清单'!E209,"")</f>
        <v/>
      </c>
      <c r="F106" s="105" t="str">
        <f>_xlfn.IFNA(IF($A106="","",IF(VLOOKUP($A106,'3.框架内物料'!$A:$I,2,0)="","",VLOOKUP($A106,'3.框架内物料'!$A:$I,2,0))),"")</f>
        <v/>
      </c>
      <c r="G106" s="87" t="str">
        <f>IF(AND('2.报价结算清单'!$P209&gt;0,'2.报价结算清单'!$B209&lt;&gt;0,'2.报价结算清单'!H209&lt;&gt;0),'2.报价结算清单'!H209,"")</f>
        <v/>
      </c>
      <c r="H106" s="122" t="str">
        <f>IF(AND('2.报价结算清单'!$P209&gt;0,'2.报价结算清单'!$B209&lt;&gt;0,'2.报价结算清单'!$F209&lt;&gt;0),'2.报价结算清单'!J209,"")</f>
        <v/>
      </c>
      <c r="I106" s="105" t="str">
        <f>IF(AND('2.报价结算清单'!$P209&gt;0,'2.报价结算清单'!$B209&lt;&gt;0,'2.报价结算清单'!$F209&lt;&gt;0),'2.报价结算清单'!L209,"")</f>
        <v/>
      </c>
      <c r="J106" s="105" t="str">
        <f>IF(AND('2.报价结算清单'!$P209&gt;0,'2.报价结算清单'!$B209&lt;&gt;0,'2.报价结算清单'!I209&lt;&gt;0),'2.报价结算清单'!I209,"")</f>
        <v/>
      </c>
      <c r="K106" s="105" t="str">
        <f>IF(AND('2.报价结算清单'!$P209&gt;0,'2.报价结算清单'!$B209&lt;&gt;0,'2.报价结算清单'!$F209&lt;&gt;0),'2.报价结算清单'!N209,"")</f>
        <v/>
      </c>
      <c r="L106" s="105" t="str">
        <f>IF(AND('2.报价结算清单'!$P209&gt;0,'2.报价结算清单'!$B209&lt;&gt;0,'2.报价结算清单'!I209&lt;&gt;0),"天","")</f>
        <v/>
      </c>
      <c r="M106" s="80" t="str">
        <f t="shared" si="6"/>
        <v/>
      </c>
      <c r="N106" s="78" t="str">
        <f t="shared" si="7"/>
        <v/>
      </c>
      <c r="O106" s="78" t="str">
        <f>IF(AND('2.报价结算清单'!$P209&gt;0,'2.报价结算清单'!$B209&lt;&gt;0,'2.报价结算清单'!S209&lt;&gt;0),'2.报价结算清单'!S209,"")</f>
        <v/>
      </c>
      <c r="P106" s="78" t="str">
        <f>IF(AND('2.报价结算清单'!$P209&gt;0,'2.报价结算清单'!$B209&lt;&gt;0,'2.报价结算清单'!T209&lt;&gt;0),'2.报价结算清单'!T209,"")</f>
        <v/>
      </c>
      <c r="Q106" s="78" t="str">
        <f>IF(F106="",J106,VLOOKUP(F106,框架条目清单!A:K,4,FALSE))</f>
        <v/>
      </c>
      <c r="R106" s="106" t="str">
        <f>IF($A106="","",'2.报价结算清单'!$K$183)</f>
        <v/>
      </c>
      <c r="S106" s="80" t="str">
        <f>IF($A106="","",'2.报价结算清单'!$E$183)</f>
        <v/>
      </c>
      <c r="T106" s="78" t="str">
        <f>IF(F106="","",VLOOKUP(F106,框架条目清单!A:K,7,FALSE))</f>
        <v/>
      </c>
      <c r="U106" s="78" t="str">
        <f>IF(F106="","",VLOOKUP(F106,框架条目清单!A:K,8,FALSE))</f>
        <v/>
      </c>
      <c r="V106" s="78" t="str">
        <f>IF(F106="","",VLOOKUP(F106,框架条目清单!A:K,9,FALSE))</f>
        <v/>
      </c>
    </row>
    <row r="107" spans="1:22">
      <c r="A107" s="78" t="str">
        <f>IF(AND('2.报价结算清单'!$P210&gt;0,'2.报价结算清单'!$B210&lt;&gt;0,'2.报价结算清单'!$F210&lt;&gt;0),'2.报价结算清单'!$F210,"")</f>
        <v/>
      </c>
      <c r="B107" s="78" t="str">
        <f>_xlfn.IFNA(VLOOKUP(A107,'3.框架内物料'!$A:$I,3,0),A107)</f>
        <v/>
      </c>
      <c r="C107" s="78" t="str">
        <f>IF(AND('2.报价结算清单'!$P210&gt;0,'2.报价结算清单'!$B210&lt;&gt;0,'2.报价结算清单'!C210&lt;&gt;0),'2.报价结算清单'!C210,"")</f>
        <v/>
      </c>
      <c r="D107" s="78" t="str">
        <f>IF(AND('2.报价结算清单'!$P210&gt;0,'2.报价结算清单'!$B210&lt;&gt;0,'2.报价结算清单'!D210&lt;&gt;0),'2.报价结算清单'!D210,"")</f>
        <v/>
      </c>
      <c r="E107" s="78" t="str">
        <f>IF(AND('2.报价结算清单'!$P210&gt;0,'2.报价结算清单'!$B210&lt;&gt;0,'2.报价结算清单'!E210&lt;&gt;0),'2.报价结算清单'!E210,"")</f>
        <v/>
      </c>
      <c r="F107" s="105" t="str">
        <f>_xlfn.IFNA(IF($A107="","",IF(VLOOKUP($A107,'3.框架内物料'!$A:$I,2,0)="","",VLOOKUP($A107,'3.框架内物料'!$A:$I,2,0))),"")</f>
        <v/>
      </c>
      <c r="G107" s="87" t="str">
        <f>IF(AND('2.报价结算清单'!$P210&gt;0,'2.报价结算清单'!$B210&lt;&gt;0,'2.报价结算清单'!H210&lt;&gt;0),'2.报价结算清单'!H210,"")</f>
        <v/>
      </c>
      <c r="H107" s="122" t="str">
        <f>IF(AND('2.报价结算清单'!$P210&gt;0,'2.报价结算清单'!$B210&lt;&gt;0,'2.报价结算清单'!$F210&lt;&gt;0),'2.报价结算清单'!J210,"")</f>
        <v/>
      </c>
      <c r="I107" s="105" t="str">
        <f>IF(AND('2.报价结算清单'!$P210&gt;0,'2.报价结算清单'!$B210&lt;&gt;0,'2.报价结算清单'!$F210&lt;&gt;0),'2.报价结算清单'!L210,"")</f>
        <v/>
      </c>
      <c r="J107" s="105" t="str">
        <f>IF(AND('2.报价结算清单'!$P210&gt;0,'2.报价结算清单'!$B210&lt;&gt;0,'2.报价结算清单'!I210&lt;&gt;0),'2.报价结算清单'!I210,"")</f>
        <v/>
      </c>
      <c r="K107" s="105" t="str">
        <f>IF(AND('2.报价结算清单'!$P210&gt;0,'2.报价结算清单'!$B210&lt;&gt;0,'2.报价结算清单'!$F210&lt;&gt;0),'2.报价结算清单'!N210,"")</f>
        <v/>
      </c>
      <c r="L107" s="105" t="str">
        <f>IF(AND('2.报价结算清单'!$P210&gt;0,'2.报价结算清单'!$B210&lt;&gt;0,'2.报价结算清单'!I210&lt;&gt;0),"天","")</f>
        <v/>
      </c>
      <c r="M107" s="80" t="str">
        <f t="shared" si="6"/>
        <v/>
      </c>
      <c r="N107" s="78" t="str">
        <f t="shared" si="7"/>
        <v/>
      </c>
      <c r="O107" s="78" t="str">
        <f>IF(AND('2.报价结算清单'!$P210&gt;0,'2.报价结算清单'!$B210&lt;&gt;0,'2.报价结算清单'!S210&lt;&gt;0),'2.报价结算清单'!S210,"")</f>
        <v/>
      </c>
      <c r="P107" s="78" t="str">
        <f>IF(AND('2.报价结算清单'!$P210&gt;0,'2.报价结算清单'!$B210&lt;&gt;0,'2.报价结算清单'!T210&lt;&gt;0),'2.报价结算清单'!T210,"")</f>
        <v/>
      </c>
      <c r="Q107" s="78" t="str">
        <f>IF(F107="",J107,VLOOKUP(F107,框架条目清单!A:K,4,FALSE))</f>
        <v/>
      </c>
      <c r="R107" s="106" t="str">
        <f>IF($A107="","",'2.报价结算清单'!$K$183)</f>
        <v/>
      </c>
      <c r="S107" s="80" t="str">
        <f>IF($A107="","",'2.报价结算清单'!$E$183)</f>
        <v/>
      </c>
      <c r="T107" s="78" t="str">
        <f>IF(F107="","",VLOOKUP(F107,框架条目清单!A:K,7,FALSE))</f>
        <v/>
      </c>
      <c r="U107" s="78" t="str">
        <f>IF(F107="","",VLOOKUP(F107,框架条目清单!A:K,8,FALSE))</f>
        <v/>
      </c>
      <c r="V107" s="78" t="str">
        <f>IF(F107="","",VLOOKUP(F107,框架条目清单!A:K,9,FALSE))</f>
        <v/>
      </c>
    </row>
    <row r="108" spans="1:22">
      <c r="A108" s="78" t="str">
        <f>IF(AND('2.报价结算清单'!$P211&gt;0,'2.报价结算清单'!$B211&lt;&gt;0,'2.报价结算清单'!$F211&lt;&gt;0),'2.报价结算清单'!$F211,"")</f>
        <v/>
      </c>
      <c r="B108" s="78" t="str">
        <f>_xlfn.IFNA(VLOOKUP(A108,'3.框架内物料'!$A:$I,3,0),A108)</f>
        <v/>
      </c>
      <c r="C108" s="78" t="str">
        <f>IF(AND('2.报价结算清单'!$P211&gt;0,'2.报价结算清单'!$B211&lt;&gt;0,'2.报价结算清单'!C211&lt;&gt;0),'2.报价结算清单'!C211,"")</f>
        <v/>
      </c>
      <c r="D108" s="78" t="str">
        <f>IF(AND('2.报价结算清单'!$P211&gt;0,'2.报价结算清单'!$B211&lt;&gt;0,'2.报价结算清单'!D211&lt;&gt;0),'2.报价结算清单'!D211,"")</f>
        <v/>
      </c>
      <c r="E108" s="78" t="str">
        <f>IF(AND('2.报价结算清单'!$P211&gt;0,'2.报价结算清单'!$B211&lt;&gt;0,'2.报价结算清单'!E211&lt;&gt;0),'2.报价结算清单'!E211,"")</f>
        <v/>
      </c>
      <c r="F108" s="105" t="str">
        <f>_xlfn.IFNA(IF($A108="","",IF(VLOOKUP($A108,'3.框架内物料'!$A:$I,2,0)="","",VLOOKUP($A108,'3.框架内物料'!$A:$I,2,0))),"")</f>
        <v/>
      </c>
      <c r="G108" s="87" t="str">
        <f>IF(AND('2.报价结算清单'!$P211&gt;0,'2.报价结算清单'!$B211&lt;&gt;0,'2.报价结算清单'!H211&lt;&gt;0),'2.报价结算清单'!H211,"")</f>
        <v/>
      </c>
      <c r="H108" s="122" t="str">
        <f>IF(AND('2.报价结算清单'!$P211&gt;0,'2.报价结算清单'!$B211&lt;&gt;0,'2.报价结算清单'!$F211&lt;&gt;0),'2.报价结算清单'!J211,"")</f>
        <v/>
      </c>
      <c r="I108" s="105" t="str">
        <f>IF(AND('2.报价结算清单'!$P211&gt;0,'2.报价结算清单'!$B211&lt;&gt;0,'2.报价结算清单'!$F211&lt;&gt;0),'2.报价结算清单'!L211,"")</f>
        <v/>
      </c>
      <c r="J108" s="105" t="str">
        <f>IF(AND('2.报价结算清单'!$P211&gt;0,'2.报价结算清单'!$B211&lt;&gt;0,'2.报价结算清单'!I211&lt;&gt;0),'2.报价结算清单'!I211,"")</f>
        <v/>
      </c>
      <c r="K108" s="105" t="str">
        <f>IF(AND('2.报价结算清单'!$P211&gt;0,'2.报价结算清单'!$B211&lt;&gt;0,'2.报价结算清单'!$F211&lt;&gt;0),'2.报价结算清单'!N211,"")</f>
        <v/>
      </c>
      <c r="L108" s="105" t="str">
        <f>IF(AND('2.报价结算清单'!$P211&gt;0,'2.报价结算清单'!$B211&lt;&gt;0,'2.报价结算清单'!I211&lt;&gt;0),"天","")</f>
        <v/>
      </c>
      <c r="M108" s="80" t="str">
        <f t="shared" si="6"/>
        <v/>
      </c>
      <c r="N108" s="78" t="str">
        <f t="shared" si="7"/>
        <v/>
      </c>
      <c r="O108" s="78" t="str">
        <f>IF(AND('2.报价结算清单'!$P211&gt;0,'2.报价结算清单'!$B211&lt;&gt;0,'2.报价结算清单'!S211&lt;&gt;0),'2.报价结算清单'!S211,"")</f>
        <v/>
      </c>
      <c r="P108" s="78" t="str">
        <f>IF(AND('2.报价结算清单'!$P211&gt;0,'2.报价结算清单'!$B211&lt;&gt;0,'2.报价结算清单'!T211&lt;&gt;0),'2.报价结算清单'!T211,"")</f>
        <v/>
      </c>
      <c r="Q108" s="78" t="str">
        <f>IF(F108="",J108,VLOOKUP(F108,框架条目清单!A:K,4,FALSE))</f>
        <v/>
      </c>
      <c r="R108" s="106" t="str">
        <f>IF($A108="","",'2.报价结算清单'!$K$183)</f>
        <v/>
      </c>
      <c r="S108" s="80" t="str">
        <f>IF($A108="","",'2.报价结算清单'!$E$183)</f>
        <v/>
      </c>
      <c r="T108" s="78" t="str">
        <f>IF(F108="","",VLOOKUP(F108,框架条目清单!A:K,7,FALSE))</f>
        <v/>
      </c>
      <c r="U108" s="78" t="str">
        <f>IF(F108="","",VLOOKUP(F108,框架条目清单!A:K,8,FALSE))</f>
        <v/>
      </c>
      <c r="V108" s="78" t="str">
        <f>IF(F108="","",VLOOKUP(F108,框架条目清单!A:K,9,FALSE))</f>
        <v/>
      </c>
    </row>
    <row r="109" spans="1:22">
      <c r="A109" s="78" t="str">
        <f>IF(AND('2.报价结算清单'!$P212&gt;0,'2.报价结算清单'!$B212&lt;&gt;0,'2.报价结算清单'!$F212&lt;&gt;0),'2.报价结算清单'!$F212,"")</f>
        <v/>
      </c>
      <c r="B109" s="78" t="str">
        <f>_xlfn.IFNA(VLOOKUP(A109,'3.框架内物料'!$A:$I,3,0),A109)</f>
        <v/>
      </c>
      <c r="C109" s="78" t="str">
        <f>IF(AND('2.报价结算清单'!$P212&gt;0,'2.报价结算清单'!$B212&lt;&gt;0,'2.报价结算清单'!C212&lt;&gt;0),'2.报价结算清单'!C212,"")</f>
        <v/>
      </c>
      <c r="D109" s="78" t="str">
        <f>IF(AND('2.报价结算清单'!$P212&gt;0,'2.报价结算清单'!$B212&lt;&gt;0,'2.报价结算清单'!D212&lt;&gt;0),'2.报价结算清单'!D212,"")</f>
        <v/>
      </c>
      <c r="E109" s="78" t="str">
        <f>IF(AND('2.报价结算清单'!$P212&gt;0,'2.报价结算清单'!$B212&lt;&gt;0,'2.报价结算清单'!E212&lt;&gt;0),'2.报价结算清单'!E212,"")</f>
        <v/>
      </c>
      <c r="F109" s="105" t="str">
        <f>_xlfn.IFNA(IF($A109="","",IF(VLOOKUP($A109,'3.框架内物料'!$A:$I,2,0)="","",VLOOKUP($A109,'3.框架内物料'!$A:$I,2,0))),"")</f>
        <v/>
      </c>
      <c r="G109" s="87" t="str">
        <f>IF(AND('2.报价结算清单'!$P212&gt;0,'2.报价结算清单'!$B212&lt;&gt;0,'2.报价结算清单'!H212&lt;&gt;0),'2.报价结算清单'!H212,"")</f>
        <v/>
      </c>
      <c r="H109" s="122" t="str">
        <f>IF(AND('2.报价结算清单'!$P212&gt;0,'2.报价结算清单'!$B212&lt;&gt;0,'2.报价结算清单'!$F212&lt;&gt;0),'2.报价结算清单'!J212,"")</f>
        <v/>
      </c>
      <c r="I109" s="105" t="str">
        <f>IF(AND('2.报价结算清单'!$P212&gt;0,'2.报价结算清单'!$B212&lt;&gt;0,'2.报价结算清单'!$F212&lt;&gt;0),'2.报价结算清单'!L212,"")</f>
        <v/>
      </c>
      <c r="J109" s="105" t="str">
        <f>IF(AND('2.报价结算清单'!$P212&gt;0,'2.报价结算清单'!$B212&lt;&gt;0,'2.报价结算清单'!I212&lt;&gt;0),'2.报价结算清单'!I212,"")</f>
        <v/>
      </c>
      <c r="K109" s="105" t="str">
        <f>IF(AND('2.报价结算清单'!$P212&gt;0,'2.报价结算清单'!$B212&lt;&gt;0,'2.报价结算清单'!$F212&lt;&gt;0),'2.报价结算清单'!N212,"")</f>
        <v/>
      </c>
      <c r="L109" s="105" t="str">
        <f>IF(AND('2.报价结算清单'!$P212&gt;0,'2.报价结算清单'!$B212&lt;&gt;0,'2.报价结算清单'!I212&lt;&gt;0),"天","")</f>
        <v/>
      </c>
      <c r="M109" s="80" t="str">
        <f t="shared" si="6"/>
        <v/>
      </c>
      <c r="N109" s="78" t="str">
        <f t="shared" si="7"/>
        <v/>
      </c>
      <c r="O109" s="78" t="str">
        <f>IF(AND('2.报价结算清单'!$P212&gt;0,'2.报价结算清单'!$B212&lt;&gt;0,'2.报价结算清单'!S212&lt;&gt;0),'2.报价结算清单'!S212,"")</f>
        <v/>
      </c>
      <c r="P109" s="78" t="str">
        <f>IF(AND('2.报价结算清单'!$P212&gt;0,'2.报价结算清单'!$B212&lt;&gt;0,'2.报价结算清单'!T212&lt;&gt;0),'2.报价结算清单'!T212,"")</f>
        <v/>
      </c>
      <c r="Q109" s="78" t="str">
        <f>IF(F109="",J109,VLOOKUP(F109,框架条目清单!A:K,4,FALSE))</f>
        <v/>
      </c>
      <c r="R109" s="106" t="str">
        <f>IF($A109="","",'2.报价结算清单'!$K$183)</f>
        <v/>
      </c>
      <c r="S109" s="80" t="str">
        <f>IF($A109="","",'2.报价结算清单'!$E$183)</f>
        <v/>
      </c>
      <c r="T109" s="78" t="str">
        <f>IF(F109="","",VLOOKUP(F109,框架条目清单!A:K,7,FALSE))</f>
        <v/>
      </c>
      <c r="U109" s="78" t="str">
        <f>IF(F109="","",VLOOKUP(F109,框架条目清单!A:K,8,FALSE))</f>
        <v/>
      </c>
      <c r="V109" s="78" t="str">
        <f>IF(F109="","",VLOOKUP(F109,框架条目清单!A:K,9,FALSE))</f>
        <v/>
      </c>
    </row>
    <row r="110" spans="1:22">
      <c r="A110" s="78" t="str">
        <f>IF(AND('2.报价结算清单'!$P213&gt;0,'2.报价结算清单'!$B213&lt;&gt;0,'2.报价结算清单'!$F213&lt;&gt;0),'2.报价结算清单'!$F213,"")</f>
        <v/>
      </c>
      <c r="B110" s="78" t="str">
        <f>_xlfn.IFNA(VLOOKUP(A110,'3.框架内物料'!$A:$I,3,0),A110)</f>
        <v/>
      </c>
      <c r="C110" s="78" t="str">
        <f>IF(AND('2.报价结算清单'!$P213&gt;0,'2.报价结算清单'!$B213&lt;&gt;0,'2.报价结算清单'!C213&lt;&gt;0),'2.报价结算清单'!C213,"")</f>
        <v/>
      </c>
      <c r="D110" s="78" t="str">
        <f>IF(AND('2.报价结算清单'!$P213&gt;0,'2.报价结算清单'!$B213&lt;&gt;0,'2.报价结算清单'!D213&lt;&gt;0),'2.报价结算清单'!D213,"")</f>
        <v/>
      </c>
      <c r="E110" s="78" t="str">
        <f>IF(AND('2.报价结算清单'!$P213&gt;0,'2.报价结算清单'!$B213&lt;&gt;0,'2.报价结算清单'!E213&lt;&gt;0),'2.报价结算清单'!E213,"")</f>
        <v/>
      </c>
      <c r="F110" s="105" t="str">
        <f>_xlfn.IFNA(IF($A110="","",IF(VLOOKUP($A110,'3.框架内物料'!$A:$I,2,0)="","",VLOOKUP($A110,'3.框架内物料'!$A:$I,2,0))),"")</f>
        <v/>
      </c>
      <c r="G110" s="87" t="str">
        <f>IF(AND('2.报价结算清单'!$P213&gt;0,'2.报价结算清单'!$B213&lt;&gt;0,'2.报价结算清单'!H213&lt;&gt;0),'2.报价结算清单'!H213,"")</f>
        <v/>
      </c>
      <c r="H110" s="122" t="str">
        <f>IF(AND('2.报价结算清单'!$P213&gt;0,'2.报价结算清单'!$B213&lt;&gt;0,'2.报价结算清单'!$F213&lt;&gt;0),'2.报价结算清单'!J213,"")</f>
        <v/>
      </c>
      <c r="I110" s="105" t="str">
        <f>IF(AND('2.报价结算清单'!$P213&gt;0,'2.报价结算清单'!$B213&lt;&gt;0,'2.报价结算清单'!$F213&lt;&gt;0),'2.报价结算清单'!L213,"")</f>
        <v/>
      </c>
      <c r="J110" s="105" t="str">
        <f>IF(AND('2.报价结算清单'!$P213&gt;0,'2.报价结算清单'!$B213&lt;&gt;0,'2.报价结算清单'!I213&lt;&gt;0),'2.报价结算清单'!I213,"")</f>
        <v/>
      </c>
      <c r="K110" s="105" t="str">
        <f>IF(AND('2.报价结算清单'!$P213&gt;0,'2.报价结算清单'!$B213&lt;&gt;0,'2.报价结算清单'!$F213&lt;&gt;0),'2.报价结算清单'!N213,"")</f>
        <v/>
      </c>
      <c r="L110" s="105" t="str">
        <f>IF(AND('2.报价结算清单'!$P213&gt;0,'2.报价结算清单'!$B213&lt;&gt;0,'2.报价结算清单'!I213&lt;&gt;0),"天","")</f>
        <v/>
      </c>
      <c r="M110" s="80" t="str">
        <f t="shared" si="6"/>
        <v/>
      </c>
      <c r="N110" s="78" t="str">
        <f t="shared" si="7"/>
        <v/>
      </c>
      <c r="O110" s="78" t="str">
        <f>IF(AND('2.报价结算清单'!$P213&gt;0,'2.报价结算清单'!$B213&lt;&gt;0,'2.报价结算清单'!S213&lt;&gt;0),'2.报价结算清单'!S213,"")</f>
        <v/>
      </c>
      <c r="P110" s="78" t="str">
        <f>IF(AND('2.报价结算清单'!$P213&gt;0,'2.报价结算清单'!$B213&lt;&gt;0,'2.报价结算清单'!T213&lt;&gt;0),'2.报价结算清单'!T213,"")</f>
        <v/>
      </c>
      <c r="Q110" s="78" t="str">
        <f>IF(F110="",J110,VLOOKUP(F110,框架条目清单!A:K,4,FALSE))</f>
        <v/>
      </c>
      <c r="R110" s="106" t="str">
        <f>IF($A110="","",'2.报价结算清单'!$K$183)</f>
        <v/>
      </c>
      <c r="S110" s="80" t="str">
        <f>IF($A110="","",'2.报价结算清单'!$E$183)</f>
        <v/>
      </c>
      <c r="T110" s="78" t="str">
        <f>IF(F110="","",VLOOKUP(F110,框架条目清单!A:K,7,FALSE))</f>
        <v/>
      </c>
      <c r="U110" s="78" t="str">
        <f>IF(F110="","",VLOOKUP(F110,框架条目清单!A:K,8,FALSE))</f>
        <v/>
      </c>
      <c r="V110" s="78" t="str">
        <f>IF(F110="","",VLOOKUP(F110,框架条目清单!A:K,9,FALSE))</f>
        <v/>
      </c>
    </row>
    <row r="111" spans="1:22">
      <c r="A111" s="78" t="str">
        <f>IF(AND('2.报价结算清单'!$P214&gt;0,'2.报价结算清单'!$B214&lt;&gt;0,'2.报价结算清单'!$F214&lt;&gt;0),'2.报价结算清单'!$F214,"")</f>
        <v/>
      </c>
      <c r="B111" s="78" t="str">
        <f>_xlfn.IFNA(VLOOKUP(A111,'3.框架内物料'!$A:$I,3,0),A111)</f>
        <v/>
      </c>
      <c r="C111" s="78" t="str">
        <f>IF(AND('2.报价结算清单'!$P214&gt;0,'2.报价结算清单'!$B214&lt;&gt;0,'2.报价结算清单'!C214&lt;&gt;0),'2.报价结算清单'!C214,"")</f>
        <v/>
      </c>
      <c r="D111" s="78" t="str">
        <f>IF(AND('2.报价结算清单'!$P214&gt;0,'2.报价结算清单'!$B214&lt;&gt;0,'2.报价结算清单'!D214&lt;&gt;0),'2.报价结算清单'!D214,"")</f>
        <v/>
      </c>
      <c r="E111" s="78" t="str">
        <f>IF(AND('2.报价结算清单'!$P214&gt;0,'2.报价结算清单'!$B214&lt;&gt;0,'2.报价结算清单'!E214&lt;&gt;0),'2.报价结算清单'!E214,"")</f>
        <v/>
      </c>
      <c r="F111" s="105" t="str">
        <f>_xlfn.IFNA(IF($A111="","",IF(VLOOKUP($A111,'3.框架内物料'!$A:$I,2,0)="","",VLOOKUP($A111,'3.框架内物料'!$A:$I,2,0))),"")</f>
        <v/>
      </c>
      <c r="G111" s="87" t="str">
        <f>IF(AND('2.报价结算清单'!$P214&gt;0,'2.报价结算清单'!$B214&lt;&gt;0,'2.报价结算清单'!H214&lt;&gt;0),'2.报价结算清单'!H214,"")</f>
        <v/>
      </c>
      <c r="H111" s="122" t="str">
        <f>IF(AND('2.报价结算清单'!$P214&gt;0,'2.报价结算清单'!$B214&lt;&gt;0,'2.报价结算清单'!$F214&lt;&gt;0),'2.报价结算清单'!J214,"")</f>
        <v/>
      </c>
      <c r="I111" s="105" t="str">
        <f>IF(AND('2.报价结算清单'!$P214&gt;0,'2.报价结算清单'!$B214&lt;&gt;0,'2.报价结算清单'!$F214&lt;&gt;0),'2.报价结算清单'!L214,"")</f>
        <v/>
      </c>
      <c r="J111" s="105" t="str">
        <f>IF(AND('2.报价结算清单'!$P214&gt;0,'2.报价结算清单'!$B214&lt;&gt;0,'2.报价结算清单'!I214&lt;&gt;0),'2.报价结算清单'!I214,"")</f>
        <v/>
      </c>
      <c r="K111" s="105" t="str">
        <f>IF(AND('2.报价结算清单'!$P214&gt;0,'2.报价结算清单'!$B214&lt;&gt;0,'2.报价结算清单'!$F214&lt;&gt;0),'2.报价结算清单'!N214,"")</f>
        <v/>
      </c>
      <c r="L111" s="105" t="str">
        <f>IF(AND('2.报价结算清单'!$P214&gt;0,'2.报价结算清单'!$B214&lt;&gt;0,'2.报价结算清单'!I214&lt;&gt;0),"天","")</f>
        <v/>
      </c>
      <c r="M111" s="80" t="str">
        <f t="shared" si="6"/>
        <v/>
      </c>
      <c r="N111" s="78" t="str">
        <f t="shared" si="7"/>
        <v/>
      </c>
      <c r="O111" s="78" t="str">
        <f>IF(AND('2.报价结算清单'!$P214&gt;0,'2.报价结算清单'!$B214&lt;&gt;0,'2.报价结算清单'!S214&lt;&gt;0),'2.报价结算清单'!S214,"")</f>
        <v/>
      </c>
      <c r="P111" s="78" t="str">
        <f>IF(AND('2.报价结算清单'!$P214&gt;0,'2.报价结算清单'!$B214&lt;&gt;0,'2.报价结算清单'!T214&lt;&gt;0),'2.报价结算清单'!T214,"")</f>
        <v/>
      </c>
      <c r="Q111" s="78" t="str">
        <f>IF(F111="",J111,VLOOKUP(F111,框架条目清单!A:K,4,FALSE))</f>
        <v/>
      </c>
      <c r="R111" s="106" t="str">
        <f>IF($A111="","",'2.报价结算清单'!$K$183)</f>
        <v/>
      </c>
      <c r="S111" s="80" t="str">
        <f>IF($A111="","",'2.报价结算清单'!$E$183)</f>
        <v/>
      </c>
      <c r="T111" s="78" t="str">
        <f>IF(F111="","",VLOOKUP(F111,框架条目清单!A:K,7,FALSE))</f>
        <v/>
      </c>
      <c r="U111" s="78" t="str">
        <f>IF(F111="","",VLOOKUP(F111,框架条目清单!A:K,8,FALSE))</f>
        <v/>
      </c>
      <c r="V111" s="78" t="str">
        <f>IF(F111="","",VLOOKUP(F111,框架条目清单!A:K,9,FALSE))</f>
        <v/>
      </c>
    </row>
    <row r="112" spans="1:22">
      <c r="A112" s="78" t="str">
        <f>IF(AND('2.报价结算清单'!$P215&gt;0,'2.报价结算清单'!$B215&lt;&gt;0,'2.报价结算清单'!$F215&lt;&gt;0),'2.报价结算清单'!$F215,"")</f>
        <v/>
      </c>
      <c r="B112" s="78" t="str">
        <f>_xlfn.IFNA(VLOOKUP(A112,'3.框架内物料'!$A:$I,3,0),A112)</f>
        <v/>
      </c>
      <c r="C112" s="78" t="str">
        <f>IF(AND('2.报价结算清单'!$P215&gt;0,'2.报价结算清单'!$B215&lt;&gt;0,'2.报价结算清单'!C215&lt;&gt;0),'2.报价结算清单'!C215,"")</f>
        <v/>
      </c>
      <c r="D112" s="78" t="str">
        <f>IF(AND('2.报价结算清单'!$P215&gt;0,'2.报价结算清单'!$B215&lt;&gt;0,'2.报价结算清单'!D215&lt;&gt;0),'2.报价结算清单'!D215,"")</f>
        <v/>
      </c>
      <c r="E112" s="78" t="str">
        <f>IF(AND('2.报价结算清单'!$P215&gt;0,'2.报价结算清单'!$B215&lt;&gt;0,'2.报价结算清单'!E215&lt;&gt;0),'2.报价结算清单'!E215,"")</f>
        <v/>
      </c>
      <c r="F112" s="105" t="str">
        <f>_xlfn.IFNA(IF($A112="","",IF(VLOOKUP($A112,'3.框架内物料'!$A:$I,2,0)="","",VLOOKUP($A112,'3.框架内物料'!$A:$I,2,0))),"")</f>
        <v/>
      </c>
      <c r="G112" s="87" t="str">
        <f>IF(AND('2.报价结算清单'!$P215&gt;0,'2.报价结算清单'!$B215&lt;&gt;0,'2.报价结算清单'!H215&lt;&gt;0),'2.报价结算清单'!H215,"")</f>
        <v/>
      </c>
      <c r="H112" s="122" t="str">
        <f>IF(AND('2.报价结算清单'!$P215&gt;0,'2.报价结算清单'!$B215&lt;&gt;0,'2.报价结算清单'!$F215&lt;&gt;0),'2.报价结算清单'!J215,"")</f>
        <v/>
      </c>
      <c r="I112" s="105" t="str">
        <f>IF(AND('2.报价结算清单'!$P215&gt;0,'2.报价结算清单'!$B215&lt;&gt;0,'2.报价结算清单'!$F215&lt;&gt;0),'2.报价结算清单'!L215,"")</f>
        <v/>
      </c>
      <c r="J112" s="105" t="str">
        <f>IF(AND('2.报价结算清单'!$P215&gt;0,'2.报价结算清单'!$B215&lt;&gt;0,'2.报价结算清单'!I215&lt;&gt;0),'2.报价结算清单'!I215,"")</f>
        <v/>
      </c>
      <c r="K112" s="105" t="str">
        <f>IF(AND('2.报价结算清单'!$P215&gt;0,'2.报价结算清单'!$B215&lt;&gt;0,'2.报价结算清单'!$F215&lt;&gt;0),'2.报价结算清单'!N215,"")</f>
        <v/>
      </c>
      <c r="L112" s="105" t="str">
        <f>IF(AND('2.报价结算清单'!$P215&gt;0,'2.报价结算清单'!$B215&lt;&gt;0,'2.报价结算清单'!I215&lt;&gt;0),"天","")</f>
        <v/>
      </c>
      <c r="M112" s="80" t="str">
        <f t="shared" si="6"/>
        <v/>
      </c>
      <c r="N112" s="78" t="str">
        <f t="shared" si="7"/>
        <v/>
      </c>
      <c r="O112" s="78" t="str">
        <f>IF(AND('2.报价结算清单'!$P215&gt;0,'2.报价结算清单'!$B215&lt;&gt;0,'2.报价结算清单'!S215&lt;&gt;0),'2.报价结算清单'!S215,"")</f>
        <v/>
      </c>
      <c r="P112" s="78" t="str">
        <f>IF(AND('2.报价结算清单'!$P215&gt;0,'2.报价结算清单'!$B215&lt;&gt;0,'2.报价结算清单'!T215&lt;&gt;0),'2.报价结算清单'!T215,"")</f>
        <v/>
      </c>
      <c r="Q112" s="78" t="str">
        <f>IF(F112="",J112,VLOOKUP(F112,框架条目清单!A:K,4,FALSE))</f>
        <v/>
      </c>
      <c r="R112" s="106" t="str">
        <f>IF($A112="","",'2.报价结算清单'!$K$183)</f>
        <v/>
      </c>
      <c r="S112" s="80" t="str">
        <f>IF($A112="","",'2.报价结算清单'!$E$183)</f>
        <v/>
      </c>
      <c r="T112" s="78" t="str">
        <f>IF(F112="","",VLOOKUP(F112,框架条目清单!A:K,7,FALSE))</f>
        <v/>
      </c>
      <c r="U112" s="78" t="str">
        <f>IF(F112="","",VLOOKUP(F112,框架条目清单!A:K,8,FALSE))</f>
        <v/>
      </c>
      <c r="V112" s="78" t="str">
        <f>IF(F112="","",VLOOKUP(F112,框架条目清单!A:K,9,FALSE))</f>
        <v/>
      </c>
    </row>
    <row r="113" spans="1:22">
      <c r="A113" s="78" t="str">
        <f>IF(AND('2.报价结算清单'!$P216&gt;0,'2.报价结算清单'!$B216&lt;&gt;0,'2.报价结算清单'!$F216&lt;&gt;0),'2.报价结算清单'!$F216,"")</f>
        <v/>
      </c>
      <c r="B113" s="78" t="str">
        <f>_xlfn.IFNA(VLOOKUP(A113,'3.框架内物料'!$A:$I,3,0),A113)</f>
        <v/>
      </c>
      <c r="C113" s="78" t="str">
        <f>IF(AND('2.报价结算清单'!$P216&gt;0,'2.报价结算清单'!$B216&lt;&gt;0,'2.报价结算清单'!C216&lt;&gt;0),'2.报价结算清单'!C216,"")</f>
        <v/>
      </c>
      <c r="D113" s="78" t="str">
        <f>IF(AND('2.报价结算清单'!$P216&gt;0,'2.报价结算清单'!$B216&lt;&gt;0,'2.报价结算清单'!D216&lt;&gt;0),'2.报价结算清单'!D216,"")</f>
        <v/>
      </c>
      <c r="E113" s="78" t="str">
        <f>IF(AND('2.报价结算清单'!$P216&gt;0,'2.报价结算清单'!$B216&lt;&gt;0,'2.报价结算清单'!E216&lt;&gt;0),'2.报价结算清单'!E216,"")</f>
        <v/>
      </c>
      <c r="F113" s="105" t="str">
        <f>_xlfn.IFNA(IF($A113="","",IF(VLOOKUP($A113,'3.框架内物料'!$A:$I,2,0)="","",VLOOKUP($A113,'3.框架内物料'!$A:$I,2,0))),"")</f>
        <v/>
      </c>
      <c r="G113" s="87" t="str">
        <f>IF(AND('2.报价结算清单'!$P216&gt;0,'2.报价结算清单'!$B216&lt;&gt;0,'2.报价结算清单'!H216&lt;&gt;0),'2.报价结算清单'!H216,"")</f>
        <v/>
      </c>
      <c r="H113" s="122" t="str">
        <f>IF(AND('2.报价结算清单'!$P216&gt;0,'2.报价结算清单'!$B216&lt;&gt;0,'2.报价结算清单'!$F216&lt;&gt;0),'2.报价结算清单'!J216,"")</f>
        <v/>
      </c>
      <c r="I113" s="105" t="str">
        <f>IF(AND('2.报价结算清单'!$P216&gt;0,'2.报价结算清单'!$B216&lt;&gt;0,'2.报价结算清单'!$F216&lt;&gt;0),'2.报价结算清单'!L216,"")</f>
        <v/>
      </c>
      <c r="J113" s="105" t="str">
        <f>IF(AND('2.报价结算清单'!$P216&gt;0,'2.报价结算清单'!$B216&lt;&gt;0,'2.报价结算清单'!I216&lt;&gt;0),'2.报价结算清单'!I216,"")</f>
        <v/>
      </c>
      <c r="K113" s="105" t="str">
        <f>IF(AND('2.报价结算清单'!$P216&gt;0,'2.报价结算清单'!$B216&lt;&gt;0,'2.报价结算清单'!$F216&lt;&gt;0),'2.报价结算清单'!N216,"")</f>
        <v/>
      </c>
      <c r="L113" s="105" t="str">
        <f>IF(AND('2.报价结算清单'!$P216&gt;0,'2.报价结算清单'!$B216&lt;&gt;0,'2.报价结算清单'!I216&lt;&gt;0),"天","")</f>
        <v/>
      </c>
      <c r="M113" s="80" t="str">
        <f t="shared" si="6"/>
        <v/>
      </c>
      <c r="N113" s="78" t="str">
        <f t="shared" si="7"/>
        <v/>
      </c>
      <c r="O113" s="78" t="str">
        <f>IF(AND('2.报价结算清单'!$P216&gt;0,'2.报价结算清单'!$B216&lt;&gt;0,'2.报价结算清单'!S216&lt;&gt;0),'2.报价结算清单'!S216,"")</f>
        <v/>
      </c>
      <c r="P113" s="78" t="str">
        <f>IF(AND('2.报价结算清单'!$P216&gt;0,'2.报价结算清单'!$B216&lt;&gt;0,'2.报价结算清单'!T216&lt;&gt;0),'2.报价结算清单'!T216,"")</f>
        <v/>
      </c>
      <c r="Q113" s="78" t="str">
        <f>IF(F113="",J113,VLOOKUP(F113,框架条目清单!A:K,4,FALSE))</f>
        <v/>
      </c>
      <c r="R113" s="106" t="str">
        <f>IF($A113="","",'2.报价结算清单'!$K$183)</f>
        <v/>
      </c>
      <c r="S113" s="80" t="str">
        <f>IF($A113="","",'2.报价结算清单'!$E$183)</f>
        <v/>
      </c>
      <c r="T113" s="78" t="str">
        <f>IF(F113="","",VLOOKUP(F113,框架条目清单!A:K,7,FALSE))</f>
        <v/>
      </c>
      <c r="U113" s="78" t="str">
        <f>IF(F113="","",VLOOKUP(F113,框架条目清单!A:K,8,FALSE))</f>
        <v/>
      </c>
      <c r="V113" s="78" t="str">
        <f>IF(F113="","",VLOOKUP(F113,框架条目清单!A:K,9,FALSE))</f>
        <v/>
      </c>
    </row>
    <row r="114" spans="1:22">
      <c r="A114" s="78" t="str">
        <f>IF(AND('2.报价结算清单'!$P217&gt;0,'2.报价结算清单'!$B217&lt;&gt;0,'2.报价结算清单'!$F217&lt;&gt;0),'2.报价结算清单'!$F217,"")</f>
        <v/>
      </c>
      <c r="B114" s="78" t="str">
        <f>_xlfn.IFNA(VLOOKUP(A114,'3.框架内物料'!$A:$I,3,0),A114)</f>
        <v/>
      </c>
      <c r="C114" s="78" t="str">
        <f>IF(AND('2.报价结算清单'!$P217&gt;0,'2.报价结算清单'!$B217&lt;&gt;0,'2.报价结算清单'!C217&lt;&gt;0),'2.报价结算清单'!C217,"")</f>
        <v/>
      </c>
      <c r="D114" s="78" t="str">
        <f>IF(AND('2.报价结算清单'!$P217&gt;0,'2.报价结算清单'!$B217&lt;&gt;0,'2.报价结算清单'!D217&lt;&gt;0),'2.报价结算清单'!D217,"")</f>
        <v/>
      </c>
      <c r="E114" s="78" t="str">
        <f>IF(AND('2.报价结算清单'!$P217&gt;0,'2.报价结算清单'!$B217&lt;&gt;0,'2.报价结算清单'!E217&lt;&gt;0),'2.报价结算清单'!E217,"")</f>
        <v/>
      </c>
      <c r="F114" s="105" t="str">
        <f>_xlfn.IFNA(IF($A114="","",IF(VLOOKUP($A114,'3.框架内物料'!$A:$I,2,0)="","",VLOOKUP($A114,'3.框架内物料'!$A:$I,2,0))),"")</f>
        <v/>
      </c>
      <c r="G114" s="87" t="str">
        <f>IF(AND('2.报价结算清单'!$P217&gt;0,'2.报价结算清单'!$B217&lt;&gt;0,'2.报价结算清单'!H217&lt;&gt;0),'2.报价结算清单'!H217,"")</f>
        <v/>
      </c>
      <c r="H114" s="122" t="str">
        <f>IF(AND('2.报价结算清单'!$P217&gt;0,'2.报价结算清单'!$B217&lt;&gt;0,'2.报价结算清单'!$F217&lt;&gt;0),'2.报价结算清单'!J217,"")</f>
        <v/>
      </c>
      <c r="I114" s="105" t="str">
        <f>IF(AND('2.报价结算清单'!$P217&gt;0,'2.报价结算清单'!$B217&lt;&gt;0,'2.报价结算清单'!$F217&lt;&gt;0),'2.报价结算清单'!L217,"")</f>
        <v/>
      </c>
      <c r="J114" s="105" t="str">
        <f>IF(AND('2.报价结算清单'!$P217&gt;0,'2.报价结算清单'!$B217&lt;&gt;0,'2.报价结算清单'!I217&lt;&gt;0),'2.报价结算清单'!I217,"")</f>
        <v/>
      </c>
      <c r="K114" s="105" t="str">
        <f>IF(AND('2.报价结算清单'!$P217&gt;0,'2.报价结算清单'!$B217&lt;&gt;0,'2.报价结算清单'!$F217&lt;&gt;0),'2.报价结算清单'!N217,"")</f>
        <v/>
      </c>
      <c r="L114" s="105" t="str">
        <f>IF(AND('2.报价结算清单'!$P217&gt;0,'2.报价结算清单'!$B217&lt;&gt;0,'2.报价结算清单'!I217&lt;&gt;0),"天","")</f>
        <v/>
      </c>
      <c r="M114" s="80" t="str">
        <f t="shared" si="6"/>
        <v/>
      </c>
      <c r="N114" s="78" t="str">
        <f t="shared" si="7"/>
        <v/>
      </c>
      <c r="O114" s="78" t="str">
        <f>IF(AND('2.报价结算清单'!$P217&gt;0,'2.报价结算清单'!$B217&lt;&gt;0,'2.报价结算清单'!S217&lt;&gt;0),'2.报价结算清单'!S217,"")</f>
        <v/>
      </c>
      <c r="P114" s="78" t="str">
        <f>IF(AND('2.报价结算清单'!$P217&gt;0,'2.报价结算清单'!$B217&lt;&gt;0,'2.报价结算清单'!T217&lt;&gt;0),'2.报价结算清单'!T217,"")</f>
        <v/>
      </c>
      <c r="Q114" s="78" t="str">
        <f>IF(F114="",J114,VLOOKUP(F114,框架条目清单!A:K,4,FALSE))</f>
        <v/>
      </c>
      <c r="R114" s="106" t="str">
        <f>IF($A114="","",'2.报价结算清单'!$K$183)</f>
        <v/>
      </c>
      <c r="S114" s="80" t="str">
        <f>IF($A114="","",'2.报价结算清单'!$E$183)</f>
        <v/>
      </c>
      <c r="T114" s="78" t="str">
        <f>IF(F114="","",VLOOKUP(F114,框架条目清单!A:K,7,FALSE))</f>
        <v/>
      </c>
      <c r="U114" s="78" t="str">
        <f>IF(F114="","",VLOOKUP(F114,框架条目清单!A:K,8,FALSE))</f>
        <v/>
      </c>
      <c r="V114" s="78" t="str">
        <f>IF(F114="","",VLOOKUP(F114,框架条目清单!A:K,9,FALSE))</f>
        <v/>
      </c>
    </row>
    <row r="115" spans="1:22">
      <c r="A115" s="78" t="str">
        <f>IF(AND('2.报价结算清单'!$P218&gt;0,'2.报价结算清单'!$B218&lt;&gt;0,'2.报价结算清单'!$F218&lt;&gt;0),'2.报价结算清单'!$F218,"")</f>
        <v/>
      </c>
      <c r="B115" s="78" t="str">
        <f>_xlfn.IFNA(VLOOKUP(A115,'3.框架内物料'!$A:$I,3,0),A115)</f>
        <v/>
      </c>
      <c r="C115" s="78" t="str">
        <f>IF(AND('2.报价结算清单'!$P218&gt;0,'2.报价结算清单'!$B218&lt;&gt;0,'2.报价结算清单'!C218&lt;&gt;0),'2.报价结算清单'!C218,"")</f>
        <v/>
      </c>
      <c r="D115" s="78" t="str">
        <f>IF(AND('2.报价结算清单'!$P218&gt;0,'2.报价结算清单'!$B218&lt;&gt;0,'2.报价结算清单'!D218&lt;&gt;0),'2.报价结算清单'!D218,"")</f>
        <v/>
      </c>
      <c r="E115" s="78" t="str">
        <f>IF(AND('2.报价结算清单'!$P218&gt;0,'2.报价结算清单'!$B218&lt;&gt;0,'2.报价结算清单'!E218&lt;&gt;0),'2.报价结算清单'!E218,"")</f>
        <v/>
      </c>
      <c r="F115" s="105" t="str">
        <f>_xlfn.IFNA(IF($A115="","",IF(VLOOKUP($A115,'3.框架内物料'!$A:$I,2,0)="","",VLOOKUP($A115,'3.框架内物料'!$A:$I,2,0))),"")</f>
        <v/>
      </c>
      <c r="G115" s="87" t="str">
        <f>IF(AND('2.报价结算清单'!$P218&gt;0,'2.报价结算清单'!$B218&lt;&gt;0,'2.报价结算清单'!H218&lt;&gt;0),'2.报价结算清单'!H218,"")</f>
        <v/>
      </c>
      <c r="H115" s="122" t="str">
        <f>IF(AND('2.报价结算清单'!$P218&gt;0,'2.报价结算清单'!$B218&lt;&gt;0,'2.报价结算清单'!$F218&lt;&gt;0),'2.报价结算清单'!J218,"")</f>
        <v/>
      </c>
      <c r="I115" s="105" t="str">
        <f>IF(AND('2.报价结算清单'!$P218&gt;0,'2.报价结算清单'!$B218&lt;&gt;0,'2.报价结算清单'!$F218&lt;&gt;0),'2.报价结算清单'!L218,"")</f>
        <v/>
      </c>
      <c r="J115" s="105" t="str">
        <f>IF(AND('2.报价结算清单'!$P218&gt;0,'2.报价结算清单'!$B218&lt;&gt;0,'2.报价结算清单'!I218&lt;&gt;0),'2.报价结算清单'!I218,"")</f>
        <v/>
      </c>
      <c r="K115" s="105" t="str">
        <f>IF(AND('2.报价结算清单'!$P218&gt;0,'2.报价结算清单'!$B218&lt;&gt;0,'2.报价结算清单'!$F218&lt;&gt;0),'2.报价结算清单'!N218,"")</f>
        <v/>
      </c>
      <c r="L115" s="105" t="str">
        <f>IF(AND('2.报价结算清单'!$P218&gt;0,'2.报价结算清单'!$B218&lt;&gt;0,'2.报价结算清单'!I218&lt;&gt;0),"天","")</f>
        <v/>
      </c>
      <c r="M115" s="80" t="str">
        <f t="shared" si="6"/>
        <v/>
      </c>
      <c r="N115" s="78" t="str">
        <f t="shared" si="7"/>
        <v/>
      </c>
      <c r="O115" s="78" t="str">
        <f>IF(AND('2.报价结算清单'!$P218&gt;0,'2.报价结算清单'!$B218&lt;&gt;0,'2.报价结算清单'!S218&lt;&gt;0),'2.报价结算清单'!S218,"")</f>
        <v/>
      </c>
      <c r="P115" s="78" t="str">
        <f>IF(AND('2.报价结算清单'!$P218&gt;0,'2.报价结算清单'!$B218&lt;&gt;0,'2.报价结算清单'!T218&lt;&gt;0),'2.报价结算清单'!T218,"")</f>
        <v/>
      </c>
      <c r="Q115" s="78" t="str">
        <f>IF(F115="",J115,VLOOKUP(F115,框架条目清单!A:K,4,FALSE))</f>
        <v/>
      </c>
      <c r="R115" s="106" t="str">
        <f>IF($A115="","",'2.报价结算清单'!$K$183)</f>
        <v/>
      </c>
      <c r="S115" s="80" t="str">
        <f>IF($A115="","",'2.报价结算清单'!$E$183)</f>
        <v/>
      </c>
      <c r="T115" s="78" t="str">
        <f>IF(F115="","",VLOOKUP(F115,框架条目清单!A:K,7,FALSE))</f>
        <v/>
      </c>
      <c r="U115" s="78" t="str">
        <f>IF(F115="","",VLOOKUP(F115,框架条目清单!A:K,8,FALSE))</f>
        <v/>
      </c>
      <c r="V115" s="78" t="str">
        <f>IF(F115="","",VLOOKUP(F115,框架条目清单!A:K,9,FALSE))</f>
        <v/>
      </c>
    </row>
    <row r="116" spans="1:22">
      <c r="A116" s="78" t="str">
        <f>IF(AND('2.报价结算清单'!$P219&gt;0,'2.报价结算清单'!$B219&lt;&gt;0,'2.报价结算清单'!$F219&lt;&gt;0),'2.报价结算清单'!$F219,"")</f>
        <v/>
      </c>
      <c r="B116" s="78" t="str">
        <f>_xlfn.IFNA(VLOOKUP(A116,'3.框架内物料'!$A:$I,3,0),A116)</f>
        <v/>
      </c>
      <c r="C116" s="78" t="str">
        <f>IF(AND('2.报价结算清单'!$P219&gt;0,'2.报价结算清单'!$B219&lt;&gt;0,'2.报价结算清单'!C219&lt;&gt;0),'2.报价结算清单'!C219,"")</f>
        <v/>
      </c>
      <c r="D116" s="78" t="str">
        <f>IF(AND('2.报价结算清单'!$P219&gt;0,'2.报价结算清单'!$B219&lt;&gt;0,'2.报价结算清单'!D219&lt;&gt;0),'2.报价结算清单'!D219,"")</f>
        <v/>
      </c>
      <c r="E116" s="78" t="str">
        <f>IF(AND('2.报价结算清单'!$P219&gt;0,'2.报价结算清单'!$B219&lt;&gt;0,'2.报价结算清单'!E219&lt;&gt;0),'2.报价结算清单'!E219,"")</f>
        <v/>
      </c>
      <c r="F116" s="105" t="str">
        <f>_xlfn.IFNA(IF($A116="","",IF(VLOOKUP($A116,'3.框架内物料'!$A:$I,2,0)="","",VLOOKUP($A116,'3.框架内物料'!$A:$I,2,0))),"")</f>
        <v/>
      </c>
      <c r="G116" s="87" t="str">
        <f>IF(AND('2.报价结算清单'!$P219&gt;0,'2.报价结算清单'!$B219&lt;&gt;0,'2.报价结算清单'!H219&lt;&gt;0),'2.报价结算清单'!H219,"")</f>
        <v/>
      </c>
      <c r="H116" s="122" t="str">
        <f>IF(AND('2.报价结算清单'!$P219&gt;0,'2.报价结算清单'!$B219&lt;&gt;0,'2.报价结算清单'!$F219&lt;&gt;0),'2.报价结算清单'!J219,"")</f>
        <v/>
      </c>
      <c r="I116" s="105" t="str">
        <f>IF(AND('2.报价结算清单'!$P219&gt;0,'2.报价结算清单'!$B219&lt;&gt;0,'2.报价结算清单'!$F219&lt;&gt;0),'2.报价结算清单'!L219,"")</f>
        <v/>
      </c>
      <c r="J116" s="105" t="str">
        <f>IF(AND('2.报价结算清单'!$P219&gt;0,'2.报价结算清单'!$B219&lt;&gt;0,'2.报价结算清单'!I219&lt;&gt;0),'2.报价结算清单'!I219,"")</f>
        <v/>
      </c>
      <c r="K116" s="105" t="str">
        <f>IF(AND('2.报价结算清单'!$P219&gt;0,'2.报价结算清单'!$B219&lt;&gt;0,'2.报价结算清单'!$F219&lt;&gt;0),'2.报价结算清单'!N219,"")</f>
        <v/>
      </c>
      <c r="L116" s="105" t="str">
        <f>IF(AND('2.报价结算清单'!$P219&gt;0,'2.报价结算清单'!$B219&lt;&gt;0,'2.报价结算清单'!I219&lt;&gt;0),"天","")</f>
        <v/>
      </c>
      <c r="M116" s="80" t="str">
        <f t="shared" si="6"/>
        <v/>
      </c>
      <c r="N116" s="78" t="str">
        <f t="shared" si="7"/>
        <v/>
      </c>
      <c r="O116" s="78" t="str">
        <f>IF(AND('2.报价结算清单'!$P219&gt;0,'2.报价结算清单'!$B219&lt;&gt;0,'2.报价结算清单'!S219&lt;&gt;0),'2.报价结算清单'!S219,"")</f>
        <v/>
      </c>
      <c r="P116" s="78" t="str">
        <f>IF(AND('2.报价结算清单'!$P219&gt;0,'2.报价结算清单'!$B219&lt;&gt;0,'2.报价结算清单'!T219&lt;&gt;0),'2.报价结算清单'!T219,"")</f>
        <v/>
      </c>
      <c r="Q116" s="78" t="str">
        <f>IF(F116="",J116,VLOOKUP(F116,框架条目清单!A:K,4,FALSE))</f>
        <v/>
      </c>
      <c r="R116" s="106" t="str">
        <f>IF($A116="","",'2.报价结算清单'!$K$183)</f>
        <v/>
      </c>
      <c r="S116" s="80" t="str">
        <f>IF($A116="","",'2.报价结算清单'!$E$183)</f>
        <v/>
      </c>
      <c r="T116" s="78" t="str">
        <f>IF(F116="","",VLOOKUP(F116,框架条目清单!A:K,7,FALSE))</f>
        <v/>
      </c>
      <c r="U116" s="78" t="str">
        <f>IF(F116="","",VLOOKUP(F116,框架条目清单!A:K,8,FALSE))</f>
        <v/>
      </c>
      <c r="V116" s="78" t="str">
        <f>IF(F116="","",VLOOKUP(F116,框架条目清单!A:K,9,FALSE))</f>
        <v/>
      </c>
    </row>
    <row r="117" spans="1:22">
      <c r="A117" s="78" t="str">
        <f>IF(AND('2.报价结算清单'!$P220&gt;0,'2.报价结算清单'!$B220&lt;&gt;0,'2.报价结算清单'!$F220&lt;&gt;0),'2.报价结算清单'!$F220,"")</f>
        <v/>
      </c>
      <c r="B117" s="78" t="str">
        <f>_xlfn.IFNA(VLOOKUP(A117,'3.框架内物料'!$A:$I,3,0),A117)</f>
        <v/>
      </c>
      <c r="C117" s="78" t="str">
        <f>IF(AND('2.报价结算清单'!$P220&gt;0,'2.报价结算清单'!$B220&lt;&gt;0,'2.报价结算清单'!C220&lt;&gt;0),'2.报价结算清单'!C220,"")</f>
        <v/>
      </c>
      <c r="D117" s="78" t="str">
        <f>IF(AND('2.报价结算清单'!$P220&gt;0,'2.报价结算清单'!$B220&lt;&gt;0,'2.报价结算清单'!D220&lt;&gt;0),'2.报价结算清单'!D220,"")</f>
        <v/>
      </c>
      <c r="E117" s="78" t="str">
        <f>IF(AND('2.报价结算清单'!$P220&gt;0,'2.报价结算清单'!$B220&lt;&gt;0,'2.报价结算清单'!E220&lt;&gt;0),'2.报价结算清单'!E220,"")</f>
        <v/>
      </c>
      <c r="F117" s="105" t="str">
        <f>_xlfn.IFNA(IF($A117="","",IF(VLOOKUP($A117,'3.框架内物料'!$A:$I,2,0)="","",VLOOKUP($A117,'3.框架内物料'!$A:$I,2,0))),"")</f>
        <v/>
      </c>
      <c r="G117" s="87" t="str">
        <f>IF(AND('2.报价结算清单'!$P220&gt;0,'2.报价结算清单'!$B220&lt;&gt;0,'2.报价结算清单'!H220&lt;&gt;0),'2.报价结算清单'!H220,"")</f>
        <v/>
      </c>
      <c r="H117" s="122" t="str">
        <f>IF(AND('2.报价结算清单'!$P220&gt;0,'2.报价结算清单'!$B220&lt;&gt;0,'2.报价结算清单'!$F220&lt;&gt;0),'2.报价结算清单'!J220,"")</f>
        <v/>
      </c>
      <c r="I117" s="105" t="str">
        <f>IF(AND('2.报价结算清单'!$P220&gt;0,'2.报价结算清单'!$B220&lt;&gt;0,'2.报价结算清单'!$F220&lt;&gt;0),'2.报价结算清单'!L220,"")</f>
        <v/>
      </c>
      <c r="J117" s="105" t="str">
        <f>IF(AND('2.报价结算清单'!$P220&gt;0,'2.报价结算清单'!$B220&lt;&gt;0,'2.报价结算清单'!I220&lt;&gt;0),'2.报价结算清单'!I220,"")</f>
        <v/>
      </c>
      <c r="K117" s="105" t="str">
        <f>IF(AND('2.报价结算清单'!$P220&gt;0,'2.报价结算清单'!$B220&lt;&gt;0,'2.报价结算清单'!$F220&lt;&gt;0),'2.报价结算清单'!N220,"")</f>
        <v/>
      </c>
      <c r="L117" s="105" t="str">
        <f>IF(AND('2.报价结算清单'!$P220&gt;0,'2.报价结算清单'!$B220&lt;&gt;0,'2.报价结算清单'!I220&lt;&gt;0),"天","")</f>
        <v/>
      </c>
      <c r="M117" s="80" t="str">
        <f t="shared" si="6"/>
        <v/>
      </c>
      <c r="N117" s="78" t="str">
        <f t="shared" si="7"/>
        <v/>
      </c>
      <c r="O117" s="78" t="str">
        <f>IF(AND('2.报价结算清单'!$P220&gt;0,'2.报价结算清单'!$B220&lt;&gt;0,'2.报价结算清单'!S220&lt;&gt;0),'2.报价结算清单'!S220,"")</f>
        <v/>
      </c>
      <c r="P117" s="78" t="str">
        <f>IF(AND('2.报价结算清单'!$P220&gt;0,'2.报价结算清单'!$B220&lt;&gt;0,'2.报价结算清单'!T220&lt;&gt;0),'2.报价结算清单'!T220,"")</f>
        <v/>
      </c>
      <c r="Q117" s="78" t="str">
        <f>IF(F117="",J117,VLOOKUP(F117,框架条目清单!A:K,4,FALSE))</f>
        <v/>
      </c>
      <c r="R117" s="106" t="str">
        <f>IF($A117="","",'2.报价结算清单'!$K$183)</f>
        <v/>
      </c>
      <c r="S117" s="80" t="str">
        <f>IF($A117="","",'2.报价结算清单'!$E$183)</f>
        <v/>
      </c>
      <c r="T117" s="78" t="str">
        <f>IF(F117="","",VLOOKUP(F117,框架条目清单!A:K,7,FALSE))</f>
        <v/>
      </c>
      <c r="U117" s="78" t="str">
        <f>IF(F117="","",VLOOKUP(F117,框架条目清单!A:K,8,FALSE))</f>
        <v/>
      </c>
      <c r="V117" s="78" t="str">
        <f>IF(F117="","",VLOOKUP(F117,框架条目清单!A:K,9,FALSE))</f>
        <v/>
      </c>
    </row>
    <row r="118" spans="1:22">
      <c r="A118" s="78" t="str">
        <f>IF(AND('2.报价结算清单'!$P221&gt;0,'2.报价结算清单'!$B221&lt;&gt;0,'2.报价结算清单'!$F221&lt;&gt;0),'2.报价结算清单'!$F221,"")</f>
        <v/>
      </c>
      <c r="B118" s="78" t="str">
        <f>_xlfn.IFNA(VLOOKUP(A118,'3.框架内物料'!$A:$I,3,0),A118)</f>
        <v/>
      </c>
      <c r="C118" s="78" t="str">
        <f>IF(AND('2.报价结算清单'!$P221&gt;0,'2.报价结算清单'!$B221&lt;&gt;0,'2.报价结算清单'!C221&lt;&gt;0),'2.报价结算清单'!C221,"")</f>
        <v/>
      </c>
      <c r="D118" s="78" t="str">
        <f>IF(AND('2.报价结算清单'!$P221&gt;0,'2.报价结算清单'!$B221&lt;&gt;0,'2.报价结算清单'!D221&lt;&gt;0),'2.报价结算清单'!D221,"")</f>
        <v/>
      </c>
      <c r="E118" s="78" t="str">
        <f>IF(AND('2.报价结算清单'!$P221&gt;0,'2.报价结算清单'!$B221&lt;&gt;0,'2.报价结算清单'!E221&lt;&gt;0),'2.报价结算清单'!E221,"")</f>
        <v/>
      </c>
      <c r="F118" s="105" t="str">
        <f>_xlfn.IFNA(IF($A118="","",IF(VLOOKUP($A118,'3.框架内物料'!$A:$I,2,0)="","",VLOOKUP($A118,'3.框架内物料'!$A:$I,2,0))),"")</f>
        <v/>
      </c>
      <c r="G118" s="87" t="str">
        <f>IF(AND('2.报价结算清单'!$P221&gt;0,'2.报价结算清单'!$B221&lt;&gt;0,'2.报价结算清单'!H221&lt;&gt;0),'2.报价结算清单'!H221,"")</f>
        <v/>
      </c>
      <c r="H118" s="122" t="str">
        <f>IF(AND('2.报价结算清单'!$P221&gt;0,'2.报价结算清单'!$B221&lt;&gt;0,'2.报价结算清单'!$F221&lt;&gt;0),'2.报价结算清单'!J221,"")</f>
        <v/>
      </c>
      <c r="I118" s="105" t="str">
        <f>IF(AND('2.报价结算清单'!$P221&gt;0,'2.报价结算清单'!$B221&lt;&gt;0,'2.报价结算清单'!$F221&lt;&gt;0),'2.报价结算清单'!L221,"")</f>
        <v/>
      </c>
      <c r="J118" s="105" t="str">
        <f>IF(AND('2.报价结算清单'!$P221&gt;0,'2.报价结算清单'!$B221&lt;&gt;0,'2.报价结算清单'!I221&lt;&gt;0),'2.报价结算清单'!I221,"")</f>
        <v/>
      </c>
      <c r="K118" s="105" t="str">
        <f>IF(AND('2.报价结算清单'!$P221&gt;0,'2.报价结算清单'!$B221&lt;&gt;0,'2.报价结算清单'!$F221&lt;&gt;0),'2.报价结算清单'!N221,"")</f>
        <v/>
      </c>
      <c r="L118" s="105" t="str">
        <f>IF(AND('2.报价结算清单'!$P221&gt;0,'2.报价结算清单'!$B221&lt;&gt;0,'2.报价结算清单'!I221&lt;&gt;0),"天","")</f>
        <v/>
      </c>
      <c r="M118" s="80" t="str">
        <f t="shared" si="6"/>
        <v/>
      </c>
      <c r="N118" s="78" t="str">
        <f t="shared" si="7"/>
        <v/>
      </c>
      <c r="O118" s="78" t="str">
        <f>IF(AND('2.报价结算清单'!$P221&gt;0,'2.报价结算清单'!$B221&lt;&gt;0,'2.报价结算清单'!S221&lt;&gt;0),'2.报价结算清单'!S221,"")</f>
        <v/>
      </c>
      <c r="P118" s="78" t="str">
        <f>IF(AND('2.报价结算清单'!$P221&gt;0,'2.报价结算清单'!$B221&lt;&gt;0,'2.报价结算清单'!T221&lt;&gt;0),'2.报价结算清单'!T221,"")</f>
        <v/>
      </c>
      <c r="Q118" s="78" t="str">
        <f>IF(F118="",J118,VLOOKUP(F118,框架条目清单!A:K,4,FALSE))</f>
        <v/>
      </c>
      <c r="R118" s="106" t="str">
        <f>IF($A118="","",'2.报价结算清单'!$K$183)</f>
        <v/>
      </c>
      <c r="S118" s="80" t="str">
        <f>IF($A118="","",'2.报价结算清单'!$E$183)</f>
        <v/>
      </c>
      <c r="T118" s="78" t="str">
        <f>IF(F118="","",VLOOKUP(F118,框架条目清单!A:K,7,FALSE))</f>
        <v/>
      </c>
      <c r="U118" s="78" t="str">
        <f>IF(F118="","",VLOOKUP(F118,框架条目清单!A:K,8,FALSE))</f>
        <v/>
      </c>
      <c r="V118" s="78" t="str">
        <f>IF(F118="","",VLOOKUP(F118,框架条目清单!A:K,9,FALSE))</f>
        <v/>
      </c>
    </row>
    <row r="119" spans="1:22">
      <c r="A119" s="78" t="str">
        <f>IF(AND('2.报价结算清单'!$P222&gt;0,'2.报价结算清单'!$B222&lt;&gt;0,'2.报价结算清单'!$F222&lt;&gt;0),'2.报价结算清单'!$F222,"")</f>
        <v/>
      </c>
      <c r="B119" s="78" t="str">
        <f>_xlfn.IFNA(VLOOKUP(A119,'3.框架内物料'!$A:$I,3,0),A119)</f>
        <v/>
      </c>
      <c r="C119" s="78" t="str">
        <f>IF(AND('2.报价结算清单'!$P222&gt;0,'2.报价结算清单'!$B222&lt;&gt;0,'2.报价结算清单'!C222&lt;&gt;0),'2.报价结算清单'!C222,"")</f>
        <v/>
      </c>
      <c r="D119" s="78" t="str">
        <f>IF(AND('2.报价结算清单'!$P222&gt;0,'2.报价结算清单'!$B222&lt;&gt;0,'2.报价结算清单'!D222&lt;&gt;0),'2.报价结算清单'!D222,"")</f>
        <v/>
      </c>
      <c r="E119" s="78" t="str">
        <f>IF(AND('2.报价结算清单'!$P222&gt;0,'2.报价结算清单'!$B222&lt;&gt;0,'2.报价结算清单'!E222&lt;&gt;0),'2.报价结算清单'!E222,"")</f>
        <v/>
      </c>
      <c r="F119" s="105" t="str">
        <f>_xlfn.IFNA(IF($A119="","",IF(VLOOKUP($A119,'3.框架内物料'!$A:$I,2,0)="","",VLOOKUP($A119,'3.框架内物料'!$A:$I,2,0))),"")</f>
        <v/>
      </c>
      <c r="G119" s="87" t="str">
        <f>IF(AND('2.报价结算清单'!$P222&gt;0,'2.报价结算清单'!$B222&lt;&gt;0,'2.报价结算清单'!H222&lt;&gt;0),'2.报价结算清单'!H222,"")</f>
        <v/>
      </c>
      <c r="H119" s="122" t="str">
        <f>IF(AND('2.报价结算清单'!$P222&gt;0,'2.报价结算清单'!$B222&lt;&gt;0,'2.报价结算清单'!$F222&lt;&gt;0),'2.报价结算清单'!J222,"")</f>
        <v/>
      </c>
      <c r="I119" s="105" t="str">
        <f>IF(AND('2.报价结算清单'!$P222&gt;0,'2.报价结算清单'!$B222&lt;&gt;0,'2.报价结算清单'!$F222&lt;&gt;0),'2.报价结算清单'!L222,"")</f>
        <v/>
      </c>
      <c r="J119" s="105" t="str">
        <f>IF(AND('2.报价结算清单'!$P222&gt;0,'2.报价结算清单'!$B222&lt;&gt;0,'2.报价结算清单'!I222&lt;&gt;0),'2.报价结算清单'!I222,"")</f>
        <v/>
      </c>
      <c r="K119" s="105" t="str">
        <f>IF(AND('2.报价结算清单'!$P222&gt;0,'2.报价结算清单'!$B222&lt;&gt;0,'2.报价结算清单'!$F222&lt;&gt;0),'2.报价结算清单'!N222,"")</f>
        <v/>
      </c>
      <c r="L119" s="105" t="str">
        <f>IF(AND('2.报价结算清单'!$P222&gt;0,'2.报价结算清单'!$B222&lt;&gt;0,'2.报价结算清单'!I222&lt;&gt;0),"天","")</f>
        <v/>
      </c>
      <c r="M119" s="80" t="str">
        <f t="shared" si="6"/>
        <v/>
      </c>
      <c r="N119" s="78" t="str">
        <f t="shared" si="7"/>
        <v/>
      </c>
      <c r="O119" s="78" t="str">
        <f>IF(AND('2.报价结算清单'!$P222&gt;0,'2.报价结算清单'!$B222&lt;&gt;0,'2.报价结算清单'!S222&lt;&gt;0),'2.报价结算清单'!S222,"")</f>
        <v/>
      </c>
      <c r="P119" s="78" t="str">
        <f>IF(AND('2.报价结算清单'!$P222&gt;0,'2.报价结算清单'!$B222&lt;&gt;0,'2.报价结算清单'!T222&lt;&gt;0),'2.报价结算清单'!T222,"")</f>
        <v/>
      </c>
      <c r="Q119" s="78" t="str">
        <f>IF(F119="",J119,VLOOKUP(F119,框架条目清单!A:K,4,FALSE))</f>
        <v/>
      </c>
      <c r="R119" s="106" t="str">
        <f>IF($A119="","",'2.报价结算清单'!$K$183)</f>
        <v/>
      </c>
      <c r="S119" s="80" t="str">
        <f>IF($A119="","",'2.报价结算清单'!$E$183)</f>
        <v/>
      </c>
      <c r="T119" s="78" t="str">
        <f>IF(F119="","",VLOOKUP(F119,框架条目清单!A:K,7,FALSE))</f>
        <v/>
      </c>
      <c r="U119" s="78" t="str">
        <f>IF(F119="","",VLOOKUP(F119,框架条目清单!A:K,8,FALSE))</f>
        <v/>
      </c>
      <c r="V119" s="78" t="str">
        <f>IF(F119="","",VLOOKUP(F119,框架条目清单!A:K,9,FALSE))</f>
        <v/>
      </c>
    </row>
    <row r="120" spans="1:22">
      <c r="A120" s="78" t="str">
        <f>IF(AND('2.报价结算清单'!$P223&gt;0,'2.报价结算清单'!$B223&lt;&gt;0,'2.报价结算清单'!$F223&lt;&gt;0),'2.报价结算清单'!$F223,"")</f>
        <v/>
      </c>
      <c r="B120" s="78" t="str">
        <f>_xlfn.IFNA(VLOOKUP(A120,'3.框架内物料'!$A:$I,3,0),A120)</f>
        <v/>
      </c>
      <c r="C120" s="78" t="str">
        <f>IF(AND('2.报价结算清单'!$P223&gt;0,'2.报价结算清单'!$B223&lt;&gt;0,'2.报价结算清单'!C223&lt;&gt;0),'2.报价结算清单'!C223,"")</f>
        <v/>
      </c>
      <c r="D120" s="78" t="str">
        <f>IF(AND('2.报价结算清单'!$P223&gt;0,'2.报价结算清单'!$B223&lt;&gt;0,'2.报价结算清单'!D223&lt;&gt;0),'2.报价结算清单'!D223,"")</f>
        <v/>
      </c>
      <c r="E120" s="78" t="str">
        <f>IF(AND('2.报价结算清单'!$P223&gt;0,'2.报价结算清单'!$B223&lt;&gt;0,'2.报价结算清单'!E223&lt;&gt;0),'2.报价结算清单'!E223,"")</f>
        <v/>
      </c>
      <c r="F120" s="105" t="str">
        <f>_xlfn.IFNA(IF($A120="","",IF(VLOOKUP($A120,'3.框架内物料'!$A:$I,2,0)="","",VLOOKUP($A120,'3.框架内物料'!$A:$I,2,0))),"")</f>
        <v/>
      </c>
      <c r="G120" s="87" t="str">
        <f>IF(AND('2.报价结算清单'!$P223&gt;0,'2.报价结算清单'!$B223&lt;&gt;0,'2.报价结算清单'!H223&lt;&gt;0),'2.报价结算清单'!H223,"")</f>
        <v/>
      </c>
      <c r="H120" s="122" t="str">
        <f>IF(AND('2.报价结算清单'!$P223&gt;0,'2.报价结算清单'!$B223&lt;&gt;0,'2.报价结算清单'!$F223&lt;&gt;0),'2.报价结算清单'!J223,"")</f>
        <v/>
      </c>
      <c r="I120" s="105" t="str">
        <f>IF(AND('2.报价结算清单'!$P223&gt;0,'2.报价结算清单'!$B223&lt;&gt;0,'2.报价结算清单'!$F223&lt;&gt;0),'2.报价结算清单'!L223,"")</f>
        <v/>
      </c>
      <c r="J120" s="105" t="str">
        <f>IF(AND('2.报价结算清单'!$P223&gt;0,'2.报价结算清单'!$B223&lt;&gt;0,'2.报价结算清单'!I223&lt;&gt;0),'2.报价结算清单'!I223,"")</f>
        <v/>
      </c>
      <c r="K120" s="105" t="str">
        <f>IF(AND('2.报价结算清单'!$P223&gt;0,'2.报价结算清单'!$B223&lt;&gt;0,'2.报价结算清单'!$F223&lt;&gt;0),'2.报价结算清单'!N223,"")</f>
        <v/>
      </c>
      <c r="L120" s="105" t="str">
        <f>IF(AND('2.报价结算清单'!$P223&gt;0,'2.报价结算清单'!$B223&lt;&gt;0,'2.报价结算清单'!I223&lt;&gt;0),"天","")</f>
        <v/>
      </c>
      <c r="M120" s="80" t="str">
        <f t="shared" si="6"/>
        <v/>
      </c>
      <c r="N120" s="78" t="str">
        <f t="shared" si="7"/>
        <v/>
      </c>
      <c r="O120" s="78" t="str">
        <f>IF(AND('2.报价结算清单'!$P223&gt;0,'2.报价结算清单'!$B223&lt;&gt;0,'2.报价结算清单'!S223&lt;&gt;0),'2.报价结算清单'!S223,"")</f>
        <v/>
      </c>
      <c r="P120" s="78" t="str">
        <f>IF(AND('2.报价结算清单'!$P223&gt;0,'2.报价结算清单'!$B223&lt;&gt;0,'2.报价结算清单'!T223&lt;&gt;0),'2.报价结算清单'!T223,"")</f>
        <v/>
      </c>
      <c r="Q120" s="78" t="str">
        <f>IF(F120="",J120,VLOOKUP(F120,框架条目清单!A:K,4,FALSE))</f>
        <v/>
      </c>
      <c r="R120" s="106" t="str">
        <f>IF($A120="","",'2.报价结算清单'!$K$183)</f>
        <v/>
      </c>
      <c r="S120" s="80" t="str">
        <f>IF($A120="","",'2.报价结算清单'!$E$183)</f>
        <v/>
      </c>
      <c r="T120" s="78" t="str">
        <f>IF(F120="","",VLOOKUP(F120,框架条目清单!A:K,7,FALSE))</f>
        <v/>
      </c>
      <c r="U120" s="78" t="str">
        <f>IF(F120="","",VLOOKUP(F120,框架条目清单!A:K,8,FALSE))</f>
        <v/>
      </c>
      <c r="V120" s="78" t="str">
        <f>IF(F120="","",VLOOKUP(F120,框架条目清单!A:K,9,FALSE))</f>
        <v/>
      </c>
    </row>
    <row r="121" spans="1:22">
      <c r="A121" s="78" t="str">
        <f>IF(AND('2.报价结算清单'!$P224&gt;0,'2.报价结算清单'!$B224&lt;&gt;0,'2.报价结算清单'!$F224&lt;&gt;0),'2.报价结算清单'!$F224,"")</f>
        <v/>
      </c>
      <c r="B121" s="78" t="str">
        <f>_xlfn.IFNA(VLOOKUP(A121,'3.框架内物料'!$A:$I,3,0),A121)</f>
        <v/>
      </c>
      <c r="C121" s="78" t="str">
        <f>IF(AND('2.报价结算清单'!$P224&gt;0,'2.报价结算清单'!$B224&lt;&gt;0,'2.报价结算清单'!C224&lt;&gt;0),'2.报价结算清单'!C224,"")</f>
        <v/>
      </c>
      <c r="D121" s="78" t="str">
        <f>IF(AND('2.报价结算清单'!$P224&gt;0,'2.报价结算清单'!$B224&lt;&gt;0,'2.报价结算清单'!D224&lt;&gt;0),'2.报价结算清单'!D224,"")</f>
        <v/>
      </c>
      <c r="E121" s="78" t="str">
        <f>IF(AND('2.报价结算清单'!$P224&gt;0,'2.报价结算清单'!$B224&lt;&gt;0,'2.报价结算清单'!E224&lt;&gt;0),'2.报价结算清单'!E224,"")</f>
        <v/>
      </c>
      <c r="F121" s="105" t="str">
        <f>_xlfn.IFNA(IF($A121="","",IF(VLOOKUP($A121,'3.框架内物料'!$A:$I,2,0)="","",VLOOKUP($A121,'3.框架内物料'!$A:$I,2,0))),"")</f>
        <v/>
      </c>
      <c r="G121" s="87" t="str">
        <f>IF(AND('2.报价结算清单'!$P224&gt;0,'2.报价结算清单'!$B224&lt;&gt;0,'2.报价结算清单'!H224&lt;&gt;0),'2.报价结算清单'!H224,"")</f>
        <v/>
      </c>
      <c r="H121" s="122" t="str">
        <f>IF(AND('2.报价结算清单'!$P224&gt;0,'2.报价结算清单'!$B224&lt;&gt;0,'2.报价结算清单'!$F224&lt;&gt;0),'2.报价结算清单'!J224,"")</f>
        <v/>
      </c>
      <c r="I121" s="105" t="str">
        <f>IF(AND('2.报价结算清单'!$P224&gt;0,'2.报价结算清单'!$B224&lt;&gt;0,'2.报价结算清单'!$F224&lt;&gt;0),'2.报价结算清单'!L224,"")</f>
        <v/>
      </c>
      <c r="J121" s="105" t="str">
        <f>IF(AND('2.报价结算清单'!$P224&gt;0,'2.报价结算清单'!$B224&lt;&gt;0,'2.报价结算清单'!I224&lt;&gt;0),'2.报价结算清单'!I224,"")</f>
        <v/>
      </c>
      <c r="K121" s="105" t="str">
        <f>IF(AND('2.报价结算清单'!$P224&gt;0,'2.报价结算清单'!$B224&lt;&gt;0,'2.报价结算清单'!$F224&lt;&gt;0),'2.报价结算清单'!N224,"")</f>
        <v/>
      </c>
      <c r="L121" s="105" t="str">
        <f>IF(AND('2.报价结算清单'!$P224&gt;0,'2.报价结算清单'!$B224&lt;&gt;0,'2.报价结算清单'!I224&lt;&gt;0),"天","")</f>
        <v/>
      </c>
      <c r="M121" s="80" t="str">
        <f t="shared" si="6"/>
        <v/>
      </c>
      <c r="N121" s="78" t="str">
        <f t="shared" si="7"/>
        <v/>
      </c>
      <c r="O121" s="78" t="str">
        <f>IF(AND('2.报价结算清单'!$P224&gt;0,'2.报价结算清单'!$B224&lt;&gt;0,'2.报价结算清单'!S224&lt;&gt;0),'2.报价结算清单'!S224,"")</f>
        <v/>
      </c>
      <c r="P121" s="78" t="str">
        <f>IF(AND('2.报价结算清单'!$P224&gt;0,'2.报价结算清单'!$B224&lt;&gt;0,'2.报价结算清单'!T224&lt;&gt;0),'2.报价结算清单'!T224,"")</f>
        <v/>
      </c>
      <c r="Q121" s="78" t="str">
        <f>IF(F121="",J121,VLOOKUP(F121,框架条目清单!A:K,4,FALSE))</f>
        <v/>
      </c>
      <c r="R121" s="106" t="str">
        <f>IF($A121="","",'2.报价结算清单'!$K$183)</f>
        <v/>
      </c>
      <c r="S121" s="80" t="str">
        <f>IF($A121="","",'2.报价结算清单'!$E$183)</f>
        <v/>
      </c>
      <c r="T121" s="78" t="str">
        <f>IF(F121="","",VLOOKUP(F121,框架条目清单!A:K,7,FALSE))</f>
        <v/>
      </c>
      <c r="U121" s="78" t="str">
        <f>IF(F121="","",VLOOKUP(F121,框架条目清单!A:K,8,FALSE))</f>
        <v/>
      </c>
      <c r="V121" s="78" t="str">
        <f>IF(F121="","",VLOOKUP(F121,框架条目清单!A:K,9,FALSE))</f>
        <v/>
      </c>
    </row>
    <row r="122" spans="1:22">
      <c r="A122" s="78" t="str">
        <f>IF(AND('2.报价结算清单'!$P225&gt;0,'2.报价结算清单'!$B225&lt;&gt;0,'2.报价结算清单'!$F225&lt;&gt;0),'2.报价结算清单'!$F225,"")</f>
        <v/>
      </c>
      <c r="B122" s="78" t="str">
        <f>_xlfn.IFNA(VLOOKUP(A122,'3.框架内物料'!$A:$I,3,0),A122)</f>
        <v/>
      </c>
      <c r="C122" s="78" t="str">
        <f>IF(AND('2.报价结算清单'!$P225&gt;0,'2.报价结算清单'!$B225&lt;&gt;0,'2.报价结算清单'!C225&lt;&gt;0),'2.报价结算清单'!C225,"")</f>
        <v/>
      </c>
      <c r="D122" s="78" t="str">
        <f>IF(AND('2.报价结算清单'!$P225&gt;0,'2.报价结算清单'!$B225&lt;&gt;0,'2.报价结算清单'!D225&lt;&gt;0),'2.报价结算清单'!D225,"")</f>
        <v/>
      </c>
      <c r="E122" s="78" t="str">
        <f>IF(AND('2.报价结算清单'!$P225&gt;0,'2.报价结算清单'!$B225&lt;&gt;0,'2.报价结算清单'!E225&lt;&gt;0),'2.报价结算清单'!E225,"")</f>
        <v/>
      </c>
      <c r="F122" s="105" t="str">
        <f>_xlfn.IFNA(IF($A122="","",IF(VLOOKUP($A122,'3.框架内物料'!$A:$I,2,0)="","",VLOOKUP($A122,'3.框架内物料'!$A:$I,2,0))),"")</f>
        <v/>
      </c>
      <c r="G122" s="87" t="str">
        <f>IF(AND('2.报价结算清单'!$P225&gt;0,'2.报价结算清单'!$B225&lt;&gt;0,'2.报价结算清单'!H225&lt;&gt;0),'2.报价结算清单'!H225,"")</f>
        <v/>
      </c>
      <c r="H122" s="122" t="str">
        <f>IF(AND('2.报价结算清单'!$P225&gt;0,'2.报价结算清单'!$B225&lt;&gt;0,'2.报价结算清单'!$F225&lt;&gt;0),'2.报价结算清单'!J225,"")</f>
        <v/>
      </c>
      <c r="I122" s="105" t="str">
        <f>IF(AND('2.报价结算清单'!$P225&gt;0,'2.报价结算清单'!$B225&lt;&gt;0,'2.报价结算清单'!$F225&lt;&gt;0),'2.报价结算清单'!L225,"")</f>
        <v/>
      </c>
      <c r="J122" s="105" t="str">
        <f>IF(AND('2.报价结算清单'!$P225&gt;0,'2.报价结算清单'!$B225&lt;&gt;0,'2.报价结算清单'!I225&lt;&gt;0),'2.报价结算清单'!I225,"")</f>
        <v/>
      </c>
      <c r="K122" s="105" t="str">
        <f>IF(AND('2.报价结算清单'!$P225&gt;0,'2.报价结算清单'!$B225&lt;&gt;0,'2.报价结算清单'!$F225&lt;&gt;0),'2.报价结算清单'!N225,"")</f>
        <v/>
      </c>
      <c r="L122" s="105" t="str">
        <f>IF(AND('2.报价结算清单'!$P225&gt;0,'2.报价结算清单'!$B225&lt;&gt;0,'2.报价结算清单'!I225&lt;&gt;0),"天","")</f>
        <v/>
      </c>
      <c r="M122" s="80" t="str">
        <f t="shared" si="6"/>
        <v/>
      </c>
      <c r="N122" s="78" t="str">
        <f t="shared" si="7"/>
        <v/>
      </c>
      <c r="O122" s="78" t="str">
        <f>IF(AND('2.报价结算清单'!$P225&gt;0,'2.报价结算清单'!$B225&lt;&gt;0,'2.报价结算清单'!S225&lt;&gt;0),'2.报价结算清单'!S225,"")</f>
        <v/>
      </c>
      <c r="P122" s="78" t="str">
        <f>IF(AND('2.报价结算清单'!$P225&gt;0,'2.报价结算清单'!$B225&lt;&gt;0,'2.报价结算清单'!T225&lt;&gt;0),'2.报价结算清单'!T225,"")</f>
        <v/>
      </c>
      <c r="Q122" s="78" t="str">
        <f>IF(F122="",J122,VLOOKUP(F122,框架条目清单!A:K,4,FALSE))</f>
        <v/>
      </c>
      <c r="R122" s="106" t="str">
        <f>IF($A122="","",'2.报价结算清单'!$K$183)</f>
        <v/>
      </c>
      <c r="S122" s="80" t="str">
        <f>IF($A122="","",'2.报价结算清单'!$E$183)</f>
        <v/>
      </c>
      <c r="T122" s="78" t="str">
        <f>IF(F122="","",VLOOKUP(F122,框架条目清单!A:K,7,FALSE))</f>
        <v/>
      </c>
      <c r="U122" s="78" t="str">
        <f>IF(F122="","",VLOOKUP(F122,框架条目清单!A:K,8,FALSE))</f>
        <v/>
      </c>
      <c r="V122" s="78" t="str">
        <f>IF(F122="","",VLOOKUP(F122,框架条目清单!A:K,9,FALSE))</f>
        <v/>
      </c>
    </row>
    <row r="123" spans="1:22">
      <c r="A123" s="78" t="str">
        <f>IF(AND('2.报价结算清单'!$P226&gt;0,'2.报价结算清单'!$B226&lt;&gt;0,'2.报价结算清单'!$F226&lt;&gt;0),'2.报价结算清单'!$F226,"")</f>
        <v/>
      </c>
      <c r="B123" s="78" t="str">
        <f>_xlfn.IFNA(VLOOKUP(A123,'3.框架内物料'!$A:$I,3,0),A123)</f>
        <v/>
      </c>
      <c r="C123" s="78" t="str">
        <f>IF(AND('2.报价结算清单'!$P226&gt;0,'2.报价结算清单'!$B226&lt;&gt;0,'2.报价结算清单'!C226&lt;&gt;0),'2.报价结算清单'!C226,"")</f>
        <v/>
      </c>
      <c r="D123" s="78" t="str">
        <f>IF(AND('2.报价结算清单'!$P226&gt;0,'2.报价结算清单'!$B226&lt;&gt;0,'2.报价结算清单'!D226&lt;&gt;0),'2.报价结算清单'!D226,"")</f>
        <v/>
      </c>
      <c r="E123" s="78" t="str">
        <f>IF(AND('2.报价结算清单'!$P226&gt;0,'2.报价结算清单'!$B226&lt;&gt;0,'2.报价结算清单'!E226&lt;&gt;0),'2.报价结算清单'!E226,"")</f>
        <v/>
      </c>
      <c r="F123" s="105" t="str">
        <f>_xlfn.IFNA(IF($A123="","",IF(VLOOKUP($A123,'3.框架内物料'!$A:$I,2,0)="","",VLOOKUP($A123,'3.框架内物料'!$A:$I,2,0))),"")</f>
        <v/>
      </c>
      <c r="G123" s="87" t="str">
        <f>IF(AND('2.报价结算清单'!$P226&gt;0,'2.报价结算清单'!$B226&lt;&gt;0,'2.报价结算清单'!H226&lt;&gt;0),'2.报价结算清单'!H226,"")</f>
        <v/>
      </c>
      <c r="H123" s="122" t="str">
        <f>IF(AND('2.报价结算清单'!$P226&gt;0,'2.报价结算清单'!$B226&lt;&gt;0,'2.报价结算清单'!$F226&lt;&gt;0),'2.报价结算清单'!J226,"")</f>
        <v/>
      </c>
      <c r="I123" s="105" t="str">
        <f>IF(AND('2.报价结算清单'!$P226&gt;0,'2.报价结算清单'!$B226&lt;&gt;0,'2.报价结算清单'!$F226&lt;&gt;0),'2.报价结算清单'!L226,"")</f>
        <v/>
      </c>
      <c r="J123" s="105" t="str">
        <f>IF(AND('2.报价结算清单'!$P226&gt;0,'2.报价结算清单'!$B226&lt;&gt;0,'2.报价结算清单'!I226&lt;&gt;0),'2.报价结算清单'!I226,"")</f>
        <v/>
      </c>
      <c r="K123" s="105" t="str">
        <f>IF(AND('2.报价结算清单'!$P226&gt;0,'2.报价结算清单'!$B226&lt;&gt;0,'2.报价结算清单'!$F226&lt;&gt;0),'2.报价结算清单'!N226,"")</f>
        <v/>
      </c>
      <c r="L123" s="105" t="str">
        <f>IF(AND('2.报价结算清单'!$P226&gt;0,'2.报价结算清单'!$B226&lt;&gt;0,'2.报价结算清单'!I226&lt;&gt;0),"天","")</f>
        <v/>
      </c>
      <c r="M123" s="80" t="str">
        <f t="shared" si="6"/>
        <v/>
      </c>
      <c r="N123" s="78" t="str">
        <f t="shared" si="7"/>
        <v/>
      </c>
      <c r="O123" s="78" t="str">
        <f>IF(AND('2.报价结算清单'!$P226&gt;0,'2.报价结算清单'!$B226&lt;&gt;0,'2.报价结算清单'!S226&lt;&gt;0),'2.报价结算清单'!S226,"")</f>
        <v/>
      </c>
      <c r="P123" s="78" t="str">
        <f>IF(AND('2.报价结算清单'!$P226&gt;0,'2.报价结算清单'!$B226&lt;&gt;0,'2.报价结算清单'!T226&lt;&gt;0),'2.报价结算清单'!T226,"")</f>
        <v/>
      </c>
      <c r="Q123" s="78" t="str">
        <f>IF(F123="",J123,VLOOKUP(F123,框架条目清单!A:K,4,FALSE))</f>
        <v/>
      </c>
      <c r="R123" s="106" t="str">
        <f>IF($A123="","",'2.报价结算清单'!$K$183)</f>
        <v/>
      </c>
      <c r="S123" s="80" t="str">
        <f>IF($A123="","",'2.报价结算清单'!$E$183)</f>
        <v/>
      </c>
      <c r="T123" s="78" t="str">
        <f>IF(F123="","",VLOOKUP(F123,框架条目清单!A:K,7,FALSE))</f>
        <v/>
      </c>
      <c r="U123" s="78" t="str">
        <f>IF(F123="","",VLOOKUP(F123,框架条目清单!A:K,8,FALSE))</f>
        <v/>
      </c>
      <c r="V123" s="78" t="str">
        <f>IF(F123="","",VLOOKUP(F123,框架条目清单!A:K,9,FALSE))</f>
        <v/>
      </c>
    </row>
    <row r="124" spans="1:22">
      <c r="A124" s="78" t="str">
        <f>IF(AND('2.报价结算清单'!$P227&gt;0,'2.报价结算清单'!$B227&lt;&gt;0,'2.报价结算清单'!$F227&lt;&gt;0),'2.报价结算清单'!$F227,"")</f>
        <v/>
      </c>
      <c r="B124" s="78" t="str">
        <f>_xlfn.IFNA(VLOOKUP(A124,'3.框架内物料'!$A:$I,3,0),A124)</f>
        <v/>
      </c>
      <c r="C124" s="78" t="str">
        <f>IF(AND('2.报价结算清单'!$P227&gt;0,'2.报价结算清单'!$B227&lt;&gt;0,'2.报价结算清单'!C227&lt;&gt;0),'2.报价结算清单'!C227,"")</f>
        <v/>
      </c>
      <c r="D124" s="78" t="str">
        <f>IF(AND('2.报价结算清单'!$P227&gt;0,'2.报价结算清单'!$B227&lt;&gt;0,'2.报价结算清单'!D227&lt;&gt;0),'2.报价结算清单'!D227,"")</f>
        <v/>
      </c>
      <c r="E124" s="78" t="str">
        <f>IF(AND('2.报价结算清单'!$P227&gt;0,'2.报价结算清单'!$B227&lt;&gt;0,'2.报价结算清单'!E227&lt;&gt;0),'2.报价结算清单'!E227,"")</f>
        <v/>
      </c>
      <c r="F124" s="105" t="str">
        <f>_xlfn.IFNA(IF($A124="","",IF(VLOOKUP($A124,'3.框架内物料'!$A:$I,2,0)="","",VLOOKUP($A124,'3.框架内物料'!$A:$I,2,0))),"")</f>
        <v/>
      </c>
      <c r="G124" s="87" t="str">
        <f>IF(AND('2.报价结算清单'!$P227&gt;0,'2.报价结算清单'!$B227&lt;&gt;0,'2.报价结算清单'!H227&lt;&gt;0),'2.报价结算清单'!H227,"")</f>
        <v/>
      </c>
      <c r="H124" s="122" t="str">
        <f>IF(AND('2.报价结算清单'!$P227&gt;0,'2.报价结算清单'!$B227&lt;&gt;0,'2.报价结算清单'!$F227&lt;&gt;0),'2.报价结算清单'!J227,"")</f>
        <v/>
      </c>
      <c r="I124" s="105" t="str">
        <f>IF(AND('2.报价结算清单'!$P227&gt;0,'2.报价结算清单'!$B227&lt;&gt;0,'2.报价结算清单'!$F227&lt;&gt;0),'2.报价结算清单'!L227,"")</f>
        <v/>
      </c>
      <c r="J124" s="105" t="str">
        <f>IF(AND('2.报价结算清单'!$P227&gt;0,'2.报价结算清单'!$B227&lt;&gt;0,'2.报价结算清单'!I227&lt;&gt;0),'2.报价结算清单'!I227,"")</f>
        <v/>
      </c>
      <c r="K124" s="105" t="str">
        <f>IF(AND('2.报价结算清单'!$P227&gt;0,'2.报价结算清单'!$B227&lt;&gt;0,'2.报价结算清单'!$F227&lt;&gt;0),'2.报价结算清单'!N227,"")</f>
        <v/>
      </c>
      <c r="L124" s="105" t="str">
        <f>IF(AND('2.报价结算清单'!$P227&gt;0,'2.报价结算清单'!$B227&lt;&gt;0,'2.报价结算清单'!I227&lt;&gt;0),"天","")</f>
        <v/>
      </c>
      <c r="M124" s="80" t="str">
        <f t="shared" si="6"/>
        <v/>
      </c>
      <c r="N124" s="78" t="str">
        <f t="shared" si="7"/>
        <v/>
      </c>
      <c r="O124" s="78" t="str">
        <f>IF(AND('2.报价结算清单'!$P227&gt;0,'2.报价结算清单'!$B227&lt;&gt;0,'2.报价结算清单'!S227&lt;&gt;0),'2.报价结算清单'!S227,"")</f>
        <v/>
      </c>
      <c r="P124" s="78" t="str">
        <f>IF(AND('2.报价结算清单'!$P227&gt;0,'2.报价结算清单'!$B227&lt;&gt;0,'2.报价结算清单'!T227&lt;&gt;0),'2.报价结算清单'!T227,"")</f>
        <v/>
      </c>
      <c r="Q124" s="78" t="str">
        <f>IF(F124="",J124,VLOOKUP(F124,框架条目清单!A:K,4,FALSE))</f>
        <v/>
      </c>
      <c r="R124" s="106" t="str">
        <f>IF($A124="","",'2.报价结算清单'!$K$183)</f>
        <v/>
      </c>
      <c r="S124" s="80" t="str">
        <f>IF($A124="","",'2.报价结算清单'!$E$183)</f>
        <v/>
      </c>
      <c r="T124" s="78" t="str">
        <f>IF(F124="","",VLOOKUP(F124,框架条目清单!A:K,7,FALSE))</f>
        <v/>
      </c>
      <c r="U124" s="78" t="str">
        <f>IF(F124="","",VLOOKUP(F124,框架条目清单!A:K,8,FALSE))</f>
        <v/>
      </c>
      <c r="V124" s="78" t="str">
        <f>IF(F124="","",VLOOKUP(F124,框架条目清单!A:K,9,FALSE))</f>
        <v/>
      </c>
    </row>
    <row r="125" spans="1:22">
      <c r="A125" s="78" t="str">
        <f>IF(AND('2.报价结算清单'!$P228&gt;0,'2.报价结算清单'!$B228&lt;&gt;0,'2.报价结算清单'!$F228&lt;&gt;0),'2.报价结算清单'!$F228,"")</f>
        <v/>
      </c>
      <c r="B125" s="78" t="str">
        <f>_xlfn.IFNA(VLOOKUP(A125,'3.框架内物料'!$A:$I,3,0),A125)</f>
        <v/>
      </c>
      <c r="C125" s="78" t="str">
        <f>IF(AND('2.报价结算清单'!$P228&gt;0,'2.报价结算清单'!$B228&lt;&gt;0,'2.报价结算清单'!C228&lt;&gt;0),'2.报价结算清单'!C228,"")</f>
        <v/>
      </c>
      <c r="D125" s="78" t="str">
        <f>IF(AND('2.报价结算清单'!$P228&gt;0,'2.报价结算清单'!$B228&lt;&gt;0,'2.报价结算清单'!D228&lt;&gt;0),'2.报价结算清单'!D228,"")</f>
        <v/>
      </c>
      <c r="E125" s="78" t="str">
        <f>IF(AND('2.报价结算清单'!$P228&gt;0,'2.报价结算清单'!$B228&lt;&gt;0,'2.报价结算清单'!E228&lt;&gt;0),'2.报价结算清单'!E228,"")</f>
        <v/>
      </c>
      <c r="F125" s="105" t="str">
        <f>_xlfn.IFNA(IF($A125="","",IF(VLOOKUP($A125,'3.框架内物料'!$A:$I,2,0)="","",VLOOKUP($A125,'3.框架内物料'!$A:$I,2,0))),"")</f>
        <v/>
      </c>
      <c r="G125" s="87" t="str">
        <f>IF(AND('2.报价结算清单'!$P228&gt;0,'2.报价结算清单'!$B228&lt;&gt;0,'2.报价结算清单'!H228&lt;&gt;0),'2.报价结算清单'!H228,"")</f>
        <v/>
      </c>
      <c r="H125" s="122" t="str">
        <f>IF(AND('2.报价结算清单'!$P228&gt;0,'2.报价结算清单'!$B228&lt;&gt;0,'2.报价结算清单'!$F228&lt;&gt;0),'2.报价结算清单'!J228,"")</f>
        <v/>
      </c>
      <c r="I125" s="105" t="str">
        <f>IF(AND('2.报价结算清单'!$P228&gt;0,'2.报价结算清单'!$B228&lt;&gt;0,'2.报价结算清单'!$F228&lt;&gt;0),'2.报价结算清单'!L228,"")</f>
        <v/>
      </c>
      <c r="J125" s="105" t="str">
        <f>IF(AND('2.报价结算清单'!$P228&gt;0,'2.报价结算清单'!$B228&lt;&gt;0,'2.报价结算清单'!I228&lt;&gt;0),'2.报价结算清单'!I228,"")</f>
        <v/>
      </c>
      <c r="K125" s="105" t="str">
        <f>IF(AND('2.报价结算清单'!$P228&gt;0,'2.报价结算清单'!$B228&lt;&gt;0,'2.报价结算清单'!$F228&lt;&gt;0),'2.报价结算清单'!N228,"")</f>
        <v/>
      </c>
      <c r="L125" s="105" t="str">
        <f>IF(AND('2.报价结算清单'!$P228&gt;0,'2.报价结算清单'!$B228&lt;&gt;0,'2.报价结算清单'!I228&lt;&gt;0),"天","")</f>
        <v/>
      </c>
      <c r="M125" s="80" t="str">
        <f t="shared" si="6"/>
        <v/>
      </c>
      <c r="N125" s="78" t="str">
        <f t="shared" si="7"/>
        <v/>
      </c>
      <c r="O125" s="78" t="str">
        <f>IF(AND('2.报价结算清单'!$P228&gt;0,'2.报价结算清单'!$B228&lt;&gt;0,'2.报价结算清单'!S228&lt;&gt;0),'2.报价结算清单'!S228,"")</f>
        <v/>
      </c>
      <c r="P125" s="78" t="str">
        <f>IF(AND('2.报价结算清单'!$P228&gt;0,'2.报价结算清单'!$B228&lt;&gt;0,'2.报价结算清单'!T228&lt;&gt;0),'2.报价结算清单'!T228,"")</f>
        <v/>
      </c>
      <c r="Q125" s="78" t="str">
        <f>IF(F125="",J125,VLOOKUP(F125,框架条目清单!A:K,4,FALSE))</f>
        <v/>
      </c>
      <c r="R125" s="106" t="str">
        <f>IF($A125="","",'2.报价结算清单'!$K$183)</f>
        <v/>
      </c>
      <c r="S125" s="80" t="str">
        <f>IF($A125="","",'2.报价结算清单'!$E$183)</f>
        <v/>
      </c>
      <c r="T125" s="78" t="str">
        <f>IF(F125="","",VLOOKUP(F125,框架条目清单!A:K,7,FALSE))</f>
        <v/>
      </c>
      <c r="U125" s="78" t="str">
        <f>IF(F125="","",VLOOKUP(F125,框架条目清单!A:K,8,FALSE))</f>
        <v/>
      </c>
      <c r="V125" s="78" t="str">
        <f>IF(F125="","",VLOOKUP(F125,框架条目清单!A:K,9,FALSE))</f>
        <v/>
      </c>
    </row>
    <row r="126" spans="1:22">
      <c r="A126" s="78" t="str">
        <f>IF(AND('2.报价结算清单'!$P229&gt;0,'2.报价结算清单'!$B229&lt;&gt;0,'2.报价结算清单'!$F229&lt;&gt;0),'2.报价结算清单'!$F229,"")</f>
        <v/>
      </c>
      <c r="B126" s="78" t="str">
        <f>_xlfn.IFNA(VLOOKUP(A126,'3.框架内物料'!$A:$I,3,0),A126)</f>
        <v/>
      </c>
      <c r="C126" s="78" t="str">
        <f>IF(AND('2.报价结算清单'!$P229&gt;0,'2.报价结算清单'!$B229&lt;&gt;0,'2.报价结算清单'!C229&lt;&gt;0),'2.报价结算清单'!C229,"")</f>
        <v/>
      </c>
      <c r="D126" s="78" t="str">
        <f>IF(AND('2.报价结算清单'!$P229&gt;0,'2.报价结算清单'!$B229&lt;&gt;0,'2.报价结算清单'!D229&lt;&gt;0),'2.报价结算清单'!D229,"")</f>
        <v/>
      </c>
      <c r="E126" s="78" t="str">
        <f>IF(AND('2.报价结算清单'!$P229&gt;0,'2.报价结算清单'!$B229&lt;&gt;0,'2.报价结算清单'!E229&lt;&gt;0),'2.报价结算清单'!E229,"")</f>
        <v/>
      </c>
      <c r="F126" s="105" t="str">
        <f>_xlfn.IFNA(IF($A126="","",IF(VLOOKUP($A126,'3.框架内物料'!$A:$I,2,0)="","",VLOOKUP($A126,'3.框架内物料'!$A:$I,2,0))),"")</f>
        <v/>
      </c>
      <c r="G126" s="87" t="str">
        <f>IF(AND('2.报价结算清单'!$P229&gt;0,'2.报价结算清单'!$B229&lt;&gt;0,'2.报价结算清单'!H229&lt;&gt;0),'2.报价结算清单'!H229,"")</f>
        <v/>
      </c>
      <c r="H126" s="122" t="str">
        <f>IF(AND('2.报价结算清单'!$P229&gt;0,'2.报价结算清单'!$B229&lt;&gt;0,'2.报价结算清单'!$F229&lt;&gt;0),'2.报价结算清单'!J229,"")</f>
        <v/>
      </c>
      <c r="I126" s="105" t="str">
        <f>IF(AND('2.报价结算清单'!$P229&gt;0,'2.报价结算清单'!$B229&lt;&gt;0,'2.报价结算清单'!$F229&lt;&gt;0),'2.报价结算清单'!L229,"")</f>
        <v/>
      </c>
      <c r="J126" s="105" t="str">
        <f>IF(AND('2.报价结算清单'!$P229&gt;0,'2.报价结算清单'!$B229&lt;&gt;0,'2.报价结算清单'!I229&lt;&gt;0),'2.报价结算清单'!I229,"")</f>
        <v/>
      </c>
      <c r="K126" s="105" t="str">
        <f>IF(AND('2.报价结算清单'!$P229&gt;0,'2.报价结算清单'!$B229&lt;&gt;0,'2.报价结算清单'!$F229&lt;&gt;0),'2.报价结算清单'!N229,"")</f>
        <v/>
      </c>
      <c r="L126" s="105" t="str">
        <f>IF(AND('2.报价结算清单'!$P229&gt;0,'2.报价结算清单'!$B229&lt;&gt;0,'2.报价结算清单'!I229&lt;&gt;0),"天","")</f>
        <v/>
      </c>
      <c r="M126" s="80" t="str">
        <f t="shared" si="6"/>
        <v/>
      </c>
      <c r="N126" s="78" t="str">
        <f t="shared" si="7"/>
        <v/>
      </c>
      <c r="O126" s="78" t="str">
        <f>IF(AND('2.报价结算清单'!$P229&gt;0,'2.报价结算清单'!$B229&lt;&gt;0,'2.报价结算清单'!S229&lt;&gt;0),'2.报价结算清单'!S229,"")</f>
        <v/>
      </c>
      <c r="P126" s="78" t="str">
        <f>IF(AND('2.报价结算清单'!$P229&gt;0,'2.报价结算清单'!$B229&lt;&gt;0,'2.报价结算清单'!T229&lt;&gt;0),'2.报价结算清单'!T229,"")</f>
        <v/>
      </c>
      <c r="Q126" s="78" t="str">
        <f>IF(F126="",J126,VLOOKUP(F126,框架条目清单!A:K,4,FALSE))</f>
        <v/>
      </c>
      <c r="R126" s="106" t="str">
        <f>IF($A126="","",'2.报价结算清单'!$K$183)</f>
        <v/>
      </c>
      <c r="S126" s="80" t="str">
        <f>IF($A126="","",'2.报价结算清单'!$E$183)</f>
        <v/>
      </c>
      <c r="T126" s="78" t="str">
        <f>IF(F126="","",VLOOKUP(F126,框架条目清单!A:K,7,FALSE))</f>
        <v/>
      </c>
      <c r="U126" s="78" t="str">
        <f>IF(F126="","",VLOOKUP(F126,框架条目清单!A:K,8,FALSE))</f>
        <v/>
      </c>
      <c r="V126" s="78" t="str">
        <f>IF(F126="","",VLOOKUP(F126,框架条目清单!A:K,9,FALSE))</f>
        <v/>
      </c>
    </row>
    <row r="127" spans="1:22">
      <c r="A127" s="78" t="str">
        <f>IF(AND('2.报价结算清单'!$P230&gt;0,'2.报价结算清单'!$B230&lt;&gt;0,'2.报价结算清单'!$F230&lt;&gt;0),'2.报价结算清单'!$F230,"")</f>
        <v/>
      </c>
      <c r="B127" s="78" t="str">
        <f>_xlfn.IFNA(VLOOKUP(A127,'3.框架内物料'!$A:$I,3,0),A127)</f>
        <v/>
      </c>
      <c r="C127" s="78" t="str">
        <f>IF(AND('2.报价结算清单'!$P230&gt;0,'2.报价结算清单'!$B230&lt;&gt;0,'2.报价结算清单'!C230&lt;&gt;0),'2.报价结算清单'!C230,"")</f>
        <v/>
      </c>
      <c r="D127" s="78" t="str">
        <f>IF(AND('2.报价结算清单'!$P230&gt;0,'2.报价结算清单'!$B230&lt;&gt;0,'2.报价结算清单'!D230&lt;&gt;0),'2.报价结算清单'!D230,"")</f>
        <v/>
      </c>
      <c r="E127" s="78" t="str">
        <f>IF(AND('2.报价结算清单'!$P230&gt;0,'2.报价结算清单'!$B230&lt;&gt;0,'2.报价结算清单'!E230&lt;&gt;0),'2.报价结算清单'!E230,"")</f>
        <v/>
      </c>
      <c r="F127" s="105" t="str">
        <f>_xlfn.IFNA(IF($A127="","",IF(VLOOKUP($A127,'3.框架内物料'!$A:$I,2,0)="","",VLOOKUP($A127,'3.框架内物料'!$A:$I,2,0))),"")</f>
        <v/>
      </c>
      <c r="G127" s="87" t="str">
        <f>IF(AND('2.报价结算清单'!$P230&gt;0,'2.报价结算清单'!$B230&lt;&gt;0,'2.报价结算清单'!H230&lt;&gt;0),'2.报价结算清单'!H230,"")</f>
        <v/>
      </c>
      <c r="H127" s="122" t="str">
        <f>IF(AND('2.报价结算清单'!$P230&gt;0,'2.报价结算清单'!$B230&lt;&gt;0,'2.报价结算清单'!$F230&lt;&gt;0),'2.报价结算清单'!J230,"")</f>
        <v/>
      </c>
      <c r="I127" s="105" t="str">
        <f>IF(AND('2.报价结算清单'!$P230&gt;0,'2.报价结算清单'!$B230&lt;&gt;0,'2.报价结算清单'!$F230&lt;&gt;0),'2.报价结算清单'!L230,"")</f>
        <v/>
      </c>
      <c r="J127" s="105" t="str">
        <f>IF(AND('2.报价结算清单'!$P230&gt;0,'2.报价结算清单'!$B230&lt;&gt;0,'2.报价结算清单'!I230&lt;&gt;0),'2.报价结算清单'!I230,"")</f>
        <v/>
      </c>
      <c r="K127" s="105" t="str">
        <f>IF(AND('2.报价结算清单'!$P230&gt;0,'2.报价结算清单'!$B230&lt;&gt;0,'2.报价结算清单'!$F230&lt;&gt;0),'2.报价结算清单'!N230,"")</f>
        <v/>
      </c>
      <c r="L127" s="105" t="str">
        <f>IF(AND('2.报价结算清单'!$P230&gt;0,'2.报价结算清单'!$B230&lt;&gt;0,'2.报价结算清单'!I230&lt;&gt;0),"天","")</f>
        <v/>
      </c>
      <c r="M127" s="80" t="str">
        <f t="shared" si="6"/>
        <v/>
      </c>
      <c r="N127" s="78" t="str">
        <f t="shared" si="7"/>
        <v/>
      </c>
      <c r="O127" s="78" t="str">
        <f>IF(AND('2.报价结算清单'!$P230&gt;0,'2.报价结算清单'!$B230&lt;&gt;0,'2.报价结算清单'!S230&lt;&gt;0),'2.报价结算清单'!S230,"")</f>
        <v/>
      </c>
      <c r="P127" s="78" t="str">
        <f>IF(AND('2.报价结算清单'!$P230&gt;0,'2.报价结算清单'!$B230&lt;&gt;0,'2.报价结算清单'!T230&lt;&gt;0),'2.报价结算清单'!T230,"")</f>
        <v/>
      </c>
      <c r="Q127" s="78" t="str">
        <f>IF(F127="",J127,VLOOKUP(F127,框架条目清单!A:K,4,FALSE))</f>
        <v/>
      </c>
      <c r="R127" s="106" t="str">
        <f>IF($A127="","",'2.报价结算清单'!$K$183)</f>
        <v/>
      </c>
      <c r="S127" s="80" t="str">
        <f>IF($A127="","",'2.报价结算清单'!$E$183)</f>
        <v/>
      </c>
      <c r="T127" s="78" t="str">
        <f>IF(F127="","",VLOOKUP(F127,框架条目清单!A:K,7,FALSE))</f>
        <v/>
      </c>
      <c r="U127" s="78" t="str">
        <f>IF(F127="","",VLOOKUP(F127,框架条目清单!A:K,8,FALSE))</f>
        <v/>
      </c>
      <c r="V127" s="78" t="str">
        <f>IF(F127="","",VLOOKUP(F127,框架条目清单!A:K,9,FALSE))</f>
        <v/>
      </c>
    </row>
    <row r="128" spans="1:22">
      <c r="A128" s="78" t="str">
        <f>IF(AND('2.报价结算清单'!$P231&gt;0,'2.报价结算清单'!$B231&lt;&gt;0,'2.报价结算清单'!$F231&lt;&gt;0),'2.报价结算清单'!$F231,"")</f>
        <v/>
      </c>
      <c r="B128" s="78" t="str">
        <f>_xlfn.IFNA(VLOOKUP(A128,'3.框架内物料'!$A:$I,3,0),A128)</f>
        <v/>
      </c>
      <c r="C128" s="78" t="str">
        <f>IF(AND('2.报价结算清单'!$P231&gt;0,'2.报价结算清单'!$B231&lt;&gt;0,'2.报价结算清单'!C231&lt;&gt;0),'2.报价结算清单'!C231,"")</f>
        <v/>
      </c>
      <c r="D128" s="78" t="str">
        <f>IF(AND('2.报价结算清单'!$P231&gt;0,'2.报价结算清单'!$B231&lt;&gt;0,'2.报价结算清单'!D231&lt;&gt;0),'2.报价结算清单'!D231,"")</f>
        <v/>
      </c>
      <c r="E128" s="78" t="str">
        <f>IF(AND('2.报价结算清单'!$P231&gt;0,'2.报价结算清单'!$B231&lt;&gt;0,'2.报价结算清单'!E231&lt;&gt;0),'2.报价结算清单'!E231,"")</f>
        <v/>
      </c>
      <c r="F128" s="105" t="str">
        <f>_xlfn.IFNA(IF($A128="","",IF(VLOOKUP($A128,'3.框架内物料'!$A:$I,2,0)="","",VLOOKUP($A128,'3.框架内物料'!$A:$I,2,0))),"")</f>
        <v/>
      </c>
      <c r="G128" s="87" t="str">
        <f>IF(AND('2.报价结算清单'!$P231&gt;0,'2.报价结算清单'!$B231&lt;&gt;0,'2.报价结算清单'!H231&lt;&gt;0),'2.报价结算清单'!H231,"")</f>
        <v/>
      </c>
      <c r="H128" s="122" t="str">
        <f>IF(AND('2.报价结算清单'!$P231&gt;0,'2.报价结算清单'!$B231&lt;&gt;0,'2.报价结算清单'!$F231&lt;&gt;0),'2.报价结算清单'!J231,"")</f>
        <v/>
      </c>
      <c r="I128" s="105" t="str">
        <f>IF(AND('2.报价结算清单'!$P231&gt;0,'2.报价结算清单'!$B231&lt;&gt;0,'2.报价结算清单'!$F231&lt;&gt;0),'2.报价结算清单'!L231,"")</f>
        <v/>
      </c>
      <c r="J128" s="105" t="str">
        <f>IF(AND('2.报价结算清单'!$P231&gt;0,'2.报价结算清单'!$B231&lt;&gt;0,'2.报价结算清单'!I231&lt;&gt;0),'2.报价结算清单'!I231,"")</f>
        <v/>
      </c>
      <c r="K128" s="105" t="str">
        <f>IF(AND('2.报价结算清单'!$P231&gt;0,'2.报价结算清单'!$B231&lt;&gt;0,'2.报价结算清单'!$F231&lt;&gt;0),'2.报价结算清单'!N231,"")</f>
        <v/>
      </c>
      <c r="L128" s="105" t="str">
        <f>IF(AND('2.报价结算清单'!$P231&gt;0,'2.报价结算清单'!$B231&lt;&gt;0,'2.报价结算清单'!I231&lt;&gt;0),"天","")</f>
        <v/>
      </c>
      <c r="M128" s="80" t="str">
        <f t="shared" si="6"/>
        <v/>
      </c>
      <c r="N128" s="78" t="str">
        <f t="shared" si="7"/>
        <v/>
      </c>
      <c r="O128" s="78" t="str">
        <f>IF(AND('2.报价结算清单'!$P231&gt;0,'2.报价结算清单'!$B231&lt;&gt;0,'2.报价结算清单'!S231&lt;&gt;0),'2.报价结算清单'!S231,"")</f>
        <v/>
      </c>
      <c r="P128" s="78" t="str">
        <f>IF(AND('2.报价结算清单'!$P231&gt;0,'2.报价结算清单'!$B231&lt;&gt;0,'2.报价结算清单'!T231&lt;&gt;0),'2.报价结算清单'!T231,"")</f>
        <v/>
      </c>
      <c r="Q128" s="78" t="str">
        <f>IF(F128="",J128,VLOOKUP(F128,框架条目清单!A:K,4,FALSE))</f>
        <v/>
      </c>
      <c r="R128" s="106" t="str">
        <f>IF($A128="","",'2.报价结算清单'!$K$183)</f>
        <v/>
      </c>
      <c r="S128" s="80" t="str">
        <f>IF($A128="","",'2.报价结算清单'!$E$183)</f>
        <v/>
      </c>
      <c r="T128" s="78" t="str">
        <f>IF(F128="","",VLOOKUP(F128,框架条目清单!A:K,7,FALSE))</f>
        <v/>
      </c>
      <c r="U128" s="78" t="str">
        <f>IF(F128="","",VLOOKUP(F128,框架条目清单!A:K,8,FALSE))</f>
        <v/>
      </c>
      <c r="V128" s="78" t="str">
        <f>IF(F128="","",VLOOKUP(F128,框架条目清单!A:K,9,FALSE))</f>
        <v/>
      </c>
    </row>
    <row r="129" spans="1:22">
      <c r="A129" s="78" t="str">
        <f>IF(AND('2.报价结算清单'!$P232&gt;0,'2.报价结算清单'!$B232&lt;&gt;0,'2.报价结算清单'!$F232&lt;&gt;0),'2.报价结算清单'!$F232,"")</f>
        <v/>
      </c>
      <c r="B129" s="78" t="str">
        <f>_xlfn.IFNA(VLOOKUP(A129,'3.框架内物料'!$A:$I,3,0),A129)</f>
        <v/>
      </c>
      <c r="C129" s="78" t="str">
        <f>IF(AND('2.报价结算清单'!$P232&gt;0,'2.报价结算清单'!$B232&lt;&gt;0,'2.报价结算清单'!C232&lt;&gt;0),'2.报价结算清单'!C232,"")</f>
        <v/>
      </c>
      <c r="D129" s="78" t="str">
        <f>IF(AND('2.报价结算清单'!$P232&gt;0,'2.报价结算清单'!$B232&lt;&gt;0,'2.报价结算清单'!D232&lt;&gt;0),'2.报价结算清单'!D232,"")</f>
        <v/>
      </c>
      <c r="E129" s="78" t="str">
        <f>IF(AND('2.报价结算清单'!$P232&gt;0,'2.报价结算清单'!$B232&lt;&gt;0,'2.报价结算清单'!E232&lt;&gt;0),'2.报价结算清单'!E232,"")</f>
        <v/>
      </c>
      <c r="F129" s="105" t="str">
        <f>_xlfn.IFNA(IF($A129="","",IF(VLOOKUP($A129,'3.框架内物料'!$A:$I,2,0)="","",VLOOKUP($A129,'3.框架内物料'!$A:$I,2,0))),"")</f>
        <v/>
      </c>
      <c r="G129" s="87" t="str">
        <f>IF(AND('2.报价结算清单'!$P232&gt;0,'2.报价结算清单'!$B232&lt;&gt;0,'2.报价结算清单'!H232&lt;&gt;0),'2.报价结算清单'!H232,"")</f>
        <v/>
      </c>
      <c r="H129" s="122" t="str">
        <f>IF(AND('2.报价结算清单'!$P232&gt;0,'2.报价结算清单'!$B232&lt;&gt;0,'2.报价结算清单'!$F232&lt;&gt;0),'2.报价结算清单'!J232,"")</f>
        <v/>
      </c>
      <c r="I129" s="105" t="str">
        <f>IF(AND('2.报价结算清单'!$P232&gt;0,'2.报价结算清单'!$B232&lt;&gt;0,'2.报价结算清单'!$F232&lt;&gt;0),'2.报价结算清单'!L232,"")</f>
        <v/>
      </c>
      <c r="J129" s="105" t="str">
        <f>IF(AND('2.报价结算清单'!$P232&gt;0,'2.报价结算清单'!$B232&lt;&gt;0,'2.报价结算清单'!I232&lt;&gt;0),'2.报价结算清单'!I232,"")</f>
        <v/>
      </c>
      <c r="K129" s="105" t="str">
        <f>IF(AND('2.报价结算清单'!$P232&gt;0,'2.报价结算清单'!$B232&lt;&gt;0,'2.报价结算清单'!$F232&lt;&gt;0),'2.报价结算清单'!N232,"")</f>
        <v/>
      </c>
      <c r="L129" s="105" t="str">
        <f>IF(AND('2.报价结算清单'!$P232&gt;0,'2.报价结算清单'!$B232&lt;&gt;0,'2.报价结算清单'!I232&lt;&gt;0),"天","")</f>
        <v/>
      </c>
      <c r="M129" s="80" t="str">
        <f t="shared" si="6"/>
        <v/>
      </c>
      <c r="N129" s="78" t="str">
        <f t="shared" si="7"/>
        <v/>
      </c>
      <c r="O129" s="78" t="str">
        <f>IF(AND('2.报价结算清单'!$P232&gt;0,'2.报价结算清单'!$B232&lt;&gt;0,'2.报价结算清单'!S232&lt;&gt;0),'2.报价结算清单'!S232,"")</f>
        <v/>
      </c>
      <c r="P129" s="78" t="str">
        <f>IF(AND('2.报价结算清单'!$P232&gt;0,'2.报价结算清单'!$B232&lt;&gt;0,'2.报价结算清单'!T232&lt;&gt;0),'2.报价结算清单'!T232,"")</f>
        <v/>
      </c>
      <c r="Q129" s="78" t="str">
        <f>IF(F129="",J129,VLOOKUP(F129,框架条目清单!A:K,4,FALSE))</f>
        <v/>
      </c>
      <c r="R129" s="106" t="str">
        <f>IF($A129="","",'2.报价结算清单'!$K$183)</f>
        <v/>
      </c>
      <c r="S129" s="80" t="str">
        <f>IF($A129="","",'2.报价结算清单'!$E$183)</f>
        <v/>
      </c>
      <c r="T129" s="78" t="str">
        <f>IF(F129="","",VLOOKUP(F129,框架条目清单!A:K,7,FALSE))</f>
        <v/>
      </c>
      <c r="U129" s="78" t="str">
        <f>IF(F129="","",VLOOKUP(F129,框架条目清单!A:K,8,FALSE))</f>
        <v/>
      </c>
      <c r="V129" s="78" t="str">
        <f>IF(F129="","",VLOOKUP(F129,框架条目清单!A:K,9,FALSE))</f>
        <v/>
      </c>
    </row>
    <row r="130" spans="1:22">
      <c r="A130" s="78" t="str">
        <f>IF(AND('2.报价结算清单'!$P233&gt;0,'2.报价结算清单'!$B233&lt;&gt;0,'2.报价结算清单'!$F233&lt;&gt;0),'2.报价结算清单'!$F233,"")</f>
        <v/>
      </c>
      <c r="B130" s="78" t="str">
        <f>_xlfn.IFNA(VLOOKUP(A130,'3.框架内物料'!$A:$I,3,0),A130)</f>
        <v/>
      </c>
      <c r="C130" s="78" t="str">
        <f>IF(AND('2.报价结算清单'!$P233&gt;0,'2.报价结算清单'!$B233&lt;&gt;0,'2.报价结算清单'!C233&lt;&gt;0),'2.报价结算清单'!C233,"")</f>
        <v/>
      </c>
      <c r="D130" s="78" t="str">
        <f>IF(AND('2.报价结算清单'!$P233&gt;0,'2.报价结算清单'!$B233&lt;&gt;0,'2.报价结算清单'!D233&lt;&gt;0),'2.报价结算清单'!D233,"")</f>
        <v/>
      </c>
      <c r="E130" s="78" t="str">
        <f>IF(AND('2.报价结算清单'!$P233&gt;0,'2.报价结算清单'!$B233&lt;&gt;0,'2.报价结算清单'!E233&lt;&gt;0),'2.报价结算清单'!E233,"")</f>
        <v/>
      </c>
      <c r="F130" s="105" t="str">
        <f>_xlfn.IFNA(IF($A130="","",IF(VLOOKUP($A130,'3.框架内物料'!$A:$I,2,0)="","",VLOOKUP($A130,'3.框架内物料'!$A:$I,2,0))),"")</f>
        <v/>
      </c>
      <c r="G130" s="87" t="str">
        <f>IF(AND('2.报价结算清单'!$P233&gt;0,'2.报价结算清单'!$B233&lt;&gt;0,'2.报价结算清单'!H233&lt;&gt;0),'2.报价结算清单'!H233,"")</f>
        <v/>
      </c>
      <c r="H130" s="122" t="str">
        <f>IF(AND('2.报价结算清单'!$P233&gt;0,'2.报价结算清单'!$B233&lt;&gt;0,'2.报价结算清单'!$F233&lt;&gt;0),'2.报价结算清单'!J233,"")</f>
        <v/>
      </c>
      <c r="I130" s="105" t="str">
        <f>IF(AND('2.报价结算清单'!$P233&gt;0,'2.报价结算清单'!$B233&lt;&gt;0,'2.报价结算清单'!$F233&lt;&gt;0),'2.报价结算清单'!L233,"")</f>
        <v/>
      </c>
      <c r="J130" s="105" t="str">
        <f>IF(AND('2.报价结算清单'!$P233&gt;0,'2.报价结算清单'!$B233&lt;&gt;0,'2.报价结算清单'!I233&lt;&gt;0),'2.报价结算清单'!I233,"")</f>
        <v/>
      </c>
      <c r="K130" s="105" t="str">
        <f>IF(AND('2.报价结算清单'!$P233&gt;0,'2.报价结算清单'!$B233&lt;&gt;0,'2.报价结算清单'!$F233&lt;&gt;0),'2.报价结算清单'!N233,"")</f>
        <v/>
      </c>
      <c r="L130" s="105" t="str">
        <f>IF(AND('2.报价结算清单'!$P233&gt;0,'2.报价结算清单'!$B233&lt;&gt;0,'2.报价结算清单'!I233&lt;&gt;0),"天","")</f>
        <v/>
      </c>
      <c r="M130" s="80" t="str">
        <f t="shared" si="6"/>
        <v/>
      </c>
      <c r="N130" s="78" t="str">
        <f t="shared" si="7"/>
        <v/>
      </c>
      <c r="O130" s="78" t="str">
        <f>IF(AND('2.报价结算清单'!$P233&gt;0,'2.报价结算清单'!$B233&lt;&gt;0,'2.报价结算清单'!S233&lt;&gt;0),'2.报价结算清单'!S233,"")</f>
        <v/>
      </c>
      <c r="P130" s="78" t="str">
        <f>IF(AND('2.报价结算清单'!$P233&gt;0,'2.报价结算清单'!$B233&lt;&gt;0,'2.报价结算清单'!T233&lt;&gt;0),'2.报价结算清单'!T233,"")</f>
        <v/>
      </c>
      <c r="Q130" s="78" t="str">
        <f>IF(F130="",J130,VLOOKUP(F130,框架条目清单!A:K,4,FALSE))</f>
        <v/>
      </c>
      <c r="R130" s="106" t="str">
        <f>IF($A130="","",'2.报价结算清单'!$K$183)</f>
        <v/>
      </c>
      <c r="S130" s="80" t="str">
        <f>IF($A130="","",'2.报价结算清单'!$E$183)</f>
        <v/>
      </c>
      <c r="T130" s="78" t="str">
        <f>IF(F130="","",VLOOKUP(F130,框架条目清单!A:K,7,FALSE))</f>
        <v/>
      </c>
      <c r="U130" s="78" t="str">
        <f>IF(F130="","",VLOOKUP(F130,框架条目清单!A:K,8,FALSE))</f>
        <v/>
      </c>
      <c r="V130" s="78" t="str">
        <f>IF(F130="","",VLOOKUP(F130,框架条目清单!A:K,9,FALSE))</f>
        <v/>
      </c>
    </row>
    <row r="131" spans="1:22">
      <c r="A131" s="78" t="str">
        <f>IF(AND('2.报价结算清单'!$P234&gt;0,'2.报价结算清单'!$B234&lt;&gt;0,'2.报价结算清单'!$F234&lt;&gt;0),'2.报价结算清单'!$F234,"")</f>
        <v/>
      </c>
      <c r="B131" s="78" t="str">
        <f>_xlfn.IFNA(VLOOKUP(A131,'3.框架内物料'!$A:$I,3,0),A131)</f>
        <v/>
      </c>
      <c r="C131" s="78" t="str">
        <f>IF(AND('2.报价结算清单'!$P234&gt;0,'2.报价结算清单'!$B234&lt;&gt;0,'2.报价结算清单'!C234&lt;&gt;0),'2.报价结算清单'!C234,"")</f>
        <v/>
      </c>
      <c r="D131" s="78" t="str">
        <f>IF(AND('2.报价结算清单'!$P234&gt;0,'2.报价结算清单'!$B234&lt;&gt;0,'2.报价结算清单'!D234&lt;&gt;0),'2.报价结算清单'!D234,"")</f>
        <v/>
      </c>
      <c r="E131" s="78" t="str">
        <f>IF(AND('2.报价结算清单'!$P234&gt;0,'2.报价结算清单'!$B234&lt;&gt;0,'2.报价结算清单'!E234&lt;&gt;0),'2.报价结算清单'!E234,"")</f>
        <v/>
      </c>
      <c r="F131" s="105" t="str">
        <f>_xlfn.IFNA(IF($A131="","",IF(VLOOKUP($A131,'3.框架内物料'!$A:$I,2,0)="","",VLOOKUP($A131,'3.框架内物料'!$A:$I,2,0))),"")</f>
        <v/>
      </c>
      <c r="G131" s="87" t="str">
        <f>IF(AND('2.报价结算清单'!$P234&gt;0,'2.报价结算清单'!$B234&lt;&gt;0,'2.报价结算清单'!H234&lt;&gt;0),'2.报价结算清单'!H234,"")</f>
        <v/>
      </c>
      <c r="H131" s="122" t="str">
        <f>IF(AND('2.报价结算清单'!$P234&gt;0,'2.报价结算清单'!$B234&lt;&gt;0,'2.报价结算清单'!$F234&lt;&gt;0),'2.报价结算清单'!J234,"")</f>
        <v/>
      </c>
      <c r="I131" s="105" t="str">
        <f>IF(AND('2.报价结算清单'!$P234&gt;0,'2.报价结算清单'!$B234&lt;&gt;0,'2.报价结算清单'!$F234&lt;&gt;0),'2.报价结算清单'!L234,"")</f>
        <v/>
      </c>
      <c r="J131" s="105" t="str">
        <f>IF(AND('2.报价结算清单'!$P234&gt;0,'2.报价结算清单'!$B234&lt;&gt;0,'2.报价结算清单'!I234&lt;&gt;0),'2.报价结算清单'!I234,"")</f>
        <v/>
      </c>
      <c r="K131" s="105" t="str">
        <f>IF(AND('2.报价结算清单'!$P234&gt;0,'2.报价结算清单'!$B234&lt;&gt;0,'2.报价结算清单'!$F234&lt;&gt;0),'2.报价结算清单'!N234,"")</f>
        <v/>
      </c>
      <c r="L131" s="105" t="str">
        <f>IF(AND('2.报价结算清单'!$P234&gt;0,'2.报价结算清单'!$B234&lt;&gt;0,'2.报价结算清单'!I234&lt;&gt;0),"天","")</f>
        <v/>
      </c>
      <c r="M131" s="80" t="str">
        <f t="shared" si="6"/>
        <v/>
      </c>
      <c r="N131" s="78" t="str">
        <f t="shared" si="7"/>
        <v/>
      </c>
      <c r="O131" s="78" t="str">
        <f>IF(AND('2.报价结算清单'!$P234&gt;0,'2.报价结算清单'!$B234&lt;&gt;0,'2.报价结算清单'!S234&lt;&gt;0),'2.报价结算清单'!S234,"")</f>
        <v/>
      </c>
      <c r="P131" s="78" t="str">
        <f>IF(AND('2.报价结算清单'!$P234&gt;0,'2.报价结算清单'!$B234&lt;&gt;0,'2.报价结算清单'!T234&lt;&gt;0),'2.报价结算清单'!T234,"")</f>
        <v/>
      </c>
      <c r="Q131" s="78" t="str">
        <f>IF(F131="",J131,VLOOKUP(F131,框架条目清单!A:K,4,FALSE))</f>
        <v/>
      </c>
      <c r="R131" s="106" t="str">
        <f>IF($A131="","",'2.报价结算清单'!$K$183)</f>
        <v/>
      </c>
      <c r="S131" s="80" t="str">
        <f>IF($A131="","",'2.报价结算清单'!$E$183)</f>
        <v/>
      </c>
      <c r="T131" s="78" t="str">
        <f>IF(F131="","",VLOOKUP(F131,框架条目清单!A:K,7,FALSE))</f>
        <v/>
      </c>
      <c r="U131" s="78" t="str">
        <f>IF(F131="","",VLOOKUP(F131,框架条目清单!A:K,8,FALSE))</f>
        <v/>
      </c>
      <c r="V131" s="78" t="str">
        <f>IF(F131="","",VLOOKUP(F131,框架条目清单!A:K,9,FALSE))</f>
        <v/>
      </c>
    </row>
    <row r="132" spans="1:22">
      <c r="A132" s="78" t="str">
        <f>IF(AND('2.报价结算清单'!$P235&gt;0,'2.报价结算清单'!$B235&lt;&gt;0,'2.报价结算清单'!$F235&lt;&gt;0),'2.报价结算清单'!$F235,"")</f>
        <v/>
      </c>
      <c r="B132" s="78" t="str">
        <f>_xlfn.IFNA(VLOOKUP(A132,'3.框架内物料'!$A:$I,3,0),A132)</f>
        <v/>
      </c>
      <c r="C132" s="78" t="str">
        <f>IF(AND('2.报价结算清单'!$P235&gt;0,'2.报价结算清单'!$B235&lt;&gt;0,'2.报价结算清单'!C235&lt;&gt;0),'2.报价结算清单'!C235,"")</f>
        <v/>
      </c>
      <c r="D132" s="78" t="str">
        <f>IF(AND('2.报价结算清单'!$P235&gt;0,'2.报价结算清单'!$B235&lt;&gt;0,'2.报价结算清单'!D235&lt;&gt;0),'2.报价结算清单'!D235,"")</f>
        <v/>
      </c>
      <c r="E132" s="78" t="str">
        <f>IF(AND('2.报价结算清单'!$P235&gt;0,'2.报价结算清单'!$B235&lt;&gt;0,'2.报价结算清单'!E235&lt;&gt;0),'2.报价结算清单'!E235,"")</f>
        <v/>
      </c>
      <c r="F132" s="105" t="str">
        <f>_xlfn.IFNA(IF($A132="","",IF(VLOOKUP($A132,'3.框架内物料'!$A:$I,2,0)="","",VLOOKUP($A132,'3.框架内物料'!$A:$I,2,0))),"")</f>
        <v/>
      </c>
      <c r="G132" s="87" t="str">
        <f>IF(AND('2.报价结算清单'!$P235&gt;0,'2.报价结算清单'!$B235&lt;&gt;0,'2.报价结算清单'!H235&lt;&gt;0),'2.报价结算清单'!H235,"")</f>
        <v/>
      </c>
      <c r="H132" s="122" t="str">
        <f>IF(AND('2.报价结算清单'!$P235&gt;0,'2.报价结算清单'!$B235&lt;&gt;0,'2.报价结算清单'!$F235&lt;&gt;0),'2.报价结算清单'!J235,"")</f>
        <v/>
      </c>
      <c r="I132" s="105" t="str">
        <f>IF(AND('2.报价结算清单'!$P235&gt;0,'2.报价结算清单'!$B235&lt;&gt;0,'2.报价结算清单'!$F235&lt;&gt;0),'2.报价结算清单'!L235,"")</f>
        <v/>
      </c>
      <c r="J132" s="105" t="str">
        <f>IF(AND('2.报价结算清单'!$P235&gt;0,'2.报价结算清单'!$B235&lt;&gt;0,'2.报价结算清单'!I235&lt;&gt;0),'2.报价结算清单'!I235,"")</f>
        <v/>
      </c>
      <c r="K132" s="105" t="str">
        <f>IF(AND('2.报价结算清单'!$P235&gt;0,'2.报价结算清单'!$B235&lt;&gt;0,'2.报价结算清单'!$F235&lt;&gt;0),'2.报价结算清单'!N235,"")</f>
        <v/>
      </c>
      <c r="L132" s="105" t="str">
        <f>IF(AND('2.报价结算清单'!$P235&gt;0,'2.报价结算清单'!$B235&lt;&gt;0,'2.报价结算清单'!I235&lt;&gt;0),"天","")</f>
        <v/>
      </c>
      <c r="M132" s="80" t="str">
        <f t="shared" si="6"/>
        <v/>
      </c>
      <c r="N132" s="78" t="str">
        <f t="shared" si="7"/>
        <v/>
      </c>
      <c r="O132" s="78" t="str">
        <f>IF(AND('2.报价结算清单'!$P235&gt;0,'2.报价结算清单'!$B235&lt;&gt;0,'2.报价结算清单'!S235&lt;&gt;0),'2.报价结算清单'!S235,"")</f>
        <v/>
      </c>
      <c r="P132" s="78" t="str">
        <f>IF(AND('2.报价结算清单'!$P235&gt;0,'2.报价结算清单'!$B235&lt;&gt;0,'2.报价结算清单'!T235&lt;&gt;0),'2.报价结算清单'!T235,"")</f>
        <v/>
      </c>
      <c r="Q132" s="78" t="str">
        <f>IF(F132="",J132,VLOOKUP(F132,框架条目清单!A:K,4,FALSE))</f>
        <v/>
      </c>
      <c r="R132" s="106" t="str">
        <f>IF($A132="","",'2.报价结算清单'!$K$183)</f>
        <v/>
      </c>
      <c r="S132" s="80" t="str">
        <f>IF($A132="","",'2.报价结算清单'!$E$183)</f>
        <v/>
      </c>
      <c r="T132" s="78" t="str">
        <f>IF(F132="","",VLOOKUP(F132,框架条目清单!A:K,7,FALSE))</f>
        <v/>
      </c>
      <c r="U132" s="78" t="str">
        <f>IF(F132="","",VLOOKUP(F132,框架条目清单!A:K,8,FALSE))</f>
        <v/>
      </c>
      <c r="V132" s="78" t="str">
        <f>IF(F132="","",VLOOKUP(F132,框架条目清单!A:K,9,FALSE))</f>
        <v/>
      </c>
    </row>
    <row r="133" spans="1:22">
      <c r="A133" s="78" t="str">
        <f>IF(AND('2.报价结算清单'!$P236&gt;0,'2.报价结算清单'!$B236&lt;&gt;0,'2.报价结算清单'!$F236&lt;&gt;0),'2.报价结算清单'!$F236,"")</f>
        <v/>
      </c>
      <c r="B133" s="78" t="str">
        <f>_xlfn.IFNA(VLOOKUP(A133,'3.框架内物料'!$A:$I,3,0),A133)</f>
        <v/>
      </c>
      <c r="C133" s="78" t="str">
        <f>IF(AND('2.报价结算清单'!$P236&gt;0,'2.报价结算清单'!$B236&lt;&gt;0,'2.报价结算清单'!C236&lt;&gt;0),'2.报价结算清单'!C236,"")</f>
        <v/>
      </c>
      <c r="D133" s="78" t="str">
        <f>IF(AND('2.报价结算清单'!$P236&gt;0,'2.报价结算清单'!$B236&lt;&gt;0,'2.报价结算清单'!D236&lt;&gt;0),'2.报价结算清单'!D236,"")</f>
        <v/>
      </c>
      <c r="E133" s="78" t="str">
        <f>IF(AND('2.报价结算清单'!$P236&gt;0,'2.报价结算清单'!$B236&lt;&gt;0,'2.报价结算清单'!E236&lt;&gt;0),'2.报价结算清单'!E236,"")</f>
        <v/>
      </c>
      <c r="F133" s="105" t="str">
        <f>_xlfn.IFNA(IF($A133="","",IF(VLOOKUP($A133,'3.框架内物料'!$A:$I,2,0)="","",VLOOKUP($A133,'3.框架内物料'!$A:$I,2,0))),"")</f>
        <v/>
      </c>
      <c r="G133" s="87" t="str">
        <f>IF(AND('2.报价结算清单'!$P236&gt;0,'2.报价结算清单'!$B236&lt;&gt;0,'2.报价结算清单'!H236&lt;&gt;0),'2.报价结算清单'!H236,"")</f>
        <v/>
      </c>
      <c r="H133" s="122" t="str">
        <f>IF(AND('2.报价结算清单'!$P236&gt;0,'2.报价结算清单'!$B236&lt;&gt;0,'2.报价结算清单'!$F236&lt;&gt;0),'2.报价结算清单'!J236,"")</f>
        <v/>
      </c>
      <c r="I133" s="105" t="str">
        <f>IF(AND('2.报价结算清单'!$P236&gt;0,'2.报价结算清单'!$B236&lt;&gt;0,'2.报价结算清单'!$F236&lt;&gt;0),'2.报价结算清单'!L236,"")</f>
        <v/>
      </c>
      <c r="J133" s="105" t="str">
        <f>IF(AND('2.报价结算清单'!$P236&gt;0,'2.报价结算清单'!$B236&lt;&gt;0,'2.报价结算清单'!I236&lt;&gt;0),'2.报价结算清单'!I236,"")</f>
        <v/>
      </c>
      <c r="K133" s="105" t="str">
        <f>IF(AND('2.报价结算清单'!$P236&gt;0,'2.报价结算清单'!$B236&lt;&gt;0,'2.报价结算清单'!$F236&lt;&gt;0),'2.报价结算清单'!N236,"")</f>
        <v/>
      </c>
      <c r="L133" s="105" t="str">
        <f>IF(AND('2.报价结算清单'!$P236&gt;0,'2.报价结算清单'!$B236&lt;&gt;0,'2.报价结算清单'!I236&lt;&gt;0),"天","")</f>
        <v/>
      </c>
      <c r="M133" s="80" t="str">
        <f t="shared" si="6"/>
        <v/>
      </c>
      <c r="N133" s="78" t="str">
        <f t="shared" si="7"/>
        <v/>
      </c>
      <c r="O133" s="78" t="str">
        <f>IF(AND('2.报价结算清单'!$P236&gt;0,'2.报价结算清单'!$B236&lt;&gt;0,'2.报价结算清单'!S236&lt;&gt;0),'2.报价结算清单'!S236,"")</f>
        <v/>
      </c>
      <c r="P133" s="78" t="str">
        <f>IF(AND('2.报价结算清单'!$P236&gt;0,'2.报价结算清单'!$B236&lt;&gt;0,'2.报价结算清单'!T236&lt;&gt;0),'2.报价结算清单'!T236,"")</f>
        <v/>
      </c>
      <c r="Q133" s="78" t="str">
        <f>IF(F133="",J133,VLOOKUP(F133,框架条目清单!A:K,4,FALSE))</f>
        <v/>
      </c>
      <c r="R133" s="106" t="str">
        <f>IF($A133="","",'2.报价结算清单'!$K$183)</f>
        <v/>
      </c>
      <c r="S133" s="80" t="str">
        <f>IF($A133="","",'2.报价结算清单'!$E$183)</f>
        <v/>
      </c>
      <c r="T133" s="78" t="str">
        <f>IF(F133="","",VLOOKUP(F133,框架条目清单!A:K,7,FALSE))</f>
        <v/>
      </c>
      <c r="U133" s="78" t="str">
        <f>IF(F133="","",VLOOKUP(F133,框架条目清单!A:K,8,FALSE))</f>
        <v/>
      </c>
      <c r="V133" s="78" t="str">
        <f>IF(F133="","",VLOOKUP(F133,框架条目清单!A:K,9,FALSE))</f>
        <v/>
      </c>
    </row>
    <row r="134" spans="1:22">
      <c r="A134" s="78" t="str">
        <f>IF(AND('2.报价结算清单'!$P237&gt;0,'2.报价结算清单'!$B237&lt;&gt;0,'2.报价结算清单'!$F237&lt;&gt;0),'2.报价结算清单'!$F237,"")</f>
        <v/>
      </c>
      <c r="B134" s="78" t="str">
        <f>_xlfn.IFNA(VLOOKUP(A134,'3.框架内物料'!$A:$I,3,0),A134)</f>
        <v/>
      </c>
      <c r="C134" s="78" t="str">
        <f>IF(AND('2.报价结算清单'!$P237&gt;0,'2.报价结算清单'!$B237&lt;&gt;0,'2.报价结算清单'!C237&lt;&gt;0),'2.报价结算清单'!C237,"")</f>
        <v/>
      </c>
      <c r="D134" s="78" t="str">
        <f>IF(AND('2.报价结算清单'!$P237&gt;0,'2.报价结算清单'!$B237&lt;&gt;0,'2.报价结算清单'!D237&lt;&gt;0),'2.报价结算清单'!D237,"")</f>
        <v/>
      </c>
      <c r="E134" s="78" t="str">
        <f>IF(AND('2.报价结算清单'!$P237&gt;0,'2.报价结算清单'!$B237&lt;&gt;0,'2.报价结算清单'!E237&lt;&gt;0),'2.报价结算清单'!E237,"")</f>
        <v/>
      </c>
      <c r="F134" s="105" t="str">
        <f>_xlfn.IFNA(IF($A134="","",IF(VLOOKUP($A134,'3.框架内物料'!$A:$I,2,0)="","",VLOOKUP($A134,'3.框架内物料'!$A:$I,2,0))),"")</f>
        <v/>
      </c>
      <c r="G134" s="87" t="str">
        <f>IF(AND('2.报价结算清单'!$P237&gt;0,'2.报价结算清单'!$B237&lt;&gt;0,'2.报价结算清单'!H237&lt;&gt;0),'2.报价结算清单'!H237,"")</f>
        <v/>
      </c>
      <c r="H134" s="122" t="str">
        <f>IF(AND('2.报价结算清单'!$P237&gt;0,'2.报价结算清单'!$B237&lt;&gt;0,'2.报价结算清单'!$F237&lt;&gt;0),'2.报价结算清单'!J237,"")</f>
        <v/>
      </c>
      <c r="I134" s="105" t="str">
        <f>IF(AND('2.报价结算清单'!$P237&gt;0,'2.报价结算清单'!$B237&lt;&gt;0,'2.报价结算清单'!$F237&lt;&gt;0),'2.报价结算清单'!L237,"")</f>
        <v/>
      </c>
      <c r="J134" s="105" t="str">
        <f>IF(AND('2.报价结算清单'!$P237&gt;0,'2.报价结算清单'!$B237&lt;&gt;0,'2.报价结算清单'!I237&lt;&gt;0),'2.报价结算清单'!I237,"")</f>
        <v/>
      </c>
      <c r="K134" s="105" t="str">
        <f>IF(AND('2.报价结算清单'!$P237&gt;0,'2.报价结算清单'!$B237&lt;&gt;0,'2.报价结算清单'!$F237&lt;&gt;0),'2.报价结算清单'!N237,"")</f>
        <v/>
      </c>
      <c r="L134" s="105" t="str">
        <f>IF(AND('2.报价结算清单'!$P237&gt;0,'2.报价结算清单'!$B237&lt;&gt;0,'2.报价结算清单'!I237&lt;&gt;0),"天","")</f>
        <v/>
      </c>
      <c r="M134" s="80" t="str">
        <f t="shared" si="6"/>
        <v/>
      </c>
      <c r="N134" s="78" t="str">
        <f t="shared" si="7"/>
        <v/>
      </c>
      <c r="O134" s="78" t="str">
        <f>IF(AND('2.报价结算清单'!$P237&gt;0,'2.报价结算清单'!$B237&lt;&gt;0,'2.报价结算清单'!S237&lt;&gt;0),'2.报价结算清单'!S237,"")</f>
        <v/>
      </c>
      <c r="P134" s="78" t="str">
        <f>IF(AND('2.报价结算清单'!$P237&gt;0,'2.报价结算清单'!$B237&lt;&gt;0,'2.报价结算清单'!T237&lt;&gt;0),'2.报价结算清单'!T237,"")</f>
        <v/>
      </c>
      <c r="Q134" s="78" t="str">
        <f>IF(F134="",J134,VLOOKUP(F134,框架条目清单!A:K,4,FALSE))</f>
        <v/>
      </c>
      <c r="R134" s="106" t="str">
        <f>IF($A134="","",'2.报价结算清单'!$K$183)</f>
        <v/>
      </c>
      <c r="S134" s="80" t="str">
        <f>IF($A134="","",'2.报价结算清单'!$E$183)</f>
        <v/>
      </c>
      <c r="T134" s="78" t="str">
        <f>IF(F134="","",VLOOKUP(F134,框架条目清单!A:K,7,FALSE))</f>
        <v/>
      </c>
      <c r="U134" s="78" t="str">
        <f>IF(F134="","",VLOOKUP(F134,框架条目清单!A:K,8,FALSE))</f>
        <v/>
      </c>
      <c r="V134" s="78" t="str">
        <f>IF(F134="","",VLOOKUP(F134,框架条目清单!A:K,9,FALSE))</f>
        <v/>
      </c>
    </row>
    <row r="135" spans="1:22">
      <c r="A135" s="78" t="str">
        <f>IF(AND('2.报价结算清单'!$P238&gt;0,'2.报价结算清单'!$B238&lt;&gt;0,'2.报价结算清单'!$F238&lt;&gt;0),'2.报价结算清单'!$F238,"")</f>
        <v/>
      </c>
      <c r="B135" s="78" t="str">
        <f>_xlfn.IFNA(VLOOKUP(A135,'3.框架内物料'!$A:$I,3,0),A135)</f>
        <v/>
      </c>
      <c r="C135" s="78" t="str">
        <f>IF(AND('2.报价结算清单'!$P238&gt;0,'2.报价结算清单'!$B238&lt;&gt;0,'2.报价结算清单'!C238&lt;&gt;0),'2.报价结算清单'!C238,"")</f>
        <v/>
      </c>
      <c r="D135" s="78" t="str">
        <f>IF(AND('2.报价结算清单'!$P238&gt;0,'2.报价结算清单'!$B238&lt;&gt;0,'2.报价结算清单'!D238&lt;&gt;0),'2.报价结算清单'!D238,"")</f>
        <v/>
      </c>
      <c r="E135" s="78" t="str">
        <f>IF(AND('2.报价结算清单'!$P238&gt;0,'2.报价结算清单'!$B238&lt;&gt;0,'2.报价结算清单'!E238&lt;&gt;0),'2.报价结算清单'!E238,"")</f>
        <v/>
      </c>
      <c r="F135" s="105" t="str">
        <f>_xlfn.IFNA(IF($A135="","",IF(VLOOKUP($A135,'3.框架内物料'!$A:$I,2,0)="","",VLOOKUP($A135,'3.框架内物料'!$A:$I,2,0))),"")</f>
        <v/>
      </c>
      <c r="G135" s="87" t="str">
        <f>IF(AND('2.报价结算清单'!$P238&gt;0,'2.报价结算清单'!$B238&lt;&gt;0,'2.报价结算清单'!H238&lt;&gt;0),'2.报价结算清单'!H238,"")</f>
        <v/>
      </c>
      <c r="H135" s="122" t="str">
        <f>IF(AND('2.报价结算清单'!$P238&gt;0,'2.报价结算清单'!$B238&lt;&gt;0,'2.报价结算清单'!$F238&lt;&gt;0),'2.报价结算清单'!J238,"")</f>
        <v/>
      </c>
      <c r="I135" s="105" t="str">
        <f>IF(AND('2.报价结算清单'!$P238&gt;0,'2.报价结算清单'!$B238&lt;&gt;0,'2.报价结算清单'!$F238&lt;&gt;0),'2.报价结算清单'!L238,"")</f>
        <v/>
      </c>
      <c r="J135" s="105" t="str">
        <f>IF(AND('2.报价结算清单'!$P238&gt;0,'2.报价结算清单'!$B238&lt;&gt;0,'2.报价结算清单'!I238&lt;&gt;0),'2.报价结算清单'!I238,"")</f>
        <v/>
      </c>
      <c r="K135" s="105" t="str">
        <f>IF(AND('2.报价结算清单'!$P238&gt;0,'2.报价结算清单'!$B238&lt;&gt;0,'2.报价结算清单'!$F238&lt;&gt;0),'2.报价结算清单'!N238,"")</f>
        <v/>
      </c>
      <c r="L135" s="105" t="str">
        <f>IF(AND('2.报价结算清单'!$P238&gt;0,'2.报价结算清单'!$B238&lt;&gt;0,'2.报价结算清单'!I238&lt;&gt;0),"天","")</f>
        <v/>
      </c>
      <c r="M135" s="80" t="str">
        <f t="shared" si="6"/>
        <v/>
      </c>
      <c r="N135" s="78" t="str">
        <f t="shared" si="7"/>
        <v/>
      </c>
      <c r="O135" s="78" t="str">
        <f>IF(AND('2.报价结算清单'!$P238&gt;0,'2.报价结算清单'!$B238&lt;&gt;0,'2.报价结算清单'!S238&lt;&gt;0),'2.报价结算清单'!S238,"")</f>
        <v/>
      </c>
      <c r="P135" s="78" t="str">
        <f>IF(AND('2.报价结算清单'!$P238&gt;0,'2.报价结算清单'!$B238&lt;&gt;0,'2.报价结算清单'!T238&lt;&gt;0),'2.报价结算清单'!T238,"")</f>
        <v/>
      </c>
      <c r="Q135" s="78" t="str">
        <f>IF(F135="",J135,VLOOKUP(F135,框架条目清单!A:K,4,FALSE))</f>
        <v/>
      </c>
      <c r="R135" s="106" t="str">
        <f>IF($A135="","",'2.报价结算清单'!$K$183)</f>
        <v/>
      </c>
      <c r="S135" s="80" t="str">
        <f>IF($A135="","",'2.报价结算清单'!$E$183)</f>
        <v/>
      </c>
      <c r="T135" s="78" t="str">
        <f>IF(F135="","",VLOOKUP(F135,框架条目清单!A:K,7,FALSE))</f>
        <v/>
      </c>
      <c r="U135" s="78" t="str">
        <f>IF(F135="","",VLOOKUP(F135,框架条目清单!A:K,8,FALSE))</f>
        <v/>
      </c>
      <c r="V135" s="78" t="str">
        <f>IF(F135="","",VLOOKUP(F135,框架条目清单!A:K,9,FALSE))</f>
        <v/>
      </c>
    </row>
    <row r="136" spans="1:22">
      <c r="A136" s="78" t="str">
        <f>IF(AND('2.报价结算清单'!$P239&gt;0,'2.报价结算清单'!$B239&lt;&gt;0,'2.报价结算清单'!$F239&lt;&gt;0),'2.报价结算清单'!$F239,"")</f>
        <v/>
      </c>
      <c r="B136" s="78" t="str">
        <f>_xlfn.IFNA(VLOOKUP(A136,'3.框架内物料'!$A:$I,3,0),A136)</f>
        <v/>
      </c>
      <c r="C136" s="78" t="str">
        <f>IF(AND('2.报价结算清单'!$P239&gt;0,'2.报价结算清单'!$B239&lt;&gt;0,'2.报价结算清单'!C239&lt;&gt;0),'2.报价结算清单'!C239,"")</f>
        <v/>
      </c>
      <c r="D136" s="78" t="str">
        <f>IF(AND('2.报价结算清单'!$P239&gt;0,'2.报价结算清单'!$B239&lt;&gt;0,'2.报价结算清单'!D239&lt;&gt;0),'2.报价结算清单'!D239,"")</f>
        <v/>
      </c>
      <c r="E136" s="78" t="str">
        <f>IF(AND('2.报价结算清单'!$P239&gt;0,'2.报价结算清单'!$B239&lt;&gt;0,'2.报价结算清单'!E239&lt;&gt;0),'2.报价结算清单'!E239,"")</f>
        <v/>
      </c>
      <c r="F136" s="105" t="str">
        <f>_xlfn.IFNA(IF($A136="","",IF(VLOOKUP($A136,'3.框架内物料'!$A:$I,2,0)="","",VLOOKUP($A136,'3.框架内物料'!$A:$I,2,0))),"")</f>
        <v/>
      </c>
      <c r="G136" s="87" t="str">
        <f>IF(AND('2.报价结算清单'!$P239&gt;0,'2.报价结算清单'!$B239&lt;&gt;0,'2.报价结算清单'!H239&lt;&gt;0),'2.报价结算清单'!H239,"")</f>
        <v/>
      </c>
      <c r="H136" s="122" t="str">
        <f>IF(AND('2.报价结算清单'!$P239&gt;0,'2.报价结算清单'!$B239&lt;&gt;0,'2.报价结算清单'!$F239&lt;&gt;0),'2.报价结算清单'!J239,"")</f>
        <v/>
      </c>
      <c r="I136" s="105" t="str">
        <f>IF(AND('2.报价结算清单'!$P239&gt;0,'2.报价结算清单'!$B239&lt;&gt;0,'2.报价结算清单'!$F239&lt;&gt;0),'2.报价结算清单'!L239,"")</f>
        <v/>
      </c>
      <c r="J136" s="105" t="str">
        <f>IF(AND('2.报价结算清单'!$P239&gt;0,'2.报价结算清单'!$B239&lt;&gt;0,'2.报价结算清单'!I239&lt;&gt;0),'2.报价结算清单'!I239,"")</f>
        <v/>
      </c>
      <c r="K136" s="105" t="str">
        <f>IF(AND('2.报价结算清单'!$P239&gt;0,'2.报价结算清单'!$B239&lt;&gt;0,'2.报价结算清单'!$F239&lt;&gt;0),'2.报价结算清单'!N239,"")</f>
        <v/>
      </c>
      <c r="L136" s="105" t="str">
        <f>IF(AND('2.报价结算清单'!$P239&gt;0,'2.报价结算清单'!$B239&lt;&gt;0,'2.报价结算清单'!I239&lt;&gt;0),"天","")</f>
        <v/>
      </c>
      <c r="M136" s="80" t="str">
        <f t="shared" ref="M136:M199" si="8">IF(A136="框架外物料","框架外",IF(A136="据实结算","据实结算",IF(A136="","","框架内")))</f>
        <v/>
      </c>
      <c r="N136" s="78" t="str">
        <f t="shared" ref="N136:N199" si="9">IFERROR(IF(H136*I136*K136=0,"",H136*I136*K136),"")</f>
        <v/>
      </c>
      <c r="O136" s="78" t="str">
        <f>IF(AND('2.报价结算清单'!$P239&gt;0,'2.报价结算清单'!$B239&lt;&gt;0,'2.报价结算清单'!S239&lt;&gt;0),'2.报价结算清单'!S239,"")</f>
        <v/>
      </c>
      <c r="P136" s="78" t="str">
        <f>IF(AND('2.报价结算清单'!$P239&gt;0,'2.报价结算清单'!$B239&lt;&gt;0,'2.报价结算清单'!T239&lt;&gt;0),'2.报价结算清单'!T239,"")</f>
        <v/>
      </c>
      <c r="Q136" s="78" t="str">
        <f>IF(F136="",J136,VLOOKUP(F136,框架条目清单!A:K,4,FALSE))</f>
        <v/>
      </c>
      <c r="R136" s="106" t="str">
        <f>IF($A136="","",'2.报价结算清单'!$K$183)</f>
        <v/>
      </c>
      <c r="S136" s="80" t="str">
        <f>IF($A136="","",'2.报价结算清单'!$E$183)</f>
        <v/>
      </c>
      <c r="T136" s="78" t="str">
        <f>IF(F136="","",VLOOKUP(F136,框架条目清单!A:K,7,FALSE))</f>
        <v/>
      </c>
      <c r="U136" s="78" t="str">
        <f>IF(F136="","",VLOOKUP(F136,框架条目清单!A:K,8,FALSE))</f>
        <v/>
      </c>
      <c r="V136" s="78" t="str">
        <f>IF(F136="","",VLOOKUP(F136,框架条目清单!A:K,9,FALSE))</f>
        <v/>
      </c>
    </row>
    <row r="137" spans="1:22">
      <c r="A137" s="78" t="str">
        <f>IF(AND('2.报价结算清单'!$P240&gt;0,'2.报价结算清单'!$B240&lt;&gt;0,'2.报价结算清单'!$F240&lt;&gt;0),'2.报价结算清单'!$F240,"")</f>
        <v/>
      </c>
      <c r="B137" s="78" t="str">
        <f>_xlfn.IFNA(VLOOKUP(A137,'3.框架内物料'!$A:$I,3,0),A137)</f>
        <v/>
      </c>
      <c r="C137" s="78" t="str">
        <f>IF(AND('2.报价结算清单'!$P240&gt;0,'2.报价结算清单'!$B240&lt;&gt;0,'2.报价结算清单'!C240&lt;&gt;0),'2.报价结算清单'!C240,"")</f>
        <v/>
      </c>
      <c r="D137" s="78" t="str">
        <f>IF(AND('2.报价结算清单'!$P240&gt;0,'2.报价结算清单'!$B240&lt;&gt;0,'2.报价结算清单'!D240&lt;&gt;0),'2.报价结算清单'!D240,"")</f>
        <v/>
      </c>
      <c r="E137" s="78" t="str">
        <f>IF(AND('2.报价结算清单'!$P240&gt;0,'2.报价结算清单'!$B240&lt;&gt;0,'2.报价结算清单'!E240&lt;&gt;0),'2.报价结算清单'!E240,"")</f>
        <v/>
      </c>
      <c r="F137" s="105" t="str">
        <f>_xlfn.IFNA(IF($A137="","",IF(VLOOKUP($A137,'3.框架内物料'!$A:$I,2,0)="","",VLOOKUP($A137,'3.框架内物料'!$A:$I,2,0))),"")</f>
        <v/>
      </c>
      <c r="G137" s="87" t="str">
        <f>IF(AND('2.报价结算清单'!$P240&gt;0,'2.报价结算清单'!$B240&lt;&gt;0,'2.报价结算清单'!H240&lt;&gt;0),'2.报价结算清单'!H240,"")</f>
        <v/>
      </c>
      <c r="H137" s="122" t="str">
        <f>IF(AND('2.报价结算清单'!$P240&gt;0,'2.报价结算清单'!$B240&lt;&gt;0,'2.报价结算清单'!$F240&lt;&gt;0),'2.报价结算清单'!J240,"")</f>
        <v/>
      </c>
      <c r="I137" s="105" t="str">
        <f>IF(AND('2.报价结算清单'!$P240&gt;0,'2.报价结算清单'!$B240&lt;&gt;0,'2.报价结算清单'!$F240&lt;&gt;0),'2.报价结算清单'!L240,"")</f>
        <v/>
      </c>
      <c r="J137" s="105" t="str">
        <f>IF(AND('2.报价结算清单'!$P240&gt;0,'2.报价结算清单'!$B240&lt;&gt;0,'2.报价结算清单'!I240&lt;&gt;0),'2.报价结算清单'!I240,"")</f>
        <v/>
      </c>
      <c r="K137" s="105" t="str">
        <f>IF(AND('2.报价结算清单'!$P240&gt;0,'2.报价结算清单'!$B240&lt;&gt;0,'2.报价结算清单'!$F240&lt;&gt;0),'2.报价结算清单'!N240,"")</f>
        <v/>
      </c>
      <c r="L137" s="105" t="str">
        <f>IF(AND('2.报价结算清单'!$P240&gt;0,'2.报价结算清单'!$B240&lt;&gt;0,'2.报价结算清单'!I240&lt;&gt;0),"天","")</f>
        <v/>
      </c>
      <c r="M137" s="80" t="str">
        <f t="shared" si="8"/>
        <v/>
      </c>
      <c r="N137" s="78" t="str">
        <f t="shared" si="9"/>
        <v/>
      </c>
      <c r="O137" s="78" t="str">
        <f>IF(AND('2.报价结算清单'!$P240&gt;0,'2.报价结算清单'!$B240&lt;&gt;0,'2.报价结算清单'!S240&lt;&gt;0),'2.报价结算清单'!S240,"")</f>
        <v/>
      </c>
      <c r="P137" s="78" t="str">
        <f>IF(AND('2.报价结算清单'!$P240&gt;0,'2.报价结算清单'!$B240&lt;&gt;0,'2.报价结算清单'!T240&lt;&gt;0),'2.报价结算清单'!T240,"")</f>
        <v/>
      </c>
      <c r="Q137" s="78" t="str">
        <f>IF(F137="",J137,VLOOKUP(F137,框架条目清单!A:K,4,FALSE))</f>
        <v/>
      </c>
      <c r="R137" s="106" t="str">
        <f>IF($A137="","",'2.报价结算清单'!$K$183)</f>
        <v/>
      </c>
      <c r="S137" s="80" t="str">
        <f>IF($A137="","",'2.报价结算清单'!$E$183)</f>
        <v/>
      </c>
      <c r="T137" s="78" t="str">
        <f>IF(F137="","",VLOOKUP(F137,框架条目清单!A:K,7,FALSE))</f>
        <v/>
      </c>
      <c r="U137" s="78" t="str">
        <f>IF(F137="","",VLOOKUP(F137,框架条目清单!A:K,8,FALSE))</f>
        <v/>
      </c>
      <c r="V137" s="78" t="str">
        <f>IF(F137="","",VLOOKUP(F137,框架条目清单!A:K,9,FALSE))</f>
        <v/>
      </c>
    </row>
    <row r="138" spans="1:22">
      <c r="A138" s="78" t="str">
        <f>IF(AND('2.报价结算清单'!$P241&gt;0,'2.报价结算清单'!$B241&lt;&gt;0,'2.报价结算清单'!$F241&lt;&gt;0),'2.报价结算清单'!$F241,"")</f>
        <v/>
      </c>
      <c r="B138" s="78" t="str">
        <f>_xlfn.IFNA(VLOOKUP(A138,'3.框架内物料'!$A:$I,3,0),A138)</f>
        <v/>
      </c>
      <c r="C138" s="78" t="str">
        <f>IF(AND('2.报价结算清单'!$P241&gt;0,'2.报价结算清单'!$B241&lt;&gt;0,'2.报价结算清单'!C241&lt;&gt;0),'2.报价结算清单'!C241,"")</f>
        <v/>
      </c>
      <c r="D138" s="78" t="str">
        <f>IF(AND('2.报价结算清单'!$P241&gt;0,'2.报价结算清单'!$B241&lt;&gt;0,'2.报价结算清单'!D241&lt;&gt;0),'2.报价结算清单'!D241,"")</f>
        <v/>
      </c>
      <c r="E138" s="78" t="str">
        <f>IF(AND('2.报价结算清单'!$P241&gt;0,'2.报价结算清单'!$B241&lt;&gt;0,'2.报价结算清单'!E241&lt;&gt;0),'2.报价结算清单'!E241,"")</f>
        <v/>
      </c>
      <c r="F138" s="105" t="str">
        <f>_xlfn.IFNA(IF($A138="","",IF(VLOOKUP($A138,'3.框架内物料'!$A:$I,2,0)="","",VLOOKUP($A138,'3.框架内物料'!$A:$I,2,0))),"")</f>
        <v/>
      </c>
      <c r="G138" s="87" t="str">
        <f>IF(AND('2.报价结算清单'!$P241&gt;0,'2.报价结算清单'!$B241&lt;&gt;0,'2.报价结算清单'!H241&lt;&gt;0),'2.报价结算清单'!H241,"")</f>
        <v/>
      </c>
      <c r="H138" s="122" t="str">
        <f>IF(AND('2.报价结算清单'!$P241&gt;0,'2.报价结算清单'!$B241&lt;&gt;0,'2.报价结算清单'!$F241&lt;&gt;0),'2.报价结算清单'!J241,"")</f>
        <v/>
      </c>
      <c r="I138" s="105" t="str">
        <f>IF(AND('2.报价结算清单'!$P241&gt;0,'2.报价结算清单'!$B241&lt;&gt;0,'2.报价结算清单'!$F241&lt;&gt;0),'2.报价结算清单'!L241,"")</f>
        <v/>
      </c>
      <c r="J138" s="105" t="str">
        <f>IF(AND('2.报价结算清单'!$P241&gt;0,'2.报价结算清单'!$B241&lt;&gt;0,'2.报价结算清单'!I241&lt;&gt;0),'2.报价结算清单'!I241,"")</f>
        <v/>
      </c>
      <c r="K138" s="105" t="str">
        <f>IF(AND('2.报价结算清单'!$P241&gt;0,'2.报价结算清单'!$B241&lt;&gt;0,'2.报价结算清单'!$F241&lt;&gt;0),'2.报价结算清单'!N241,"")</f>
        <v/>
      </c>
      <c r="L138" s="105" t="str">
        <f>IF(AND('2.报价结算清单'!$P241&gt;0,'2.报价结算清单'!$B241&lt;&gt;0,'2.报价结算清单'!I241&lt;&gt;0),"天","")</f>
        <v/>
      </c>
      <c r="M138" s="80" t="str">
        <f t="shared" si="8"/>
        <v/>
      </c>
      <c r="N138" s="78" t="str">
        <f t="shared" si="9"/>
        <v/>
      </c>
      <c r="O138" s="78" t="str">
        <f>IF(AND('2.报价结算清单'!$P241&gt;0,'2.报价结算清单'!$B241&lt;&gt;0,'2.报价结算清单'!S241&lt;&gt;0),'2.报价结算清单'!S241,"")</f>
        <v/>
      </c>
      <c r="P138" s="78" t="str">
        <f>IF(AND('2.报价结算清单'!$P241&gt;0,'2.报价结算清单'!$B241&lt;&gt;0,'2.报价结算清单'!T241&lt;&gt;0),'2.报价结算清单'!T241,"")</f>
        <v/>
      </c>
      <c r="Q138" s="78" t="str">
        <f>IF(F138="",J138,VLOOKUP(F138,框架条目清单!A:K,4,FALSE))</f>
        <v/>
      </c>
      <c r="R138" s="106" t="str">
        <f>IF($A138="","",'2.报价结算清单'!$K$183)</f>
        <v/>
      </c>
      <c r="S138" s="80" t="str">
        <f>IF($A138="","",'2.报价结算清单'!$E$183)</f>
        <v/>
      </c>
      <c r="T138" s="78" t="str">
        <f>IF(F138="","",VLOOKUP(F138,框架条目清单!A:K,7,FALSE))</f>
        <v/>
      </c>
      <c r="U138" s="78" t="str">
        <f>IF(F138="","",VLOOKUP(F138,框架条目清单!A:K,8,FALSE))</f>
        <v/>
      </c>
      <c r="V138" s="78" t="str">
        <f>IF(F138="","",VLOOKUP(F138,框架条目清单!A:K,9,FALSE))</f>
        <v/>
      </c>
    </row>
    <row r="139" spans="1:22">
      <c r="A139" s="78" t="str">
        <f>IF(AND('2.报价结算清单'!$P242&gt;0,'2.报价结算清单'!$B242&lt;&gt;0,'2.报价结算清单'!$F242&lt;&gt;0),'2.报价结算清单'!$F242,"")</f>
        <v/>
      </c>
      <c r="B139" s="78" t="str">
        <f>_xlfn.IFNA(VLOOKUP(A139,'3.框架内物料'!$A:$I,3,0),A139)</f>
        <v/>
      </c>
      <c r="C139" s="78" t="str">
        <f>IF(AND('2.报价结算清单'!$P242&gt;0,'2.报价结算清单'!$B242&lt;&gt;0,'2.报价结算清单'!C242&lt;&gt;0),'2.报价结算清单'!C242,"")</f>
        <v/>
      </c>
      <c r="D139" s="78" t="str">
        <f>IF(AND('2.报价结算清单'!$P242&gt;0,'2.报价结算清单'!$B242&lt;&gt;0,'2.报价结算清单'!D242&lt;&gt;0),'2.报价结算清单'!D242,"")</f>
        <v/>
      </c>
      <c r="E139" s="78" t="str">
        <f>IF(AND('2.报价结算清单'!$P242&gt;0,'2.报价结算清单'!$B242&lt;&gt;0,'2.报价结算清单'!E242&lt;&gt;0),'2.报价结算清单'!E242,"")</f>
        <v/>
      </c>
      <c r="F139" s="105" t="str">
        <f>_xlfn.IFNA(IF($A139="","",IF(VLOOKUP($A139,'3.框架内物料'!$A:$I,2,0)="","",VLOOKUP($A139,'3.框架内物料'!$A:$I,2,0))),"")</f>
        <v/>
      </c>
      <c r="G139" s="87" t="str">
        <f>IF(AND('2.报价结算清单'!$P242&gt;0,'2.报价结算清单'!$B242&lt;&gt;0,'2.报价结算清单'!H242&lt;&gt;0),'2.报价结算清单'!H242,"")</f>
        <v/>
      </c>
      <c r="H139" s="122" t="str">
        <f>IF(AND('2.报价结算清单'!$P242&gt;0,'2.报价结算清单'!$B242&lt;&gt;0,'2.报价结算清单'!$F242&lt;&gt;0),'2.报价结算清单'!J242,"")</f>
        <v/>
      </c>
      <c r="I139" s="105" t="str">
        <f>IF(AND('2.报价结算清单'!$P242&gt;0,'2.报价结算清单'!$B242&lt;&gt;0,'2.报价结算清单'!$F242&lt;&gt;0),'2.报价结算清单'!L242,"")</f>
        <v/>
      </c>
      <c r="J139" s="105" t="str">
        <f>IF(AND('2.报价结算清单'!$P242&gt;0,'2.报价结算清单'!$B242&lt;&gt;0,'2.报价结算清单'!I242&lt;&gt;0),'2.报价结算清单'!I242,"")</f>
        <v/>
      </c>
      <c r="K139" s="105" t="str">
        <f>IF(AND('2.报价结算清单'!$P242&gt;0,'2.报价结算清单'!$B242&lt;&gt;0,'2.报价结算清单'!$F242&lt;&gt;0),'2.报价结算清单'!N242,"")</f>
        <v/>
      </c>
      <c r="L139" s="105" t="str">
        <f>IF(AND('2.报价结算清单'!$P242&gt;0,'2.报价结算清单'!$B242&lt;&gt;0,'2.报价结算清单'!I242&lt;&gt;0),"天","")</f>
        <v/>
      </c>
      <c r="M139" s="80" t="str">
        <f t="shared" si="8"/>
        <v/>
      </c>
      <c r="N139" s="78" t="str">
        <f t="shared" si="9"/>
        <v/>
      </c>
      <c r="O139" s="78" t="str">
        <f>IF(AND('2.报价结算清单'!$P242&gt;0,'2.报价结算清单'!$B242&lt;&gt;0,'2.报价结算清单'!S242&lt;&gt;0),'2.报价结算清单'!S242,"")</f>
        <v/>
      </c>
      <c r="P139" s="78" t="str">
        <f>IF(AND('2.报价结算清单'!$P242&gt;0,'2.报价结算清单'!$B242&lt;&gt;0,'2.报价结算清单'!T242&lt;&gt;0),'2.报价结算清单'!T242,"")</f>
        <v/>
      </c>
      <c r="Q139" s="78" t="str">
        <f>IF(F139="",J139,VLOOKUP(F139,框架条目清单!A:K,4,FALSE))</f>
        <v/>
      </c>
      <c r="R139" s="106" t="str">
        <f>IF($A139="","",'2.报价结算清单'!$K$183)</f>
        <v/>
      </c>
      <c r="S139" s="80" t="str">
        <f>IF($A139="","",'2.报价结算清单'!$E$183)</f>
        <v/>
      </c>
      <c r="T139" s="78" t="str">
        <f>IF(F139="","",VLOOKUP(F139,框架条目清单!A:K,7,FALSE))</f>
        <v/>
      </c>
      <c r="U139" s="78" t="str">
        <f>IF(F139="","",VLOOKUP(F139,框架条目清单!A:K,8,FALSE))</f>
        <v/>
      </c>
      <c r="V139" s="78" t="str">
        <f>IF(F139="","",VLOOKUP(F139,框架条目清单!A:K,9,FALSE))</f>
        <v/>
      </c>
    </row>
    <row r="140" spans="1:22">
      <c r="A140" s="78" t="str">
        <f>IF(AND('2.报价结算清单'!$P243&gt;0,'2.报价结算清单'!$B243&lt;&gt;0,'2.报价结算清单'!$F243&lt;&gt;0),'2.报价结算清单'!$F243,"")</f>
        <v/>
      </c>
      <c r="B140" s="78" t="str">
        <f>_xlfn.IFNA(VLOOKUP(A140,'3.框架内物料'!$A:$I,3,0),A140)</f>
        <v/>
      </c>
      <c r="C140" s="78" t="str">
        <f>IF(AND('2.报价结算清单'!$P243&gt;0,'2.报价结算清单'!$B243&lt;&gt;0,'2.报价结算清单'!C243&lt;&gt;0),'2.报价结算清单'!C243,"")</f>
        <v/>
      </c>
      <c r="D140" s="78" t="str">
        <f>IF(AND('2.报价结算清单'!$P243&gt;0,'2.报价结算清单'!$B243&lt;&gt;0,'2.报价结算清单'!D243&lt;&gt;0),'2.报价结算清单'!D243,"")</f>
        <v/>
      </c>
      <c r="E140" s="78" t="str">
        <f>IF(AND('2.报价结算清单'!$P243&gt;0,'2.报价结算清单'!$B243&lt;&gt;0,'2.报价结算清单'!E243&lt;&gt;0),'2.报价结算清单'!E243,"")</f>
        <v/>
      </c>
      <c r="F140" s="105" t="str">
        <f>_xlfn.IFNA(IF($A140="","",IF(VLOOKUP($A140,'3.框架内物料'!$A:$I,2,0)="","",VLOOKUP($A140,'3.框架内物料'!$A:$I,2,0))),"")</f>
        <v/>
      </c>
      <c r="G140" s="87" t="str">
        <f>IF(AND('2.报价结算清单'!$P243&gt;0,'2.报价结算清单'!$B243&lt;&gt;0,'2.报价结算清单'!H243&lt;&gt;0),'2.报价结算清单'!H243,"")</f>
        <v/>
      </c>
      <c r="H140" s="122" t="str">
        <f>IF(AND('2.报价结算清单'!$P243&gt;0,'2.报价结算清单'!$B243&lt;&gt;0,'2.报价结算清单'!$F243&lt;&gt;0),'2.报价结算清单'!J243,"")</f>
        <v/>
      </c>
      <c r="I140" s="105" t="str">
        <f>IF(AND('2.报价结算清单'!$P243&gt;0,'2.报价结算清单'!$B243&lt;&gt;0,'2.报价结算清单'!$F243&lt;&gt;0),'2.报价结算清单'!L243,"")</f>
        <v/>
      </c>
      <c r="J140" s="105" t="str">
        <f>IF(AND('2.报价结算清单'!$P243&gt;0,'2.报价结算清单'!$B243&lt;&gt;0,'2.报价结算清单'!I243&lt;&gt;0),'2.报价结算清单'!I243,"")</f>
        <v/>
      </c>
      <c r="K140" s="105" t="str">
        <f>IF(AND('2.报价结算清单'!$P243&gt;0,'2.报价结算清单'!$B243&lt;&gt;0,'2.报价结算清单'!$F243&lt;&gt;0),'2.报价结算清单'!N243,"")</f>
        <v/>
      </c>
      <c r="L140" s="105" t="str">
        <f>IF(AND('2.报价结算清单'!$P243&gt;0,'2.报价结算清单'!$B243&lt;&gt;0,'2.报价结算清单'!I243&lt;&gt;0),"天","")</f>
        <v/>
      </c>
      <c r="M140" s="80" t="str">
        <f t="shared" si="8"/>
        <v/>
      </c>
      <c r="N140" s="78" t="str">
        <f t="shared" si="9"/>
        <v/>
      </c>
      <c r="O140" s="78" t="str">
        <f>IF(AND('2.报价结算清单'!$P243&gt;0,'2.报价结算清单'!$B243&lt;&gt;0,'2.报价结算清单'!S243&lt;&gt;0),'2.报价结算清单'!S243,"")</f>
        <v/>
      </c>
      <c r="P140" s="78" t="str">
        <f>IF(AND('2.报价结算清单'!$P243&gt;0,'2.报价结算清单'!$B243&lt;&gt;0,'2.报价结算清单'!T243&lt;&gt;0),'2.报价结算清单'!T243,"")</f>
        <v/>
      </c>
      <c r="Q140" s="78" t="str">
        <f>IF(F140="",J140,VLOOKUP(F140,框架条目清单!A:K,4,FALSE))</f>
        <v/>
      </c>
      <c r="R140" s="106" t="str">
        <f>IF($A140="","",'2.报价结算清单'!$K$183)</f>
        <v/>
      </c>
      <c r="S140" s="80" t="str">
        <f>IF($A140="","",'2.报价结算清单'!$E$183)</f>
        <v/>
      </c>
      <c r="T140" s="78" t="str">
        <f>IF(F140="","",VLOOKUP(F140,框架条目清单!A:K,7,FALSE))</f>
        <v/>
      </c>
      <c r="U140" s="78" t="str">
        <f>IF(F140="","",VLOOKUP(F140,框架条目清单!A:K,8,FALSE))</f>
        <v/>
      </c>
      <c r="V140" s="78" t="str">
        <f>IF(F140="","",VLOOKUP(F140,框架条目清单!A:K,9,FALSE))</f>
        <v/>
      </c>
    </row>
    <row r="141" spans="1:22">
      <c r="A141" s="78" t="str">
        <f>IF(AND('2.报价结算清单'!$P244&gt;0,'2.报价结算清单'!$B244&lt;&gt;0,'2.报价结算清单'!$F244&lt;&gt;0),'2.报价结算清单'!$F244,"")</f>
        <v/>
      </c>
      <c r="B141" s="78" t="str">
        <f>_xlfn.IFNA(VLOOKUP(A141,'3.框架内物料'!$A:$I,3,0),A141)</f>
        <v/>
      </c>
      <c r="C141" s="78" t="str">
        <f>IF(AND('2.报价结算清单'!$P244&gt;0,'2.报价结算清单'!$B244&lt;&gt;0,'2.报价结算清单'!C244&lt;&gt;0),'2.报价结算清单'!C244,"")</f>
        <v/>
      </c>
      <c r="D141" s="78" t="str">
        <f>IF(AND('2.报价结算清单'!$P244&gt;0,'2.报价结算清单'!$B244&lt;&gt;0,'2.报价结算清单'!D244&lt;&gt;0),'2.报价结算清单'!D244,"")</f>
        <v/>
      </c>
      <c r="E141" s="78" t="str">
        <f>IF(AND('2.报价结算清单'!$P244&gt;0,'2.报价结算清单'!$B244&lt;&gt;0,'2.报价结算清单'!E244&lt;&gt;0),'2.报价结算清单'!E244,"")</f>
        <v/>
      </c>
      <c r="F141" s="105" t="str">
        <f>_xlfn.IFNA(IF($A141="","",IF(VLOOKUP($A141,'3.框架内物料'!$A:$I,2,0)="","",VLOOKUP($A141,'3.框架内物料'!$A:$I,2,0))),"")</f>
        <v/>
      </c>
      <c r="G141" s="87" t="str">
        <f>IF(AND('2.报价结算清单'!$P244&gt;0,'2.报价结算清单'!$B244&lt;&gt;0,'2.报价结算清单'!H244&lt;&gt;0),'2.报价结算清单'!H244,"")</f>
        <v/>
      </c>
      <c r="H141" s="122" t="str">
        <f>IF(AND('2.报价结算清单'!$P244&gt;0,'2.报价结算清单'!$B244&lt;&gt;0,'2.报价结算清单'!$F244&lt;&gt;0),'2.报价结算清单'!J244,"")</f>
        <v/>
      </c>
      <c r="I141" s="105" t="str">
        <f>IF(AND('2.报价结算清单'!$P244&gt;0,'2.报价结算清单'!$B244&lt;&gt;0,'2.报价结算清单'!$F244&lt;&gt;0),'2.报价结算清单'!L244,"")</f>
        <v/>
      </c>
      <c r="J141" s="105" t="str">
        <f>IF(AND('2.报价结算清单'!$P244&gt;0,'2.报价结算清单'!$B244&lt;&gt;0,'2.报价结算清单'!I244&lt;&gt;0),'2.报价结算清单'!I244,"")</f>
        <v/>
      </c>
      <c r="K141" s="105" t="str">
        <f>IF(AND('2.报价结算清单'!$P244&gt;0,'2.报价结算清单'!$B244&lt;&gt;0,'2.报价结算清单'!$F244&lt;&gt;0),'2.报价结算清单'!N244,"")</f>
        <v/>
      </c>
      <c r="L141" s="105" t="str">
        <f>IF(AND('2.报价结算清单'!$P244&gt;0,'2.报价结算清单'!$B244&lt;&gt;0,'2.报价结算清单'!I244&lt;&gt;0),"天","")</f>
        <v/>
      </c>
      <c r="M141" s="80" t="str">
        <f t="shared" si="8"/>
        <v/>
      </c>
      <c r="N141" s="78" t="str">
        <f t="shared" si="9"/>
        <v/>
      </c>
      <c r="O141" s="78" t="str">
        <f>IF(AND('2.报价结算清单'!$P244&gt;0,'2.报价结算清单'!$B244&lt;&gt;0,'2.报价结算清单'!S244&lt;&gt;0),'2.报价结算清单'!S244,"")</f>
        <v/>
      </c>
      <c r="P141" s="78" t="str">
        <f>IF(AND('2.报价结算清单'!$P244&gt;0,'2.报价结算清单'!$B244&lt;&gt;0,'2.报价结算清单'!T244&lt;&gt;0),'2.报价结算清单'!T244,"")</f>
        <v/>
      </c>
      <c r="Q141" s="78" t="str">
        <f>IF(F141="",J141,VLOOKUP(F141,框架条目清单!A:K,4,FALSE))</f>
        <v/>
      </c>
      <c r="R141" s="106" t="str">
        <f>IF($A141="","",'2.报价结算清单'!$K$183)</f>
        <v/>
      </c>
      <c r="S141" s="80" t="str">
        <f>IF($A141="","",'2.报价结算清单'!$E$183)</f>
        <v/>
      </c>
      <c r="T141" s="78" t="str">
        <f>IF(F141="","",VLOOKUP(F141,框架条目清单!A:K,7,FALSE))</f>
        <v/>
      </c>
      <c r="U141" s="78" t="str">
        <f>IF(F141="","",VLOOKUP(F141,框架条目清单!A:K,8,FALSE))</f>
        <v/>
      </c>
      <c r="V141" s="78" t="str">
        <f>IF(F141="","",VLOOKUP(F141,框架条目清单!A:K,9,FALSE))</f>
        <v/>
      </c>
    </row>
    <row r="142" spans="1:22">
      <c r="A142" s="78" t="str">
        <f>IF(AND('2.报价结算清单'!$P245&gt;0,'2.报价结算清单'!$B245&lt;&gt;0,'2.报价结算清单'!$F245&lt;&gt;0),'2.报价结算清单'!$F245,"")</f>
        <v/>
      </c>
      <c r="B142" s="78" t="str">
        <f>_xlfn.IFNA(VLOOKUP(A142,'3.框架内物料'!$A:$I,3,0),A142)</f>
        <v/>
      </c>
      <c r="C142" s="78" t="str">
        <f>IF(AND('2.报价结算清单'!$P245&gt;0,'2.报价结算清单'!$B245&lt;&gt;0,'2.报价结算清单'!C245&lt;&gt;0),'2.报价结算清单'!C245,"")</f>
        <v/>
      </c>
      <c r="D142" s="78" t="str">
        <f>IF(AND('2.报价结算清单'!$P245&gt;0,'2.报价结算清单'!$B245&lt;&gt;0,'2.报价结算清单'!D245&lt;&gt;0),'2.报价结算清单'!D245,"")</f>
        <v/>
      </c>
      <c r="E142" s="78" t="str">
        <f>IF(AND('2.报价结算清单'!$P245&gt;0,'2.报价结算清单'!$B245&lt;&gt;0,'2.报价结算清单'!E245&lt;&gt;0),'2.报价结算清单'!E245,"")</f>
        <v/>
      </c>
      <c r="F142" s="105" t="str">
        <f>_xlfn.IFNA(IF($A142="","",IF(VLOOKUP($A142,'3.框架内物料'!$A:$I,2,0)="","",VLOOKUP($A142,'3.框架内物料'!$A:$I,2,0))),"")</f>
        <v/>
      </c>
      <c r="G142" s="87" t="str">
        <f>IF(AND('2.报价结算清单'!$P245&gt;0,'2.报价结算清单'!$B245&lt;&gt;0,'2.报价结算清单'!H245&lt;&gt;0),'2.报价结算清单'!H245,"")</f>
        <v/>
      </c>
      <c r="H142" s="122" t="str">
        <f>IF(AND('2.报价结算清单'!$P245&gt;0,'2.报价结算清单'!$B245&lt;&gt;0,'2.报价结算清单'!$F245&lt;&gt;0),'2.报价结算清单'!J245,"")</f>
        <v/>
      </c>
      <c r="I142" s="105" t="str">
        <f>IF(AND('2.报价结算清单'!$P245&gt;0,'2.报价结算清单'!$B245&lt;&gt;0,'2.报价结算清单'!$F245&lt;&gt;0),'2.报价结算清单'!L245,"")</f>
        <v/>
      </c>
      <c r="J142" s="105" t="str">
        <f>IF(AND('2.报价结算清单'!$P245&gt;0,'2.报价结算清单'!$B245&lt;&gt;0,'2.报价结算清单'!I245&lt;&gt;0),'2.报价结算清单'!I245,"")</f>
        <v/>
      </c>
      <c r="K142" s="105" t="str">
        <f>IF(AND('2.报价结算清单'!$P245&gt;0,'2.报价结算清单'!$B245&lt;&gt;0,'2.报价结算清单'!$F245&lt;&gt;0),'2.报价结算清单'!N245,"")</f>
        <v/>
      </c>
      <c r="L142" s="105" t="str">
        <f>IF(AND('2.报价结算清单'!$P245&gt;0,'2.报价结算清单'!$B245&lt;&gt;0,'2.报价结算清单'!I245&lt;&gt;0),"天","")</f>
        <v/>
      </c>
      <c r="M142" s="80" t="str">
        <f t="shared" si="8"/>
        <v/>
      </c>
      <c r="N142" s="78" t="str">
        <f t="shared" si="9"/>
        <v/>
      </c>
      <c r="O142" s="78" t="str">
        <f>IF(AND('2.报价结算清单'!$P245&gt;0,'2.报价结算清单'!$B245&lt;&gt;0,'2.报价结算清单'!S245&lt;&gt;0),'2.报价结算清单'!S245,"")</f>
        <v/>
      </c>
      <c r="P142" s="78" t="str">
        <f>IF(AND('2.报价结算清单'!$P245&gt;0,'2.报价结算清单'!$B245&lt;&gt;0,'2.报价结算清单'!T245&lt;&gt;0),'2.报价结算清单'!T245,"")</f>
        <v/>
      </c>
      <c r="Q142" s="78" t="str">
        <f>IF(F142="",J142,VLOOKUP(F142,框架条目清单!A:K,4,FALSE))</f>
        <v/>
      </c>
      <c r="R142" s="106" t="str">
        <f>IF($A142="","",'2.报价结算清单'!$K$183)</f>
        <v/>
      </c>
      <c r="S142" s="80" t="str">
        <f>IF($A142="","",'2.报价结算清单'!$E$183)</f>
        <v/>
      </c>
      <c r="T142" s="78" t="str">
        <f>IF(F142="","",VLOOKUP(F142,框架条目清单!A:K,7,FALSE))</f>
        <v/>
      </c>
      <c r="U142" s="78" t="str">
        <f>IF(F142="","",VLOOKUP(F142,框架条目清单!A:K,8,FALSE))</f>
        <v/>
      </c>
      <c r="V142" s="78" t="str">
        <f>IF(F142="","",VLOOKUP(F142,框架条目清单!A:K,9,FALSE))</f>
        <v/>
      </c>
    </row>
    <row r="143" spans="1:22">
      <c r="A143" s="78" t="str">
        <f>IF(AND('2.报价结算清单'!$P246&gt;0,'2.报价结算清单'!$B246&lt;&gt;0,'2.报价结算清单'!$F246&lt;&gt;0),'2.报价结算清单'!$F246,"")</f>
        <v/>
      </c>
      <c r="B143" s="78" t="str">
        <f>_xlfn.IFNA(VLOOKUP(A143,'3.框架内物料'!$A:$I,3,0),A143)</f>
        <v/>
      </c>
      <c r="C143" s="78" t="str">
        <f>IF(AND('2.报价结算清单'!$P246&gt;0,'2.报价结算清单'!$B246&lt;&gt;0,'2.报价结算清单'!C246&lt;&gt;0),'2.报价结算清单'!C246,"")</f>
        <v/>
      </c>
      <c r="D143" s="78" t="str">
        <f>IF(AND('2.报价结算清单'!$P246&gt;0,'2.报价结算清单'!$B246&lt;&gt;0,'2.报价结算清单'!D246&lt;&gt;0),'2.报价结算清单'!D246,"")</f>
        <v/>
      </c>
      <c r="E143" s="78" t="str">
        <f>IF(AND('2.报价结算清单'!$P246&gt;0,'2.报价结算清单'!$B246&lt;&gt;0,'2.报价结算清单'!E246&lt;&gt;0),'2.报价结算清单'!E246,"")</f>
        <v/>
      </c>
      <c r="F143" s="105" t="str">
        <f>_xlfn.IFNA(IF($A143="","",IF(VLOOKUP($A143,'3.框架内物料'!$A:$I,2,0)="","",VLOOKUP($A143,'3.框架内物料'!$A:$I,2,0))),"")</f>
        <v/>
      </c>
      <c r="G143" s="87" t="str">
        <f>IF(AND('2.报价结算清单'!$P246&gt;0,'2.报价结算清单'!$B246&lt;&gt;0,'2.报价结算清单'!H246&lt;&gt;0),'2.报价结算清单'!H246,"")</f>
        <v/>
      </c>
      <c r="H143" s="122" t="str">
        <f>IF(AND('2.报价结算清单'!$P246&gt;0,'2.报价结算清单'!$B246&lt;&gt;0,'2.报价结算清单'!$F246&lt;&gt;0),'2.报价结算清单'!J246,"")</f>
        <v/>
      </c>
      <c r="I143" s="105" t="str">
        <f>IF(AND('2.报价结算清单'!$P246&gt;0,'2.报价结算清单'!$B246&lt;&gt;0,'2.报价结算清单'!$F246&lt;&gt;0),'2.报价结算清单'!L246,"")</f>
        <v/>
      </c>
      <c r="J143" s="105" t="str">
        <f>IF(AND('2.报价结算清单'!$P246&gt;0,'2.报价结算清单'!$B246&lt;&gt;0,'2.报价结算清单'!I246&lt;&gt;0),'2.报价结算清单'!I246,"")</f>
        <v/>
      </c>
      <c r="K143" s="105" t="str">
        <f>IF(AND('2.报价结算清单'!$P246&gt;0,'2.报价结算清单'!$B246&lt;&gt;0,'2.报价结算清单'!$F246&lt;&gt;0),'2.报价结算清单'!N246,"")</f>
        <v/>
      </c>
      <c r="L143" s="105" t="str">
        <f>IF(AND('2.报价结算清单'!$P246&gt;0,'2.报价结算清单'!$B246&lt;&gt;0,'2.报价结算清单'!I246&lt;&gt;0),"天","")</f>
        <v/>
      </c>
      <c r="M143" s="80" t="str">
        <f t="shared" si="8"/>
        <v/>
      </c>
      <c r="N143" s="78" t="str">
        <f t="shared" si="9"/>
        <v/>
      </c>
      <c r="O143" s="78" t="str">
        <f>IF(AND('2.报价结算清单'!$P246&gt;0,'2.报价结算清单'!$B246&lt;&gt;0,'2.报价结算清单'!S246&lt;&gt;0),'2.报价结算清单'!S246,"")</f>
        <v/>
      </c>
      <c r="P143" s="78" t="str">
        <f>IF(AND('2.报价结算清单'!$P246&gt;0,'2.报价结算清单'!$B246&lt;&gt;0,'2.报价结算清单'!T246&lt;&gt;0),'2.报价结算清单'!T246,"")</f>
        <v/>
      </c>
      <c r="Q143" s="78" t="str">
        <f>IF(F143="",J143,VLOOKUP(F143,框架条目清单!A:K,4,FALSE))</f>
        <v/>
      </c>
      <c r="R143" s="106" t="str">
        <f>IF($A143="","",'2.报价结算清单'!$K$183)</f>
        <v/>
      </c>
      <c r="S143" s="80" t="str">
        <f>IF($A143="","",'2.报价结算清单'!$E$183)</f>
        <v/>
      </c>
      <c r="T143" s="78" t="str">
        <f>IF(F143="","",VLOOKUP(F143,框架条目清单!A:K,7,FALSE))</f>
        <v/>
      </c>
      <c r="U143" s="78" t="str">
        <f>IF(F143="","",VLOOKUP(F143,框架条目清单!A:K,8,FALSE))</f>
        <v/>
      </c>
      <c r="V143" s="78" t="str">
        <f>IF(F143="","",VLOOKUP(F143,框架条目清单!A:K,9,FALSE))</f>
        <v/>
      </c>
    </row>
    <row r="144" spans="1:22">
      <c r="A144" s="78" t="str">
        <f>IF(AND('2.报价结算清单'!$P247&gt;0,'2.报价结算清单'!$B247&lt;&gt;0,'2.报价结算清单'!$F247&lt;&gt;0),'2.报价结算清单'!$F247,"")</f>
        <v/>
      </c>
      <c r="B144" s="78" t="str">
        <f>_xlfn.IFNA(VLOOKUP(A144,'3.框架内物料'!$A:$I,3,0),A144)</f>
        <v/>
      </c>
      <c r="C144" s="78" t="str">
        <f>IF(AND('2.报价结算清单'!$P247&gt;0,'2.报价结算清单'!$B247&lt;&gt;0,'2.报价结算清单'!C247&lt;&gt;0),'2.报价结算清单'!C247,"")</f>
        <v/>
      </c>
      <c r="D144" s="78" t="str">
        <f>IF(AND('2.报价结算清单'!$P247&gt;0,'2.报价结算清单'!$B247&lt;&gt;0,'2.报价结算清单'!D247&lt;&gt;0),'2.报价结算清单'!D247,"")</f>
        <v/>
      </c>
      <c r="E144" s="78" t="str">
        <f>IF(AND('2.报价结算清单'!$P247&gt;0,'2.报价结算清单'!$B247&lt;&gt;0,'2.报价结算清单'!E247&lt;&gt;0),'2.报价结算清单'!E247,"")</f>
        <v/>
      </c>
      <c r="F144" s="105" t="str">
        <f>_xlfn.IFNA(IF($A144="","",IF(VLOOKUP($A144,'3.框架内物料'!$A:$I,2,0)="","",VLOOKUP($A144,'3.框架内物料'!$A:$I,2,0))),"")</f>
        <v/>
      </c>
      <c r="G144" s="87" t="str">
        <f>IF(AND('2.报价结算清单'!$P247&gt;0,'2.报价结算清单'!$B247&lt;&gt;0,'2.报价结算清单'!H247&lt;&gt;0),'2.报价结算清单'!H247,"")</f>
        <v/>
      </c>
      <c r="H144" s="122" t="str">
        <f>IF(AND('2.报价结算清单'!$P247&gt;0,'2.报价结算清单'!$B247&lt;&gt;0,'2.报价结算清单'!$F247&lt;&gt;0),'2.报价结算清单'!J247,"")</f>
        <v/>
      </c>
      <c r="I144" s="105" t="str">
        <f>IF(AND('2.报价结算清单'!$P247&gt;0,'2.报价结算清单'!$B247&lt;&gt;0,'2.报价结算清单'!$F247&lt;&gt;0),'2.报价结算清单'!L247,"")</f>
        <v/>
      </c>
      <c r="J144" s="105" t="str">
        <f>IF(AND('2.报价结算清单'!$P247&gt;0,'2.报价结算清单'!$B247&lt;&gt;0,'2.报价结算清单'!I247&lt;&gt;0),'2.报价结算清单'!I247,"")</f>
        <v/>
      </c>
      <c r="K144" s="105" t="str">
        <f>IF(AND('2.报价结算清单'!$P247&gt;0,'2.报价结算清单'!$B247&lt;&gt;0,'2.报价结算清单'!$F247&lt;&gt;0),'2.报价结算清单'!N247,"")</f>
        <v/>
      </c>
      <c r="L144" s="105" t="str">
        <f>IF(AND('2.报价结算清单'!$P247&gt;0,'2.报价结算清单'!$B247&lt;&gt;0,'2.报价结算清单'!I247&lt;&gt;0),"天","")</f>
        <v/>
      </c>
      <c r="M144" s="80" t="str">
        <f t="shared" si="8"/>
        <v/>
      </c>
      <c r="N144" s="78" t="str">
        <f t="shared" si="9"/>
        <v/>
      </c>
      <c r="O144" s="78" t="str">
        <f>IF(AND('2.报价结算清单'!$P247&gt;0,'2.报价结算清单'!$B247&lt;&gt;0,'2.报价结算清单'!S247&lt;&gt;0),'2.报价结算清单'!S247,"")</f>
        <v/>
      </c>
      <c r="P144" s="78" t="str">
        <f>IF(AND('2.报价结算清单'!$P247&gt;0,'2.报价结算清单'!$B247&lt;&gt;0,'2.报价结算清单'!T247&lt;&gt;0),'2.报价结算清单'!T247,"")</f>
        <v/>
      </c>
      <c r="Q144" s="78" t="str">
        <f>IF(F144="",J144,VLOOKUP(F144,框架条目清单!A:K,4,FALSE))</f>
        <v/>
      </c>
      <c r="R144" s="106" t="str">
        <f>IF($A144="","",'2.报价结算清单'!$K$183)</f>
        <v/>
      </c>
      <c r="S144" s="80" t="str">
        <f>IF($A144="","",'2.报价结算清单'!$E$183)</f>
        <v/>
      </c>
      <c r="T144" s="78" t="str">
        <f>IF(F144="","",VLOOKUP(F144,框架条目清单!A:K,7,FALSE))</f>
        <v/>
      </c>
      <c r="U144" s="78" t="str">
        <f>IF(F144="","",VLOOKUP(F144,框架条目清单!A:K,8,FALSE))</f>
        <v/>
      </c>
      <c r="V144" s="78" t="str">
        <f>IF(F144="","",VLOOKUP(F144,框架条目清单!A:K,9,FALSE))</f>
        <v/>
      </c>
    </row>
    <row r="145" spans="1:22">
      <c r="A145" s="78" t="str">
        <f>IF(AND('2.报价结算清单'!$P248&gt;0,'2.报价结算清单'!$B248&lt;&gt;0,'2.报价结算清单'!$F248&lt;&gt;0),'2.报价结算清单'!$F248,"")</f>
        <v/>
      </c>
      <c r="B145" s="78" t="str">
        <f>_xlfn.IFNA(VLOOKUP(A145,'3.框架内物料'!$A:$I,3,0),A145)</f>
        <v/>
      </c>
      <c r="C145" s="78" t="str">
        <f>IF(AND('2.报价结算清单'!$P248&gt;0,'2.报价结算清单'!$B248&lt;&gt;0,'2.报价结算清单'!C248&lt;&gt;0),'2.报价结算清单'!C248,"")</f>
        <v/>
      </c>
      <c r="D145" s="78" t="str">
        <f>IF(AND('2.报价结算清单'!$P248&gt;0,'2.报价结算清单'!$B248&lt;&gt;0,'2.报价结算清单'!D248&lt;&gt;0),'2.报价结算清单'!D248,"")</f>
        <v/>
      </c>
      <c r="E145" s="78" t="str">
        <f>IF(AND('2.报价结算清单'!$P248&gt;0,'2.报价结算清单'!$B248&lt;&gt;0,'2.报价结算清单'!E248&lt;&gt;0),'2.报价结算清单'!E248,"")</f>
        <v/>
      </c>
      <c r="F145" s="105" t="str">
        <f>_xlfn.IFNA(IF($A145="","",IF(VLOOKUP($A145,'3.框架内物料'!$A:$I,2,0)="","",VLOOKUP($A145,'3.框架内物料'!$A:$I,2,0))),"")</f>
        <v/>
      </c>
      <c r="G145" s="87" t="str">
        <f>IF(AND('2.报价结算清单'!$P248&gt;0,'2.报价结算清单'!$B248&lt;&gt;0,'2.报价结算清单'!H248&lt;&gt;0),'2.报价结算清单'!H248,"")</f>
        <v/>
      </c>
      <c r="H145" s="122" t="str">
        <f>IF(AND('2.报价结算清单'!$P248&gt;0,'2.报价结算清单'!$B248&lt;&gt;0,'2.报价结算清单'!$F248&lt;&gt;0),'2.报价结算清单'!J248,"")</f>
        <v/>
      </c>
      <c r="I145" s="105" t="str">
        <f>IF(AND('2.报价结算清单'!$P248&gt;0,'2.报价结算清单'!$B248&lt;&gt;0,'2.报价结算清单'!$F248&lt;&gt;0),'2.报价结算清单'!L248,"")</f>
        <v/>
      </c>
      <c r="J145" s="105" t="str">
        <f>IF(AND('2.报价结算清单'!$P248&gt;0,'2.报价结算清单'!$B248&lt;&gt;0,'2.报价结算清单'!I248&lt;&gt;0),'2.报价结算清单'!I248,"")</f>
        <v/>
      </c>
      <c r="K145" s="105" t="str">
        <f>IF(AND('2.报价结算清单'!$P248&gt;0,'2.报价结算清单'!$B248&lt;&gt;0,'2.报价结算清单'!$F248&lt;&gt;0),'2.报价结算清单'!N248,"")</f>
        <v/>
      </c>
      <c r="L145" s="105" t="str">
        <f>IF(AND('2.报价结算清单'!$P248&gt;0,'2.报价结算清单'!$B248&lt;&gt;0,'2.报价结算清单'!I248&lt;&gt;0),"天","")</f>
        <v/>
      </c>
      <c r="M145" s="80" t="str">
        <f t="shared" si="8"/>
        <v/>
      </c>
      <c r="N145" s="78" t="str">
        <f t="shared" si="9"/>
        <v/>
      </c>
      <c r="O145" s="78" t="str">
        <f>IF(AND('2.报价结算清单'!$P248&gt;0,'2.报价结算清单'!$B248&lt;&gt;0,'2.报价结算清单'!S248&lt;&gt;0),'2.报价结算清单'!S248,"")</f>
        <v/>
      </c>
      <c r="P145" s="78" t="str">
        <f>IF(AND('2.报价结算清单'!$P248&gt;0,'2.报价结算清单'!$B248&lt;&gt;0,'2.报价结算清单'!T248&lt;&gt;0),'2.报价结算清单'!T248,"")</f>
        <v/>
      </c>
      <c r="Q145" s="78" t="str">
        <f>IF(F145="",J145,VLOOKUP(F145,框架条目清单!A:K,4,FALSE))</f>
        <v/>
      </c>
      <c r="R145" s="106" t="str">
        <f>IF($A145="","",'2.报价结算清单'!$K$183)</f>
        <v/>
      </c>
      <c r="S145" s="80" t="str">
        <f>IF($A145="","",'2.报价结算清单'!$E$183)</f>
        <v/>
      </c>
      <c r="T145" s="78" t="str">
        <f>IF(F145="","",VLOOKUP(F145,框架条目清单!A:K,7,FALSE))</f>
        <v/>
      </c>
      <c r="U145" s="78" t="str">
        <f>IF(F145="","",VLOOKUP(F145,框架条目清单!A:K,8,FALSE))</f>
        <v/>
      </c>
      <c r="V145" s="78" t="str">
        <f>IF(F145="","",VLOOKUP(F145,框架条目清单!A:K,9,FALSE))</f>
        <v/>
      </c>
    </row>
    <row r="146" spans="1:22">
      <c r="A146" s="78" t="str">
        <f>IF(AND('2.报价结算清单'!$P249&gt;0,'2.报价结算清单'!$B249&lt;&gt;0,'2.报价结算清单'!$F249&lt;&gt;0),'2.报价结算清单'!$F249,"")</f>
        <v/>
      </c>
      <c r="B146" s="78" t="str">
        <f>_xlfn.IFNA(VLOOKUP(A146,'3.框架内物料'!$A:$I,3,0),A146)</f>
        <v/>
      </c>
      <c r="C146" s="78" t="str">
        <f>IF(AND('2.报价结算清单'!$P249&gt;0,'2.报价结算清单'!$B249&lt;&gt;0,'2.报价结算清单'!C249&lt;&gt;0),'2.报价结算清单'!C249,"")</f>
        <v/>
      </c>
      <c r="D146" s="78" t="str">
        <f>IF(AND('2.报价结算清单'!$P249&gt;0,'2.报价结算清单'!$B249&lt;&gt;0,'2.报价结算清单'!D249&lt;&gt;0),'2.报价结算清单'!D249,"")</f>
        <v/>
      </c>
      <c r="E146" s="78" t="str">
        <f>IF(AND('2.报价结算清单'!$P249&gt;0,'2.报价结算清单'!$B249&lt;&gt;0,'2.报价结算清单'!E249&lt;&gt;0),'2.报价结算清单'!E249,"")</f>
        <v/>
      </c>
      <c r="F146" s="105" t="str">
        <f>_xlfn.IFNA(IF($A146="","",IF(VLOOKUP($A146,'3.框架内物料'!$A:$I,2,0)="","",VLOOKUP($A146,'3.框架内物料'!$A:$I,2,0))),"")</f>
        <v/>
      </c>
      <c r="G146" s="87" t="str">
        <f>IF(AND('2.报价结算清单'!$P249&gt;0,'2.报价结算清单'!$B249&lt;&gt;0,'2.报价结算清单'!H249&lt;&gt;0),'2.报价结算清单'!H249,"")</f>
        <v/>
      </c>
      <c r="H146" s="122" t="str">
        <f>IF(AND('2.报价结算清单'!$P249&gt;0,'2.报价结算清单'!$B249&lt;&gt;0,'2.报价结算清单'!$F249&lt;&gt;0),'2.报价结算清单'!J249,"")</f>
        <v/>
      </c>
      <c r="I146" s="105" t="str">
        <f>IF(AND('2.报价结算清单'!$P249&gt;0,'2.报价结算清单'!$B249&lt;&gt;0,'2.报价结算清单'!$F249&lt;&gt;0),'2.报价结算清单'!L249,"")</f>
        <v/>
      </c>
      <c r="J146" s="105" t="str">
        <f>IF(AND('2.报价结算清单'!$P249&gt;0,'2.报价结算清单'!$B249&lt;&gt;0,'2.报价结算清单'!I249&lt;&gt;0),'2.报价结算清单'!I249,"")</f>
        <v/>
      </c>
      <c r="K146" s="105" t="str">
        <f>IF(AND('2.报价结算清单'!$P249&gt;0,'2.报价结算清单'!$B249&lt;&gt;0,'2.报价结算清单'!$F249&lt;&gt;0),'2.报价结算清单'!N249,"")</f>
        <v/>
      </c>
      <c r="L146" s="105" t="str">
        <f>IF(AND('2.报价结算清单'!$P249&gt;0,'2.报价结算清单'!$B249&lt;&gt;0,'2.报价结算清单'!I249&lt;&gt;0),"天","")</f>
        <v/>
      </c>
      <c r="M146" s="80" t="str">
        <f t="shared" si="8"/>
        <v/>
      </c>
      <c r="N146" s="78" t="str">
        <f t="shared" si="9"/>
        <v/>
      </c>
      <c r="O146" s="78" t="str">
        <f>IF(AND('2.报价结算清单'!$P249&gt;0,'2.报价结算清单'!$B249&lt;&gt;0,'2.报价结算清单'!S249&lt;&gt;0),'2.报价结算清单'!S249,"")</f>
        <v/>
      </c>
      <c r="P146" s="78" t="str">
        <f>IF(AND('2.报价结算清单'!$P249&gt;0,'2.报价结算清单'!$B249&lt;&gt;0,'2.报价结算清单'!T249&lt;&gt;0),'2.报价结算清单'!T249,"")</f>
        <v/>
      </c>
      <c r="Q146" s="78" t="str">
        <f>IF(F146="",J146,VLOOKUP(F146,框架条目清单!A:K,4,FALSE))</f>
        <v/>
      </c>
      <c r="R146" s="106" t="str">
        <f>IF($A146="","",'2.报价结算清单'!$K$183)</f>
        <v/>
      </c>
      <c r="S146" s="80" t="str">
        <f>IF($A146="","",'2.报价结算清单'!$E$183)</f>
        <v/>
      </c>
      <c r="T146" s="78" t="str">
        <f>IF(F146="","",VLOOKUP(F146,框架条目清单!A:K,7,FALSE))</f>
        <v/>
      </c>
      <c r="U146" s="78" t="str">
        <f>IF(F146="","",VLOOKUP(F146,框架条目清单!A:K,8,FALSE))</f>
        <v/>
      </c>
      <c r="V146" s="78" t="str">
        <f>IF(F146="","",VLOOKUP(F146,框架条目清单!A:K,9,FALSE))</f>
        <v/>
      </c>
    </row>
    <row r="147" spans="1:22">
      <c r="A147" s="78" t="str">
        <f>IF(AND('2.报价结算清单'!$P250&gt;0,'2.报价结算清单'!$B250&lt;&gt;0,'2.报价结算清单'!$F250&lt;&gt;0),'2.报价结算清单'!$F250,"")</f>
        <v/>
      </c>
      <c r="B147" s="78" t="str">
        <f>_xlfn.IFNA(VLOOKUP(A147,'3.框架内物料'!$A:$I,3,0),A147)</f>
        <v/>
      </c>
      <c r="C147" s="78" t="str">
        <f>IF(AND('2.报价结算清单'!$P250&gt;0,'2.报价结算清单'!$B250&lt;&gt;0,'2.报价结算清单'!C250&lt;&gt;0),'2.报价结算清单'!C250,"")</f>
        <v/>
      </c>
      <c r="D147" s="78" t="str">
        <f>IF(AND('2.报价结算清单'!$P250&gt;0,'2.报价结算清单'!$B250&lt;&gt;0,'2.报价结算清单'!D250&lt;&gt;0),'2.报价结算清单'!D250,"")</f>
        <v/>
      </c>
      <c r="E147" s="78" t="str">
        <f>IF(AND('2.报价结算清单'!$P250&gt;0,'2.报价结算清单'!$B250&lt;&gt;0,'2.报价结算清单'!E250&lt;&gt;0),'2.报价结算清单'!E250,"")</f>
        <v/>
      </c>
      <c r="F147" s="105" t="str">
        <f>_xlfn.IFNA(IF($A147="","",IF(VLOOKUP($A147,'3.框架内物料'!$A:$I,2,0)="","",VLOOKUP($A147,'3.框架内物料'!$A:$I,2,0))),"")</f>
        <v/>
      </c>
      <c r="G147" s="87" t="str">
        <f>IF(AND('2.报价结算清单'!$P250&gt;0,'2.报价结算清单'!$B250&lt;&gt;0,'2.报价结算清单'!H250&lt;&gt;0),'2.报价结算清单'!H250,"")</f>
        <v/>
      </c>
      <c r="H147" s="122" t="str">
        <f>IF(AND('2.报价结算清单'!$P250&gt;0,'2.报价结算清单'!$B250&lt;&gt;0,'2.报价结算清单'!$F250&lt;&gt;0),'2.报价结算清单'!J250,"")</f>
        <v/>
      </c>
      <c r="I147" s="105" t="str">
        <f>IF(AND('2.报价结算清单'!$P250&gt;0,'2.报价结算清单'!$B250&lt;&gt;0,'2.报价结算清单'!$F250&lt;&gt;0),'2.报价结算清单'!L250,"")</f>
        <v/>
      </c>
      <c r="J147" s="105" t="str">
        <f>IF(AND('2.报价结算清单'!$P250&gt;0,'2.报价结算清单'!$B250&lt;&gt;0,'2.报价结算清单'!I250&lt;&gt;0),'2.报价结算清单'!I250,"")</f>
        <v/>
      </c>
      <c r="K147" s="105" t="str">
        <f>IF(AND('2.报价结算清单'!$P250&gt;0,'2.报价结算清单'!$B250&lt;&gt;0,'2.报价结算清单'!$F250&lt;&gt;0),'2.报价结算清单'!N250,"")</f>
        <v/>
      </c>
      <c r="L147" s="105" t="str">
        <f>IF(AND('2.报价结算清单'!$P250&gt;0,'2.报价结算清单'!$B250&lt;&gt;0,'2.报价结算清单'!I250&lt;&gt;0),"天","")</f>
        <v/>
      </c>
      <c r="M147" s="80" t="str">
        <f t="shared" si="8"/>
        <v/>
      </c>
      <c r="N147" s="78" t="str">
        <f t="shared" si="9"/>
        <v/>
      </c>
      <c r="O147" s="78" t="str">
        <f>IF(AND('2.报价结算清单'!$P250&gt;0,'2.报价结算清单'!$B250&lt;&gt;0,'2.报价结算清单'!S250&lt;&gt;0),'2.报价结算清单'!S250,"")</f>
        <v/>
      </c>
      <c r="P147" s="78" t="str">
        <f>IF(AND('2.报价结算清单'!$P250&gt;0,'2.报价结算清单'!$B250&lt;&gt;0,'2.报价结算清单'!T250&lt;&gt;0),'2.报价结算清单'!T250,"")</f>
        <v/>
      </c>
      <c r="Q147" s="78" t="str">
        <f>IF(F147="",J147,VLOOKUP(F147,框架条目清单!A:K,4,FALSE))</f>
        <v/>
      </c>
      <c r="R147" s="106" t="str">
        <f>IF($A147="","",'2.报价结算清单'!$K$183)</f>
        <v/>
      </c>
      <c r="S147" s="80" t="str">
        <f>IF($A147="","",'2.报价结算清单'!$E$183)</f>
        <v/>
      </c>
      <c r="T147" s="78" t="str">
        <f>IF(F147="","",VLOOKUP(F147,框架条目清单!A:K,7,FALSE))</f>
        <v/>
      </c>
      <c r="U147" s="78" t="str">
        <f>IF(F147="","",VLOOKUP(F147,框架条目清单!A:K,8,FALSE))</f>
        <v/>
      </c>
      <c r="V147" s="78" t="str">
        <f>IF(F147="","",VLOOKUP(F147,框架条目清单!A:K,9,FALSE))</f>
        <v/>
      </c>
    </row>
    <row r="148" spans="1:22">
      <c r="A148" s="78" t="str">
        <f>IF(AND('2.报价结算清单'!$P251&gt;0,'2.报价结算清单'!$B251&lt;&gt;0,'2.报价结算清单'!$F251&lt;&gt;0),'2.报价结算清单'!$F251,"")</f>
        <v/>
      </c>
      <c r="B148" s="78" t="str">
        <f>_xlfn.IFNA(VLOOKUP(A148,'3.框架内物料'!$A:$I,3,0),A148)</f>
        <v/>
      </c>
      <c r="C148" s="78" t="str">
        <f>IF(AND('2.报价结算清单'!$P251&gt;0,'2.报价结算清单'!$B251&lt;&gt;0,'2.报价结算清单'!C251&lt;&gt;0),'2.报价结算清单'!C251,"")</f>
        <v/>
      </c>
      <c r="D148" s="78" t="str">
        <f>IF(AND('2.报价结算清单'!$P251&gt;0,'2.报价结算清单'!$B251&lt;&gt;0,'2.报价结算清单'!D251&lt;&gt;0),'2.报价结算清单'!D251,"")</f>
        <v/>
      </c>
      <c r="E148" s="78" t="str">
        <f>IF(AND('2.报价结算清单'!$P251&gt;0,'2.报价结算清单'!$B251&lt;&gt;0,'2.报价结算清单'!E251&lt;&gt;0),'2.报价结算清单'!E251,"")</f>
        <v/>
      </c>
      <c r="F148" s="105" t="str">
        <f>_xlfn.IFNA(IF($A148="","",IF(VLOOKUP($A148,'3.框架内物料'!$A:$I,2,0)="","",VLOOKUP($A148,'3.框架内物料'!$A:$I,2,0))),"")</f>
        <v/>
      </c>
      <c r="G148" s="87" t="str">
        <f>IF(AND('2.报价结算清单'!$P251&gt;0,'2.报价结算清单'!$B251&lt;&gt;0,'2.报价结算清单'!H251&lt;&gt;0),'2.报价结算清单'!H251,"")</f>
        <v/>
      </c>
      <c r="H148" s="122" t="str">
        <f>IF(AND('2.报价结算清单'!$P251&gt;0,'2.报价结算清单'!$B251&lt;&gt;0,'2.报价结算清单'!$F251&lt;&gt;0),'2.报价结算清单'!J251,"")</f>
        <v/>
      </c>
      <c r="I148" s="105" t="str">
        <f>IF(AND('2.报价结算清单'!$P251&gt;0,'2.报价结算清单'!$B251&lt;&gt;0,'2.报价结算清单'!$F251&lt;&gt;0),'2.报价结算清单'!L251,"")</f>
        <v/>
      </c>
      <c r="J148" s="105" t="str">
        <f>IF(AND('2.报价结算清单'!$P251&gt;0,'2.报价结算清单'!$B251&lt;&gt;0,'2.报价结算清单'!I251&lt;&gt;0),'2.报价结算清单'!I251,"")</f>
        <v/>
      </c>
      <c r="K148" s="105" t="str">
        <f>IF(AND('2.报价结算清单'!$P251&gt;0,'2.报价结算清单'!$B251&lt;&gt;0,'2.报价结算清单'!$F251&lt;&gt;0),'2.报价结算清单'!N251,"")</f>
        <v/>
      </c>
      <c r="L148" s="105" t="str">
        <f>IF(AND('2.报价结算清单'!$P251&gt;0,'2.报价结算清单'!$B251&lt;&gt;0,'2.报价结算清单'!I251&lt;&gt;0),"天","")</f>
        <v/>
      </c>
      <c r="M148" s="80" t="str">
        <f t="shared" si="8"/>
        <v/>
      </c>
      <c r="N148" s="78" t="str">
        <f t="shared" si="9"/>
        <v/>
      </c>
      <c r="O148" s="78" t="str">
        <f>IF(AND('2.报价结算清单'!$P251&gt;0,'2.报价结算清单'!$B251&lt;&gt;0,'2.报价结算清单'!S251&lt;&gt;0),'2.报价结算清单'!S251,"")</f>
        <v/>
      </c>
      <c r="P148" s="78" t="str">
        <f>IF(AND('2.报价结算清单'!$P251&gt;0,'2.报价结算清单'!$B251&lt;&gt;0,'2.报价结算清单'!T251&lt;&gt;0),'2.报价结算清单'!T251,"")</f>
        <v/>
      </c>
      <c r="Q148" s="78" t="str">
        <f>IF(F148="",J148,VLOOKUP(F148,框架条目清单!A:K,4,FALSE))</f>
        <v/>
      </c>
      <c r="R148" s="106" t="str">
        <f>IF($A148="","",'2.报价结算清单'!$K$183)</f>
        <v/>
      </c>
      <c r="S148" s="80" t="str">
        <f>IF($A148="","",'2.报价结算清单'!$E$183)</f>
        <v/>
      </c>
      <c r="T148" s="78" t="str">
        <f>IF(F148="","",VLOOKUP(F148,框架条目清单!A:K,7,FALSE))</f>
        <v/>
      </c>
      <c r="U148" s="78" t="str">
        <f>IF(F148="","",VLOOKUP(F148,框架条目清单!A:K,8,FALSE))</f>
        <v/>
      </c>
      <c r="V148" s="78" t="str">
        <f>IF(F148="","",VLOOKUP(F148,框架条目清单!A:K,9,FALSE))</f>
        <v/>
      </c>
    </row>
    <row r="149" spans="1:22">
      <c r="A149" s="78" t="str">
        <f>IF(AND('2.报价结算清单'!$P252&gt;0,'2.报价结算清单'!$B252&lt;&gt;0,'2.报价结算清单'!$F252&lt;&gt;0),'2.报价结算清单'!$F252,"")</f>
        <v/>
      </c>
      <c r="B149" s="78" t="str">
        <f>_xlfn.IFNA(VLOOKUP(A149,'3.框架内物料'!$A:$I,3,0),A149)</f>
        <v/>
      </c>
      <c r="C149" s="78" t="str">
        <f>IF(AND('2.报价结算清单'!$P252&gt;0,'2.报价结算清单'!$B252&lt;&gt;0,'2.报价结算清单'!C252&lt;&gt;0),'2.报价结算清单'!C252,"")</f>
        <v/>
      </c>
      <c r="D149" s="78" t="str">
        <f>IF(AND('2.报价结算清单'!$P252&gt;0,'2.报价结算清单'!$B252&lt;&gt;0,'2.报价结算清单'!D252&lt;&gt;0),'2.报价结算清单'!D252,"")</f>
        <v/>
      </c>
      <c r="E149" s="78" t="str">
        <f>IF(AND('2.报价结算清单'!$P252&gt;0,'2.报价结算清单'!$B252&lt;&gt;0,'2.报价结算清单'!E252&lt;&gt;0),'2.报价结算清单'!E252,"")</f>
        <v/>
      </c>
      <c r="F149" s="105" t="str">
        <f>_xlfn.IFNA(IF($A149="","",IF(VLOOKUP($A149,'3.框架内物料'!$A:$I,2,0)="","",VLOOKUP($A149,'3.框架内物料'!$A:$I,2,0))),"")</f>
        <v/>
      </c>
      <c r="G149" s="87" t="str">
        <f>IF(AND('2.报价结算清单'!$P252&gt;0,'2.报价结算清单'!$B252&lt;&gt;0,'2.报价结算清单'!H252&lt;&gt;0),'2.报价结算清单'!H252,"")</f>
        <v/>
      </c>
      <c r="H149" s="122" t="str">
        <f>IF(AND('2.报价结算清单'!$P252&gt;0,'2.报价结算清单'!$B252&lt;&gt;0,'2.报价结算清单'!$F252&lt;&gt;0),'2.报价结算清单'!J252,"")</f>
        <v/>
      </c>
      <c r="I149" s="105" t="str">
        <f>IF(AND('2.报价结算清单'!$P252&gt;0,'2.报价结算清单'!$B252&lt;&gt;0,'2.报价结算清单'!$F252&lt;&gt;0),'2.报价结算清单'!L252,"")</f>
        <v/>
      </c>
      <c r="J149" s="105" t="str">
        <f>IF(AND('2.报价结算清单'!$P252&gt;0,'2.报价结算清单'!$B252&lt;&gt;0,'2.报价结算清单'!I252&lt;&gt;0),'2.报价结算清单'!I252,"")</f>
        <v/>
      </c>
      <c r="K149" s="105" t="str">
        <f>IF(AND('2.报价结算清单'!$P252&gt;0,'2.报价结算清单'!$B252&lt;&gt;0,'2.报价结算清单'!$F252&lt;&gt;0),'2.报价结算清单'!N252,"")</f>
        <v/>
      </c>
      <c r="L149" s="105" t="str">
        <f>IF(AND('2.报价结算清单'!$P252&gt;0,'2.报价结算清单'!$B252&lt;&gt;0,'2.报价结算清单'!I252&lt;&gt;0),"天","")</f>
        <v/>
      </c>
      <c r="M149" s="80" t="str">
        <f t="shared" si="8"/>
        <v/>
      </c>
      <c r="N149" s="78" t="str">
        <f t="shared" si="9"/>
        <v/>
      </c>
      <c r="O149" s="78" t="str">
        <f>IF(AND('2.报价结算清单'!$P252&gt;0,'2.报价结算清单'!$B252&lt;&gt;0,'2.报价结算清单'!S252&lt;&gt;0),'2.报价结算清单'!S252,"")</f>
        <v/>
      </c>
      <c r="P149" s="78" t="str">
        <f>IF(AND('2.报价结算清单'!$P252&gt;0,'2.报价结算清单'!$B252&lt;&gt;0,'2.报价结算清单'!T252&lt;&gt;0),'2.报价结算清单'!T252,"")</f>
        <v/>
      </c>
      <c r="Q149" s="78" t="str">
        <f>IF(F149="",J149,VLOOKUP(F149,框架条目清单!A:K,4,FALSE))</f>
        <v/>
      </c>
      <c r="R149" s="106" t="str">
        <f>IF($A149="","",'2.报价结算清单'!$K$183)</f>
        <v/>
      </c>
      <c r="S149" s="80" t="str">
        <f>IF($A149="","",'2.报价结算清单'!$E$183)</f>
        <v/>
      </c>
      <c r="T149" s="78" t="str">
        <f>IF(F149="","",VLOOKUP(F149,框架条目清单!A:K,7,FALSE))</f>
        <v/>
      </c>
      <c r="U149" s="78" t="str">
        <f>IF(F149="","",VLOOKUP(F149,框架条目清单!A:K,8,FALSE))</f>
        <v/>
      </c>
      <c r="V149" s="78" t="str">
        <f>IF(F149="","",VLOOKUP(F149,框架条目清单!A:K,9,FALSE))</f>
        <v/>
      </c>
    </row>
    <row r="150" spans="1:22">
      <c r="A150" s="78" t="str">
        <f>IF(AND('2.报价结算清单'!$P253&gt;0,'2.报价结算清单'!$B253&lt;&gt;0,'2.报价结算清单'!$F253&lt;&gt;0),'2.报价结算清单'!$F253,"")</f>
        <v/>
      </c>
      <c r="B150" s="78" t="str">
        <f>_xlfn.IFNA(VLOOKUP(A150,'3.框架内物料'!$A:$I,3,0),A150)</f>
        <v/>
      </c>
      <c r="C150" s="78" t="str">
        <f>IF(AND('2.报价结算清单'!$P253&gt;0,'2.报价结算清单'!$B253&lt;&gt;0,'2.报价结算清单'!C253&lt;&gt;0),'2.报价结算清单'!C253,"")</f>
        <v/>
      </c>
      <c r="D150" s="78" t="str">
        <f>IF(AND('2.报价结算清单'!$P253&gt;0,'2.报价结算清单'!$B253&lt;&gt;0,'2.报价结算清单'!D253&lt;&gt;0),'2.报价结算清单'!D253,"")</f>
        <v/>
      </c>
      <c r="E150" s="78" t="str">
        <f>IF(AND('2.报价结算清单'!$P253&gt;0,'2.报价结算清单'!$B253&lt;&gt;0,'2.报价结算清单'!E253&lt;&gt;0),'2.报价结算清单'!E253,"")</f>
        <v/>
      </c>
      <c r="F150" s="105" t="str">
        <f>_xlfn.IFNA(IF($A150="","",IF(VLOOKUP($A150,'3.框架内物料'!$A:$I,2,0)="","",VLOOKUP($A150,'3.框架内物料'!$A:$I,2,0))),"")</f>
        <v/>
      </c>
      <c r="G150" s="87" t="str">
        <f>IF(AND('2.报价结算清单'!$P253&gt;0,'2.报价结算清单'!$B253&lt;&gt;0,'2.报价结算清单'!H253&lt;&gt;0),'2.报价结算清单'!H253,"")</f>
        <v/>
      </c>
      <c r="H150" s="122" t="str">
        <f>IF(AND('2.报价结算清单'!$P253&gt;0,'2.报价结算清单'!$B253&lt;&gt;0,'2.报价结算清单'!$F253&lt;&gt;0),'2.报价结算清单'!J253,"")</f>
        <v/>
      </c>
      <c r="I150" s="105" t="str">
        <f>IF(AND('2.报价结算清单'!$P253&gt;0,'2.报价结算清单'!$B253&lt;&gt;0,'2.报价结算清单'!$F253&lt;&gt;0),'2.报价结算清单'!L253,"")</f>
        <v/>
      </c>
      <c r="J150" s="105" t="str">
        <f>IF(AND('2.报价结算清单'!$P253&gt;0,'2.报价结算清单'!$B253&lt;&gt;0,'2.报价结算清单'!I253&lt;&gt;0),'2.报价结算清单'!I253,"")</f>
        <v/>
      </c>
      <c r="K150" s="105" t="str">
        <f>IF(AND('2.报价结算清单'!$P253&gt;0,'2.报价结算清单'!$B253&lt;&gt;0,'2.报价结算清单'!$F253&lt;&gt;0),'2.报价结算清单'!N253,"")</f>
        <v/>
      </c>
      <c r="L150" s="105" t="str">
        <f>IF(AND('2.报价结算清单'!$P253&gt;0,'2.报价结算清单'!$B253&lt;&gt;0,'2.报价结算清单'!I253&lt;&gt;0),"天","")</f>
        <v/>
      </c>
      <c r="M150" s="80" t="str">
        <f t="shared" si="8"/>
        <v/>
      </c>
      <c r="N150" s="78" t="str">
        <f t="shared" si="9"/>
        <v/>
      </c>
      <c r="O150" s="78" t="str">
        <f>IF(AND('2.报价结算清单'!$P253&gt;0,'2.报价结算清单'!$B253&lt;&gt;0,'2.报价结算清单'!S253&lt;&gt;0),'2.报价结算清单'!S253,"")</f>
        <v/>
      </c>
      <c r="P150" s="78" t="str">
        <f>IF(AND('2.报价结算清单'!$P253&gt;0,'2.报价结算清单'!$B253&lt;&gt;0,'2.报价结算清单'!T253&lt;&gt;0),'2.报价结算清单'!T253,"")</f>
        <v/>
      </c>
      <c r="Q150" s="78" t="str">
        <f>IF(F150="",J150,VLOOKUP(F150,框架条目清单!A:K,4,FALSE))</f>
        <v/>
      </c>
      <c r="R150" s="106" t="str">
        <f>IF($A150="","",'2.报价结算清单'!$K$183)</f>
        <v/>
      </c>
      <c r="S150" s="80" t="str">
        <f>IF($A150="","",'2.报价结算清单'!$E$183)</f>
        <v/>
      </c>
      <c r="T150" s="78" t="str">
        <f>IF(F150="","",VLOOKUP(F150,框架条目清单!A:K,7,FALSE))</f>
        <v/>
      </c>
      <c r="U150" s="78" t="str">
        <f>IF(F150="","",VLOOKUP(F150,框架条目清单!A:K,8,FALSE))</f>
        <v/>
      </c>
      <c r="V150" s="78" t="str">
        <f>IF(F150="","",VLOOKUP(F150,框架条目清单!A:K,9,FALSE))</f>
        <v/>
      </c>
    </row>
    <row r="151" spans="1:22">
      <c r="A151" s="78" t="str">
        <f>IF(AND('2.报价结算清单'!$P254&gt;0,'2.报价结算清单'!$B254&lt;&gt;0,'2.报价结算清单'!$F254&lt;&gt;0),'2.报价结算清单'!$F254,"")</f>
        <v/>
      </c>
      <c r="B151" s="78" t="str">
        <f>_xlfn.IFNA(VLOOKUP(A151,'3.框架内物料'!$A:$I,3,0),A151)</f>
        <v/>
      </c>
      <c r="C151" s="78" t="str">
        <f>IF(AND('2.报价结算清单'!$P254&gt;0,'2.报价结算清单'!$B254&lt;&gt;0,'2.报价结算清单'!C254&lt;&gt;0),'2.报价结算清单'!C254,"")</f>
        <v/>
      </c>
      <c r="D151" s="78" t="str">
        <f>IF(AND('2.报价结算清单'!$P254&gt;0,'2.报价结算清单'!$B254&lt;&gt;0,'2.报价结算清单'!D254&lt;&gt;0),'2.报价结算清单'!D254,"")</f>
        <v/>
      </c>
      <c r="E151" s="78" t="str">
        <f>IF(AND('2.报价结算清单'!$P254&gt;0,'2.报价结算清单'!$B254&lt;&gt;0,'2.报价结算清单'!E254&lt;&gt;0),'2.报价结算清单'!E254,"")</f>
        <v/>
      </c>
      <c r="F151" s="105" t="str">
        <f>_xlfn.IFNA(IF($A151="","",IF(VLOOKUP($A151,'3.框架内物料'!$A:$I,2,0)="","",VLOOKUP($A151,'3.框架内物料'!$A:$I,2,0))),"")</f>
        <v/>
      </c>
      <c r="G151" s="87" t="str">
        <f>IF(AND('2.报价结算清单'!$P254&gt;0,'2.报价结算清单'!$B254&lt;&gt;0,'2.报价结算清单'!H254&lt;&gt;0),'2.报价结算清单'!H254,"")</f>
        <v/>
      </c>
      <c r="H151" s="122" t="str">
        <f>IF(AND('2.报价结算清单'!$P254&gt;0,'2.报价结算清单'!$B254&lt;&gt;0,'2.报价结算清单'!$F254&lt;&gt;0),'2.报价结算清单'!J254,"")</f>
        <v/>
      </c>
      <c r="I151" s="105" t="str">
        <f>IF(AND('2.报价结算清单'!$P254&gt;0,'2.报价结算清单'!$B254&lt;&gt;0,'2.报价结算清单'!$F254&lt;&gt;0),'2.报价结算清单'!L254,"")</f>
        <v/>
      </c>
      <c r="J151" s="105" t="str">
        <f>IF(AND('2.报价结算清单'!$P254&gt;0,'2.报价结算清单'!$B254&lt;&gt;0,'2.报价结算清单'!I254&lt;&gt;0),'2.报价结算清单'!I254,"")</f>
        <v/>
      </c>
      <c r="K151" s="105" t="str">
        <f>IF(AND('2.报价结算清单'!$P254&gt;0,'2.报价结算清单'!$B254&lt;&gt;0,'2.报价结算清单'!$F254&lt;&gt;0),'2.报价结算清单'!N254,"")</f>
        <v/>
      </c>
      <c r="L151" s="105" t="str">
        <f>IF(AND('2.报价结算清单'!$P254&gt;0,'2.报价结算清单'!$B254&lt;&gt;0,'2.报价结算清单'!I254&lt;&gt;0),"天","")</f>
        <v/>
      </c>
      <c r="M151" s="80" t="str">
        <f t="shared" si="8"/>
        <v/>
      </c>
      <c r="N151" s="78" t="str">
        <f t="shared" si="9"/>
        <v/>
      </c>
      <c r="O151" s="78" t="str">
        <f>IF(AND('2.报价结算清单'!$P254&gt;0,'2.报价结算清单'!$B254&lt;&gt;0,'2.报价结算清单'!S254&lt;&gt;0),'2.报价结算清单'!S254,"")</f>
        <v/>
      </c>
      <c r="P151" s="78" t="str">
        <f>IF(AND('2.报价结算清单'!$P254&gt;0,'2.报价结算清单'!$B254&lt;&gt;0,'2.报价结算清单'!T254&lt;&gt;0),'2.报价结算清单'!T254,"")</f>
        <v/>
      </c>
      <c r="Q151" s="78" t="str">
        <f>IF(F151="",J151,VLOOKUP(F151,框架条目清单!A:K,4,FALSE))</f>
        <v/>
      </c>
      <c r="R151" s="106" t="str">
        <f>IF($A151="","",'2.报价结算清单'!$K$183)</f>
        <v/>
      </c>
      <c r="S151" s="80" t="str">
        <f>IF($A151="","",'2.报价结算清单'!$E$183)</f>
        <v/>
      </c>
      <c r="T151" s="78" t="str">
        <f>IF(F151="","",VLOOKUP(F151,框架条目清单!A:K,7,FALSE))</f>
        <v/>
      </c>
      <c r="U151" s="78" t="str">
        <f>IF(F151="","",VLOOKUP(F151,框架条目清单!A:K,8,FALSE))</f>
        <v/>
      </c>
      <c r="V151" s="78" t="str">
        <f>IF(F151="","",VLOOKUP(F151,框架条目清单!A:K,9,FALSE))</f>
        <v/>
      </c>
    </row>
    <row r="152" spans="1:22">
      <c r="A152" s="78" t="str">
        <f>IF(AND('2.报价结算清单'!$P255&gt;0,'2.报价结算清单'!$B255&lt;&gt;0,'2.报价结算清单'!$F255&lt;&gt;0),'2.报价结算清单'!$F255,"")</f>
        <v/>
      </c>
      <c r="B152" s="78" t="str">
        <f>_xlfn.IFNA(VLOOKUP(A152,'3.框架内物料'!$A:$I,3,0),A152)</f>
        <v/>
      </c>
      <c r="C152" s="78" t="str">
        <f>IF(AND('2.报价结算清单'!$P255&gt;0,'2.报价结算清单'!$B255&lt;&gt;0,'2.报价结算清单'!C255&lt;&gt;0),'2.报价结算清单'!C255,"")</f>
        <v/>
      </c>
      <c r="D152" s="78" t="str">
        <f>IF(AND('2.报价结算清单'!$P255&gt;0,'2.报价结算清单'!$B255&lt;&gt;0,'2.报价结算清单'!D255&lt;&gt;0),'2.报价结算清单'!D255,"")</f>
        <v/>
      </c>
      <c r="E152" s="78" t="str">
        <f>IF(AND('2.报价结算清单'!$P255&gt;0,'2.报价结算清单'!$B255&lt;&gt;0,'2.报价结算清单'!E255&lt;&gt;0),'2.报价结算清单'!E255,"")</f>
        <v/>
      </c>
      <c r="F152" s="105" t="str">
        <f>_xlfn.IFNA(IF($A152="","",IF(VLOOKUP($A152,'3.框架内物料'!$A:$I,2,0)="","",VLOOKUP($A152,'3.框架内物料'!$A:$I,2,0))),"")</f>
        <v/>
      </c>
      <c r="G152" s="87" t="str">
        <f>IF(AND('2.报价结算清单'!$P255&gt;0,'2.报价结算清单'!$B255&lt;&gt;0,'2.报价结算清单'!H255&lt;&gt;0),'2.报价结算清单'!H255,"")</f>
        <v/>
      </c>
      <c r="H152" s="122" t="str">
        <f>IF(AND('2.报价结算清单'!$P255&gt;0,'2.报价结算清单'!$B255&lt;&gt;0,'2.报价结算清单'!$F255&lt;&gt;0),'2.报价结算清单'!J255,"")</f>
        <v/>
      </c>
      <c r="I152" s="105" t="str">
        <f>IF(AND('2.报价结算清单'!$P255&gt;0,'2.报价结算清单'!$B255&lt;&gt;0,'2.报价结算清单'!$F255&lt;&gt;0),'2.报价结算清单'!L255,"")</f>
        <v/>
      </c>
      <c r="J152" s="105" t="str">
        <f>IF(AND('2.报价结算清单'!$P255&gt;0,'2.报价结算清单'!$B255&lt;&gt;0,'2.报价结算清单'!I255&lt;&gt;0),'2.报价结算清单'!I255,"")</f>
        <v/>
      </c>
      <c r="K152" s="105" t="str">
        <f>IF(AND('2.报价结算清单'!$P255&gt;0,'2.报价结算清单'!$B255&lt;&gt;0,'2.报价结算清单'!$F255&lt;&gt;0),'2.报价结算清单'!N255,"")</f>
        <v/>
      </c>
      <c r="L152" s="105" t="str">
        <f>IF(AND('2.报价结算清单'!$P255&gt;0,'2.报价结算清单'!$B255&lt;&gt;0,'2.报价结算清单'!I255&lt;&gt;0),"天","")</f>
        <v/>
      </c>
      <c r="M152" s="80" t="str">
        <f t="shared" si="8"/>
        <v/>
      </c>
      <c r="N152" s="78" t="str">
        <f t="shared" si="9"/>
        <v/>
      </c>
      <c r="O152" s="78" t="str">
        <f>IF(AND('2.报价结算清单'!$P255&gt;0,'2.报价结算清单'!$B255&lt;&gt;0,'2.报价结算清单'!S255&lt;&gt;0),'2.报价结算清单'!S255,"")</f>
        <v/>
      </c>
      <c r="P152" s="78" t="str">
        <f>IF(AND('2.报价结算清单'!$P255&gt;0,'2.报价结算清单'!$B255&lt;&gt;0,'2.报价结算清单'!T255&lt;&gt;0),'2.报价结算清单'!T255,"")</f>
        <v/>
      </c>
      <c r="Q152" s="78" t="str">
        <f>IF(F152="",J152,VLOOKUP(F152,框架条目清单!A:K,4,FALSE))</f>
        <v/>
      </c>
      <c r="R152" s="106" t="str">
        <f>IF($A152="","",'2.报价结算清单'!$K$183)</f>
        <v/>
      </c>
      <c r="S152" s="80" t="str">
        <f>IF($A152="","",'2.报价结算清单'!$E$183)</f>
        <v/>
      </c>
      <c r="T152" s="78" t="str">
        <f>IF(F152="","",VLOOKUP(F152,框架条目清单!A:K,7,FALSE))</f>
        <v/>
      </c>
      <c r="U152" s="78" t="str">
        <f>IF(F152="","",VLOOKUP(F152,框架条目清单!A:K,8,FALSE))</f>
        <v/>
      </c>
      <c r="V152" s="78" t="str">
        <f>IF(F152="","",VLOOKUP(F152,框架条目清单!A:K,9,FALSE))</f>
        <v/>
      </c>
    </row>
    <row r="153" spans="1:22">
      <c r="A153" s="78" t="str">
        <f>IF(AND('2.报价结算清单'!$P256&gt;0,'2.报价结算清单'!$B256&lt;&gt;0,'2.报价结算清单'!$F256&lt;&gt;0),'2.报价结算清单'!$F256,"")</f>
        <v/>
      </c>
      <c r="B153" s="78" t="str">
        <f>_xlfn.IFNA(VLOOKUP(A153,'3.框架内物料'!$A:$I,3,0),A153)</f>
        <v/>
      </c>
      <c r="C153" s="78" t="str">
        <f>IF(AND('2.报价结算清单'!$P256&gt;0,'2.报价结算清单'!$B256&lt;&gt;0,'2.报价结算清单'!C256&lt;&gt;0),'2.报价结算清单'!C256,"")</f>
        <v/>
      </c>
      <c r="D153" s="78" t="str">
        <f>IF(AND('2.报价结算清单'!$P256&gt;0,'2.报价结算清单'!$B256&lt;&gt;0,'2.报价结算清单'!D256&lt;&gt;0),'2.报价结算清单'!D256,"")</f>
        <v/>
      </c>
      <c r="E153" s="78" t="str">
        <f>IF(AND('2.报价结算清单'!$P256&gt;0,'2.报价结算清单'!$B256&lt;&gt;0,'2.报价结算清单'!E256&lt;&gt;0),'2.报价结算清单'!E256,"")</f>
        <v/>
      </c>
      <c r="F153" s="105" t="str">
        <f>_xlfn.IFNA(IF($A153="","",IF(VLOOKUP($A153,'3.框架内物料'!$A:$I,2,0)="","",VLOOKUP($A153,'3.框架内物料'!$A:$I,2,0))),"")</f>
        <v/>
      </c>
      <c r="G153" s="87" t="str">
        <f>IF(AND('2.报价结算清单'!$P256&gt;0,'2.报价结算清单'!$B256&lt;&gt;0,'2.报价结算清单'!H256&lt;&gt;0),'2.报价结算清单'!H256,"")</f>
        <v/>
      </c>
      <c r="H153" s="122" t="str">
        <f>IF(AND('2.报价结算清单'!$P256&gt;0,'2.报价结算清单'!$B256&lt;&gt;0,'2.报价结算清单'!$F256&lt;&gt;0),'2.报价结算清单'!J256,"")</f>
        <v/>
      </c>
      <c r="I153" s="105" t="str">
        <f>IF(AND('2.报价结算清单'!$P256&gt;0,'2.报价结算清单'!$B256&lt;&gt;0,'2.报价结算清单'!$F256&lt;&gt;0),'2.报价结算清单'!L256,"")</f>
        <v/>
      </c>
      <c r="J153" s="105" t="str">
        <f>IF(AND('2.报价结算清单'!$P256&gt;0,'2.报价结算清单'!$B256&lt;&gt;0,'2.报价结算清单'!I256&lt;&gt;0),'2.报价结算清单'!I256,"")</f>
        <v/>
      </c>
      <c r="K153" s="105" t="str">
        <f>IF(AND('2.报价结算清单'!$P256&gt;0,'2.报价结算清单'!$B256&lt;&gt;0,'2.报价结算清单'!$F256&lt;&gt;0),'2.报价结算清单'!N256,"")</f>
        <v/>
      </c>
      <c r="L153" s="105" t="str">
        <f>IF(AND('2.报价结算清单'!$P256&gt;0,'2.报价结算清单'!$B256&lt;&gt;0,'2.报价结算清单'!I256&lt;&gt;0),"天","")</f>
        <v/>
      </c>
      <c r="M153" s="80" t="str">
        <f t="shared" si="8"/>
        <v/>
      </c>
      <c r="N153" s="78" t="str">
        <f t="shared" si="9"/>
        <v/>
      </c>
      <c r="O153" s="78" t="str">
        <f>IF(AND('2.报价结算清单'!$P256&gt;0,'2.报价结算清单'!$B256&lt;&gt;0,'2.报价结算清单'!S256&lt;&gt;0),'2.报价结算清单'!S256,"")</f>
        <v/>
      </c>
      <c r="P153" s="78" t="str">
        <f>IF(AND('2.报价结算清单'!$P256&gt;0,'2.报价结算清单'!$B256&lt;&gt;0,'2.报价结算清单'!T256&lt;&gt;0),'2.报价结算清单'!T256,"")</f>
        <v/>
      </c>
      <c r="Q153" s="78" t="str">
        <f>IF(F153="",J153,VLOOKUP(F153,框架条目清单!A:K,4,FALSE))</f>
        <v/>
      </c>
      <c r="R153" s="106" t="str">
        <f>IF($A153="","",'2.报价结算清单'!$K$183)</f>
        <v/>
      </c>
      <c r="S153" s="80" t="str">
        <f>IF($A153="","",'2.报价结算清单'!$E$183)</f>
        <v/>
      </c>
      <c r="T153" s="78" t="str">
        <f>IF(F153="","",VLOOKUP(F153,框架条目清单!A:K,7,FALSE))</f>
        <v/>
      </c>
      <c r="U153" s="78" t="str">
        <f>IF(F153="","",VLOOKUP(F153,框架条目清单!A:K,8,FALSE))</f>
        <v/>
      </c>
      <c r="V153" s="78" t="str">
        <f>IF(F153="","",VLOOKUP(F153,框架条目清单!A:K,9,FALSE))</f>
        <v/>
      </c>
    </row>
    <row r="154" spans="1:22">
      <c r="A154" s="78" t="str">
        <f>IF(AND('2.报价结算清单'!$P257&gt;0,'2.报价结算清单'!$B257&lt;&gt;0,'2.报价结算清单'!$F257&lt;&gt;0),'2.报价结算清单'!$F257,"")</f>
        <v/>
      </c>
      <c r="B154" s="78" t="str">
        <f>_xlfn.IFNA(VLOOKUP(A154,'3.框架内物料'!$A:$I,3,0),A154)</f>
        <v/>
      </c>
      <c r="C154" s="78" t="str">
        <f>IF(AND('2.报价结算清单'!$P257&gt;0,'2.报价结算清单'!$B257&lt;&gt;0,'2.报价结算清单'!C257&lt;&gt;0),'2.报价结算清单'!C257,"")</f>
        <v/>
      </c>
      <c r="D154" s="78" t="str">
        <f>IF(AND('2.报价结算清单'!$P257&gt;0,'2.报价结算清单'!$B257&lt;&gt;0,'2.报价结算清单'!D257&lt;&gt;0),'2.报价结算清单'!D257,"")</f>
        <v/>
      </c>
      <c r="E154" s="78" t="str">
        <f>IF(AND('2.报价结算清单'!$P257&gt;0,'2.报价结算清单'!$B257&lt;&gt;0,'2.报价结算清单'!E257&lt;&gt;0),'2.报价结算清单'!E257,"")</f>
        <v/>
      </c>
      <c r="F154" s="105" t="str">
        <f>_xlfn.IFNA(IF($A154="","",IF(VLOOKUP($A154,'3.框架内物料'!$A:$I,2,0)="","",VLOOKUP($A154,'3.框架内物料'!$A:$I,2,0))),"")</f>
        <v/>
      </c>
      <c r="G154" s="87" t="str">
        <f>IF(AND('2.报价结算清单'!$P257&gt;0,'2.报价结算清单'!$B257&lt;&gt;0,'2.报价结算清单'!H257&lt;&gt;0),'2.报价结算清单'!H257,"")</f>
        <v/>
      </c>
      <c r="H154" s="122" t="str">
        <f>IF(AND('2.报价结算清单'!$P257&gt;0,'2.报价结算清单'!$B257&lt;&gt;0,'2.报价结算清单'!$F257&lt;&gt;0),'2.报价结算清单'!J257,"")</f>
        <v/>
      </c>
      <c r="I154" s="105" t="str">
        <f>IF(AND('2.报价结算清单'!$P257&gt;0,'2.报价结算清单'!$B257&lt;&gt;0,'2.报价结算清单'!$F257&lt;&gt;0),'2.报价结算清单'!L257,"")</f>
        <v/>
      </c>
      <c r="J154" s="105" t="str">
        <f>IF(AND('2.报价结算清单'!$P257&gt;0,'2.报价结算清单'!$B257&lt;&gt;0,'2.报价结算清单'!I257&lt;&gt;0),'2.报价结算清单'!I257,"")</f>
        <v/>
      </c>
      <c r="K154" s="105" t="str">
        <f>IF(AND('2.报价结算清单'!$P257&gt;0,'2.报价结算清单'!$B257&lt;&gt;0,'2.报价结算清单'!$F257&lt;&gt;0),'2.报价结算清单'!N257,"")</f>
        <v/>
      </c>
      <c r="L154" s="105" t="str">
        <f>IF(AND('2.报价结算清单'!$P257&gt;0,'2.报价结算清单'!$B257&lt;&gt;0,'2.报价结算清单'!I257&lt;&gt;0),"天","")</f>
        <v/>
      </c>
      <c r="M154" s="80" t="str">
        <f t="shared" si="8"/>
        <v/>
      </c>
      <c r="N154" s="78" t="str">
        <f t="shared" si="9"/>
        <v/>
      </c>
      <c r="O154" s="78" t="str">
        <f>IF(AND('2.报价结算清单'!$P257&gt;0,'2.报价结算清单'!$B257&lt;&gt;0,'2.报价结算清单'!S257&lt;&gt;0),'2.报价结算清单'!S257,"")</f>
        <v/>
      </c>
      <c r="P154" s="78" t="str">
        <f>IF(AND('2.报价结算清单'!$P257&gt;0,'2.报价结算清单'!$B257&lt;&gt;0,'2.报价结算清单'!T257&lt;&gt;0),'2.报价结算清单'!T257,"")</f>
        <v/>
      </c>
      <c r="Q154" s="78" t="str">
        <f>IF(F154="",J154,VLOOKUP(F154,框架条目清单!A:K,4,FALSE))</f>
        <v/>
      </c>
      <c r="R154" s="106" t="str">
        <f>IF($A154="","",'2.报价结算清单'!$K$183)</f>
        <v/>
      </c>
      <c r="S154" s="80" t="str">
        <f>IF($A154="","",'2.报价结算清单'!$E$183)</f>
        <v/>
      </c>
      <c r="T154" s="78" t="str">
        <f>IF(F154="","",VLOOKUP(F154,框架条目清单!A:K,7,FALSE))</f>
        <v/>
      </c>
      <c r="U154" s="78" t="str">
        <f>IF(F154="","",VLOOKUP(F154,框架条目清单!A:K,8,FALSE))</f>
        <v/>
      </c>
      <c r="V154" s="78" t="str">
        <f>IF(F154="","",VLOOKUP(F154,框架条目清单!A:K,9,FALSE))</f>
        <v/>
      </c>
    </row>
    <row r="155" spans="1:22">
      <c r="A155" s="78" t="str">
        <f>IF(AND('2.报价结算清单'!$P258&gt;0,'2.报价结算清单'!$B258&lt;&gt;0,'2.报价结算清单'!$F258&lt;&gt;0),'2.报价结算清单'!$F258,"")</f>
        <v/>
      </c>
      <c r="B155" s="78" t="str">
        <f>_xlfn.IFNA(VLOOKUP(A155,'3.框架内物料'!$A:$I,3,0),A155)</f>
        <v/>
      </c>
      <c r="C155" s="78" t="str">
        <f>IF(AND('2.报价结算清单'!$P258&gt;0,'2.报价结算清单'!$B258&lt;&gt;0,'2.报价结算清单'!C258&lt;&gt;0),'2.报价结算清单'!C258,"")</f>
        <v/>
      </c>
      <c r="D155" s="78" t="str">
        <f>IF(AND('2.报价结算清单'!$P258&gt;0,'2.报价结算清单'!$B258&lt;&gt;0,'2.报价结算清单'!D258&lt;&gt;0),'2.报价结算清单'!D258,"")</f>
        <v/>
      </c>
      <c r="E155" s="78" t="str">
        <f>IF(AND('2.报价结算清单'!$P258&gt;0,'2.报价结算清单'!$B258&lt;&gt;0,'2.报价结算清单'!E258&lt;&gt;0),'2.报价结算清单'!E258,"")</f>
        <v/>
      </c>
      <c r="F155" s="105" t="str">
        <f>_xlfn.IFNA(IF($A155="","",IF(VLOOKUP($A155,'3.框架内物料'!$A:$I,2,0)="","",VLOOKUP($A155,'3.框架内物料'!$A:$I,2,0))),"")</f>
        <v/>
      </c>
      <c r="G155" s="87" t="str">
        <f>IF(AND('2.报价结算清单'!$P258&gt;0,'2.报价结算清单'!$B258&lt;&gt;0,'2.报价结算清单'!H258&lt;&gt;0),'2.报价结算清单'!H258,"")</f>
        <v/>
      </c>
      <c r="H155" s="122" t="str">
        <f>IF(AND('2.报价结算清单'!$P258&gt;0,'2.报价结算清单'!$B258&lt;&gt;0,'2.报价结算清单'!$F258&lt;&gt;0),'2.报价结算清单'!J258,"")</f>
        <v/>
      </c>
      <c r="I155" s="105" t="str">
        <f>IF(AND('2.报价结算清单'!$P258&gt;0,'2.报价结算清单'!$B258&lt;&gt;0,'2.报价结算清单'!$F258&lt;&gt;0),'2.报价结算清单'!L258,"")</f>
        <v/>
      </c>
      <c r="J155" s="105" t="str">
        <f>IF(AND('2.报价结算清单'!$P258&gt;0,'2.报价结算清单'!$B258&lt;&gt;0,'2.报价结算清单'!I258&lt;&gt;0),'2.报价结算清单'!I258,"")</f>
        <v/>
      </c>
      <c r="K155" s="105" t="str">
        <f>IF(AND('2.报价结算清单'!$P258&gt;0,'2.报价结算清单'!$B258&lt;&gt;0,'2.报价结算清单'!$F258&lt;&gt;0),'2.报价结算清单'!N258,"")</f>
        <v/>
      </c>
      <c r="L155" s="105" t="str">
        <f>IF(AND('2.报价结算清单'!$P258&gt;0,'2.报价结算清单'!$B258&lt;&gt;0,'2.报价结算清单'!I258&lt;&gt;0),"天","")</f>
        <v/>
      </c>
      <c r="M155" s="80" t="str">
        <f t="shared" si="8"/>
        <v/>
      </c>
      <c r="N155" s="78" t="str">
        <f t="shared" si="9"/>
        <v/>
      </c>
      <c r="O155" s="78" t="str">
        <f>IF(AND('2.报价结算清单'!$P258&gt;0,'2.报价结算清单'!$B258&lt;&gt;0,'2.报价结算清单'!S258&lt;&gt;0),'2.报价结算清单'!S258,"")</f>
        <v/>
      </c>
      <c r="P155" s="78" t="str">
        <f>IF(AND('2.报价结算清单'!$P258&gt;0,'2.报价结算清单'!$B258&lt;&gt;0,'2.报价结算清单'!T258&lt;&gt;0),'2.报价结算清单'!T258,"")</f>
        <v/>
      </c>
      <c r="Q155" s="78" t="str">
        <f>IF(F155="",J155,VLOOKUP(F155,框架条目清单!A:K,4,FALSE))</f>
        <v/>
      </c>
      <c r="R155" s="106" t="str">
        <f>IF($A155="","",'2.报价结算清单'!$K$183)</f>
        <v/>
      </c>
      <c r="S155" s="80" t="str">
        <f>IF($A155="","",'2.报价结算清单'!$E$183)</f>
        <v/>
      </c>
      <c r="T155" s="78" t="str">
        <f>IF(F155="","",VLOOKUP(F155,框架条目清单!A:K,7,FALSE))</f>
        <v/>
      </c>
      <c r="U155" s="78" t="str">
        <f>IF(F155="","",VLOOKUP(F155,框架条目清单!A:K,8,FALSE))</f>
        <v/>
      </c>
      <c r="V155" s="78" t="str">
        <f>IF(F155="","",VLOOKUP(F155,框架条目清单!A:K,9,FALSE))</f>
        <v/>
      </c>
    </row>
    <row r="156" spans="1:22">
      <c r="A156" s="78" t="str">
        <f>IF(AND('2.报价结算清单'!$P259&gt;0,'2.报价结算清单'!$B259&lt;&gt;0,'2.报价结算清单'!$F259&lt;&gt;0),'2.报价结算清单'!$F259,"")</f>
        <v/>
      </c>
      <c r="B156" s="78" t="str">
        <f>_xlfn.IFNA(VLOOKUP(A156,'3.框架内物料'!$A:$I,3,0),A156)</f>
        <v/>
      </c>
      <c r="C156" s="78" t="str">
        <f>IF(AND('2.报价结算清单'!$P259&gt;0,'2.报价结算清单'!$B259&lt;&gt;0,'2.报价结算清单'!C259&lt;&gt;0),'2.报价结算清单'!C259,"")</f>
        <v/>
      </c>
      <c r="D156" s="78" t="str">
        <f>IF(AND('2.报价结算清单'!$P259&gt;0,'2.报价结算清单'!$B259&lt;&gt;0,'2.报价结算清单'!D259&lt;&gt;0),'2.报价结算清单'!D259,"")</f>
        <v/>
      </c>
      <c r="E156" s="78" t="str">
        <f>IF(AND('2.报价结算清单'!$P259&gt;0,'2.报价结算清单'!$B259&lt;&gt;0,'2.报价结算清单'!E259&lt;&gt;0),'2.报价结算清单'!E259,"")</f>
        <v/>
      </c>
      <c r="F156" s="105" t="str">
        <f>_xlfn.IFNA(IF($A156="","",IF(VLOOKUP($A156,'3.框架内物料'!$A:$I,2,0)="","",VLOOKUP($A156,'3.框架内物料'!$A:$I,2,0))),"")</f>
        <v/>
      </c>
      <c r="G156" s="87" t="str">
        <f>IF(AND('2.报价结算清单'!$P259&gt;0,'2.报价结算清单'!$B259&lt;&gt;0,'2.报价结算清单'!H259&lt;&gt;0),'2.报价结算清单'!H259,"")</f>
        <v/>
      </c>
      <c r="H156" s="122" t="str">
        <f>IF(AND('2.报价结算清单'!$P259&gt;0,'2.报价结算清单'!$B259&lt;&gt;0,'2.报价结算清单'!$F259&lt;&gt;0),'2.报价结算清单'!J259,"")</f>
        <v/>
      </c>
      <c r="I156" s="105" t="str">
        <f>IF(AND('2.报价结算清单'!$P259&gt;0,'2.报价结算清单'!$B259&lt;&gt;0,'2.报价结算清单'!$F259&lt;&gt;0),'2.报价结算清单'!L259,"")</f>
        <v/>
      </c>
      <c r="J156" s="105" t="str">
        <f>IF(AND('2.报价结算清单'!$P259&gt;0,'2.报价结算清单'!$B259&lt;&gt;0,'2.报价结算清单'!I259&lt;&gt;0),'2.报价结算清单'!I259,"")</f>
        <v/>
      </c>
      <c r="K156" s="105" t="str">
        <f>IF(AND('2.报价结算清单'!$P259&gt;0,'2.报价结算清单'!$B259&lt;&gt;0,'2.报价结算清单'!$F259&lt;&gt;0),'2.报价结算清单'!N259,"")</f>
        <v/>
      </c>
      <c r="L156" s="105" t="str">
        <f>IF(AND('2.报价结算清单'!$P259&gt;0,'2.报价结算清单'!$B259&lt;&gt;0,'2.报价结算清单'!I259&lt;&gt;0),"天","")</f>
        <v/>
      </c>
      <c r="M156" s="80" t="str">
        <f t="shared" si="8"/>
        <v/>
      </c>
      <c r="N156" s="78" t="str">
        <f t="shared" si="9"/>
        <v/>
      </c>
      <c r="O156" s="78" t="str">
        <f>IF(AND('2.报价结算清单'!$P259&gt;0,'2.报价结算清单'!$B259&lt;&gt;0,'2.报价结算清单'!S259&lt;&gt;0),'2.报价结算清单'!S259,"")</f>
        <v/>
      </c>
      <c r="P156" s="78" t="str">
        <f>IF(AND('2.报价结算清单'!$P259&gt;0,'2.报价结算清单'!$B259&lt;&gt;0,'2.报价结算清单'!T259&lt;&gt;0),'2.报价结算清单'!T259,"")</f>
        <v/>
      </c>
      <c r="Q156" s="78" t="str">
        <f>IF(F156="",J156,VLOOKUP(F156,框架条目清单!A:K,4,FALSE))</f>
        <v/>
      </c>
      <c r="R156" s="106" t="str">
        <f>IF($A156="","",'2.报价结算清单'!$K$183)</f>
        <v/>
      </c>
      <c r="S156" s="80" t="str">
        <f>IF($A156="","",'2.报价结算清单'!$E$183)</f>
        <v/>
      </c>
      <c r="T156" s="78" t="str">
        <f>IF(F156="","",VLOOKUP(F156,框架条目清单!A:K,7,FALSE))</f>
        <v/>
      </c>
      <c r="U156" s="78" t="str">
        <f>IF(F156="","",VLOOKUP(F156,框架条目清单!A:K,8,FALSE))</f>
        <v/>
      </c>
      <c r="V156" s="78" t="str">
        <f>IF(F156="","",VLOOKUP(F156,框架条目清单!A:K,9,FALSE))</f>
        <v/>
      </c>
    </row>
    <row r="157" spans="1:22">
      <c r="A157" s="78" t="str">
        <f>IF(AND('2.报价结算清单'!$P260&gt;0,'2.报价结算清单'!$B260&lt;&gt;0,'2.报价结算清单'!$F260&lt;&gt;0),'2.报价结算清单'!$F260,"")</f>
        <v/>
      </c>
      <c r="B157" s="78" t="str">
        <f>_xlfn.IFNA(VLOOKUP(A157,'3.框架内物料'!$A:$I,3,0),A157)</f>
        <v/>
      </c>
      <c r="C157" s="78" t="str">
        <f>IF(AND('2.报价结算清单'!$P260&gt;0,'2.报价结算清单'!$B260&lt;&gt;0,'2.报价结算清单'!C260&lt;&gt;0),'2.报价结算清单'!C260,"")</f>
        <v/>
      </c>
      <c r="D157" s="78" t="str">
        <f>IF(AND('2.报价结算清单'!$P260&gt;0,'2.报价结算清单'!$B260&lt;&gt;0,'2.报价结算清单'!D260&lt;&gt;0),'2.报价结算清单'!D260,"")</f>
        <v/>
      </c>
      <c r="E157" s="78" t="str">
        <f>IF(AND('2.报价结算清单'!$P260&gt;0,'2.报价结算清单'!$B260&lt;&gt;0,'2.报价结算清单'!E260&lt;&gt;0),'2.报价结算清单'!E260,"")</f>
        <v/>
      </c>
      <c r="F157" s="105" t="str">
        <f>_xlfn.IFNA(IF($A157="","",IF(VLOOKUP($A157,'3.框架内物料'!$A:$I,2,0)="","",VLOOKUP($A157,'3.框架内物料'!$A:$I,2,0))),"")</f>
        <v/>
      </c>
      <c r="G157" s="87" t="str">
        <f>IF(AND('2.报价结算清单'!$P260&gt;0,'2.报价结算清单'!$B260&lt;&gt;0,'2.报价结算清单'!H260&lt;&gt;0),'2.报价结算清单'!H260,"")</f>
        <v/>
      </c>
      <c r="H157" s="122" t="str">
        <f>IF(AND('2.报价结算清单'!$P260&gt;0,'2.报价结算清单'!$B260&lt;&gt;0,'2.报价结算清单'!$F260&lt;&gt;0),'2.报价结算清单'!J260,"")</f>
        <v/>
      </c>
      <c r="I157" s="105" t="str">
        <f>IF(AND('2.报价结算清单'!$P260&gt;0,'2.报价结算清单'!$B260&lt;&gt;0,'2.报价结算清单'!$F260&lt;&gt;0),'2.报价结算清单'!L260,"")</f>
        <v/>
      </c>
      <c r="J157" s="105" t="str">
        <f>IF(AND('2.报价结算清单'!$P260&gt;0,'2.报价结算清单'!$B260&lt;&gt;0,'2.报价结算清单'!I260&lt;&gt;0),'2.报价结算清单'!I260,"")</f>
        <v/>
      </c>
      <c r="K157" s="105" t="str">
        <f>IF(AND('2.报价结算清单'!$P260&gt;0,'2.报价结算清单'!$B260&lt;&gt;0,'2.报价结算清单'!$F260&lt;&gt;0),'2.报价结算清单'!N260,"")</f>
        <v/>
      </c>
      <c r="L157" s="105" t="str">
        <f>IF(AND('2.报价结算清单'!$P260&gt;0,'2.报价结算清单'!$B260&lt;&gt;0,'2.报价结算清单'!I260&lt;&gt;0),"天","")</f>
        <v/>
      </c>
      <c r="M157" s="80" t="str">
        <f t="shared" si="8"/>
        <v/>
      </c>
      <c r="N157" s="78" t="str">
        <f t="shared" si="9"/>
        <v/>
      </c>
      <c r="O157" s="78" t="str">
        <f>IF(AND('2.报价结算清单'!$P260&gt;0,'2.报价结算清单'!$B260&lt;&gt;0,'2.报价结算清单'!S260&lt;&gt;0),'2.报价结算清单'!S260,"")</f>
        <v/>
      </c>
      <c r="P157" s="78" t="str">
        <f>IF(AND('2.报价结算清单'!$P260&gt;0,'2.报价结算清单'!$B260&lt;&gt;0,'2.报价结算清单'!T260&lt;&gt;0),'2.报价结算清单'!T260,"")</f>
        <v/>
      </c>
      <c r="Q157" s="78" t="str">
        <f>IF(F157="",J157,VLOOKUP(F157,框架条目清单!A:K,4,FALSE))</f>
        <v/>
      </c>
      <c r="R157" s="106" t="str">
        <f>IF($A157="","",'2.报价结算清单'!$K$183)</f>
        <v/>
      </c>
      <c r="S157" s="80" t="str">
        <f>IF($A157="","",'2.报价结算清单'!$E$183)</f>
        <v/>
      </c>
      <c r="T157" s="78" t="str">
        <f>IF(F157="","",VLOOKUP(F157,框架条目清单!A:K,7,FALSE))</f>
        <v/>
      </c>
      <c r="U157" s="78" t="str">
        <f>IF(F157="","",VLOOKUP(F157,框架条目清单!A:K,8,FALSE))</f>
        <v/>
      </c>
      <c r="V157" s="78" t="str">
        <f>IF(F157="","",VLOOKUP(F157,框架条目清单!A:K,9,FALSE))</f>
        <v/>
      </c>
    </row>
    <row r="158" spans="1:22">
      <c r="A158" s="78" t="str">
        <f>IF(AND('2.报价结算清单'!$P261&gt;0,'2.报价结算清单'!$B261&lt;&gt;0,'2.报价结算清单'!$F261&lt;&gt;0),'2.报价结算清单'!$F261,"")</f>
        <v/>
      </c>
      <c r="B158" s="78" t="str">
        <f>_xlfn.IFNA(VLOOKUP(A158,'3.框架内物料'!$A:$I,3,0),A158)</f>
        <v/>
      </c>
      <c r="C158" s="78" t="str">
        <f>IF(AND('2.报价结算清单'!$P261&gt;0,'2.报价结算清单'!$B261&lt;&gt;0,'2.报价结算清单'!C261&lt;&gt;0),'2.报价结算清单'!C261,"")</f>
        <v/>
      </c>
      <c r="D158" s="78" t="str">
        <f>IF(AND('2.报价结算清单'!$P261&gt;0,'2.报价结算清单'!$B261&lt;&gt;0,'2.报价结算清单'!D261&lt;&gt;0),'2.报价结算清单'!D261,"")</f>
        <v/>
      </c>
      <c r="E158" s="78" t="str">
        <f>IF(AND('2.报价结算清单'!$P261&gt;0,'2.报价结算清单'!$B261&lt;&gt;0,'2.报价结算清单'!E261&lt;&gt;0),'2.报价结算清单'!E261,"")</f>
        <v/>
      </c>
      <c r="F158" s="105" t="str">
        <f>_xlfn.IFNA(IF($A158="","",IF(VLOOKUP($A158,'3.框架内物料'!$A:$I,2,0)="","",VLOOKUP($A158,'3.框架内物料'!$A:$I,2,0))),"")</f>
        <v/>
      </c>
      <c r="G158" s="87" t="str">
        <f>IF(AND('2.报价结算清单'!$P261&gt;0,'2.报价结算清单'!$B261&lt;&gt;0,'2.报价结算清单'!H261&lt;&gt;0),'2.报价结算清单'!H261,"")</f>
        <v/>
      </c>
      <c r="H158" s="122" t="str">
        <f>IF(AND('2.报价结算清单'!$P261&gt;0,'2.报价结算清单'!$B261&lt;&gt;0,'2.报价结算清单'!$F261&lt;&gt;0),'2.报价结算清单'!J261,"")</f>
        <v/>
      </c>
      <c r="I158" s="105" t="str">
        <f>IF(AND('2.报价结算清单'!$P261&gt;0,'2.报价结算清单'!$B261&lt;&gt;0,'2.报价结算清单'!$F261&lt;&gt;0),'2.报价结算清单'!L261,"")</f>
        <v/>
      </c>
      <c r="J158" s="105" t="str">
        <f>IF(AND('2.报价结算清单'!$P261&gt;0,'2.报价结算清单'!$B261&lt;&gt;0,'2.报价结算清单'!I261&lt;&gt;0),'2.报价结算清单'!I261,"")</f>
        <v/>
      </c>
      <c r="K158" s="105" t="str">
        <f>IF(AND('2.报价结算清单'!$P261&gt;0,'2.报价结算清单'!$B261&lt;&gt;0,'2.报价结算清单'!$F261&lt;&gt;0),'2.报价结算清单'!N261,"")</f>
        <v/>
      </c>
      <c r="L158" s="105" t="str">
        <f>IF(AND('2.报价结算清单'!$P261&gt;0,'2.报价结算清单'!$B261&lt;&gt;0,'2.报价结算清单'!I261&lt;&gt;0),"天","")</f>
        <v/>
      </c>
      <c r="M158" s="80" t="str">
        <f t="shared" si="8"/>
        <v/>
      </c>
      <c r="N158" s="78" t="str">
        <f t="shared" si="9"/>
        <v/>
      </c>
      <c r="O158" s="78" t="str">
        <f>IF(AND('2.报价结算清单'!$P261&gt;0,'2.报价结算清单'!$B261&lt;&gt;0,'2.报价结算清单'!S261&lt;&gt;0),'2.报价结算清单'!S261,"")</f>
        <v/>
      </c>
      <c r="P158" s="78" t="str">
        <f>IF(AND('2.报价结算清单'!$P261&gt;0,'2.报价结算清单'!$B261&lt;&gt;0,'2.报价结算清单'!T261&lt;&gt;0),'2.报价结算清单'!T261,"")</f>
        <v/>
      </c>
      <c r="Q158" s="78" t="str">
        <f>IF(F158="",J158,VLOOKUP(F158,框架条目清单!A:K,4,FALSE))</f>
        <v/>
      </c>
      <c r="R158" s="106" t="str">
        <f>IF($A158="","",'2.报价结算清单'!$K$183)</f>
        <v/>
      </c>
      <c r="S158" s="80" t="str">
        <f>IF($A158="","",'2.报价结算清单'!$E$183)</f>
        <v/>
      </c>
      <c r="T158" s="78" t="str">
        <f>IF(F158="","",VLOOKUP(F158,框架条目清单!A:K,7,FALSE))</f>
        <v/>
      </c>
      <c r="U158" s="78" t="str">
        <f>IF(F158="","",VLOOKUP(F158,框架条目清单!A:K,8,FALSE))</f>
        <v/>
      </c>
      <c r="V158" s="78" t="str">
        <f>IF(F158="","",VLOOKUP(F158,框架条目清单!A:K,9,FALSE))</f>
        <v/>
      </c>
    </row>
    <row r="159" spans="1:22">
      <c r="A159" s="78" t="str">
        <f>IF(AND('2.报价结算清单'!$P262&gt;0,'2.报价结算清单'!$B262&lt;&gt;0,'2.报价结算清单'!$F262&lt;&gt;0),'2.报价结算清单'!$F262,"")</f>
        <v/>
      </c>
      <c r="B159" s="78" t="str">
        <f>_xlfn.IFNA(VLOOKUP(A159,'3.框架内物料'!$A:$I,3,0),A159)</f>
        <v/>
      </c>
      <c r="C159" s="78" t="str">
        <f>IF(AND('2.报价结算清单'!$P262&gt;0,'2.报价结算清单'!$B262&lt;&gt;0,'2.报价结算清单'!C262&lt;&gt;0),'2.报价结算清单'!C262,"")</f>
        <v/>
      </c>
      <c r="D159" s="78" t="str">
        <f>IF(AND('2.报价结算清单'!$P262&gt;0,'2.报价结算清单'!$B262&lt;&gt;0,'2.报价结算清单'!D262&lt;&gt;0),'2.报价结算清单'!D262,"")</f>
        <v/>
      </c>
      <c r="E159" s="78" t="str">
        <f>IF(AND('2.报价结算清单'!$P262&gt;0,'2.报价结算清单'!$B262&lt;&gt;0,'2.报价结算清单'!E262&lt;&gt;0),'2.报价结算清单'!E262,"")</f>
        <v/>
      </c>
      <c r="F159" s="105" t="str">
        <f>_xlfn.IFNA(IF($A159="","",IF(VLOOKUP($A159,'3.框架内物料'!$A:$I,2,0)="","",VLOOKUP($A159,'3.框架内物料'!$A:$I,2,0))),"")</f>
        <v/>
      </c>
      <c r="G159" s="87" t="str">
        <f>IF(AND('2.报价结算清单'!$P262&gt;0,'2.报价结算清单'!$B262&lt;&gt;0,'2.报价结算清单'!H262&lt;&gt;0),'2.报价结算清单'!H262,"")</f>
        <v/>
      </c>
      <c r="H159" s="122" t="str">
        <f>IF(AND('2.报价结算清单'!$P262&gt;0,'2.报价结算清单'!$B262&lt;&gt;0,'2.报价结算清单'!$F262&lt;&gt;0),'2.报价结算清单'!J262,"")</f>
        <v/>
      </c>
      <c r="I159" s="105" t="str">
        <f>IF(AND('2.报价结算清单'!$P262&gt;0,'2.报价结算清单'!$B262&lt;&gt;0,'2.报价结算清单'!$F262&lt;&gt;0),'2.报价结算清单'!L262,"")</f>
        <v/>
      </c>
      <c r="J159" s="105" t="str">
        <f>IF(AND('2.报价结算清单'!$P262&gt;0,'2.报价结算清单'!$B262&lt;&gt;0,'2.报价结算清单'!I262&lt;&gt;0),'2.报价结算清单'!I262,"")</f>
        <v/>
      </c>
      <c r="K159" s="105" t="str">
        <f>IF(AND('2.报价结算清单'!$P262&gt;0,'2.报价结算清单'!$B262&lt;&gt;0,'2.报价结算清单'!$F262&lt;&gt;0),'2.报价结算清单'!N262,"")</f>
        <v/>
      </c>
      <c r="L159" s="105" t="str">
        <f>IF(AND('2.报价结算清单'!$P262&gt;0,'2.报价结算清单'!$B262&lt;&gt;0,'2.报价结算清单'!I262&lt;&gt;0),"天","")</f>
        <v/>
      </c>
      <c r="M159" s="80" t="str">
        <f t="shared" si="8"/>
        <v/>
      </c>
      <c r="N159" s="78" t="str">
        <f t="shared" si="9"/>
        <v/>
      </c>
      <c r="O159" s="78" t="str">
        <f>IF(AND('2.报价结算清单'!$P262&gt;0,'2.报价结算清单'!$B262&lt;&gt;0,'2.报价结算清单'!S262&lt;&gt;0),'2.报价结算清单'!S262,"")</f>
        <v/>
      </c>
      <c r="P159" s="78" t="str">
        <f>IF(AND('2.报价结算清单'!$P262&gt;0,'2.报价结算清单'!$B262&lt;&gt;0,'2.报价结算清单'!T262&lt;&gt;0),'2.报价结算清单'!T262,"")</f>
        <v/>
      </c>
      <c r="Q159" s="78" t="str">
        <f>IF(F159="",J159,VLOOKUP(F159,框架条目清单!A:K,4,FALSE))</f>
        <v/>
      </c>
      <c r="R159" s="106" t="str">
        <f>IF($A159="","",'2.报价结算清单'!$K$183)</f>
        <v/>
      </c>
      <c r="S159" s="80" t="str">
        <f>IF($A159="","",'2.报价结算清单'!$E$183)</f>
        <v/>
      </c>
      <c r="T159" s="78" t="str">
        <f>IF(F159="","",VLOOKUP(F159,框架条目清单!A:K,7,FALSE))</f>
        <v/>
      </c>
      <c r="U159" s="78" t="str">
        <f>IF(F159="","",VLOOKUP(F159,框架条目清单!A:K,8,FALSE))</f>
        <v/>
      </c>
      <c r="V159" s="78" t="str">
        <f>IF(F159="","",VLOOKUP(F159,框架条目清单!A:K,9,FALSE))</f>
        <v/>
      </c>
    </row>
    <row r="160" spans="1:22">
      <c r="A160" s="78" t="str">
        <f>IF(AND('2.报价结算清单'!$P263&gt;0,'2.报价结算清单'!$B263&lt;&gt;0,'2.报价结算清单'!$F263&lt;&gt;0),'2.报价结算清单'!$F263,"")</f>
        <v/>
      </c>
      <c r="B160" s="78" t="str">
        <f>_xlfn.IFNA(VLOOKUP(A160,'3.框架内物料'!$A:$I,3,0),A160)</f>
        <v/>
      </c>
      <c r="C160" s="78" t="str">
        <f>IF(AND('2.报价结算清单'!$P263&gt;0,'2.报价结算清单'!$B263&lt;&gt;0,'2.报价结算清单'!C263&lt;&gt;0),'2.报价结算清单'!C263,"")</f>
        <v/>
      </c>
      <c r="D160" s="78" t="str">
        <f>IF(AND('2.报价结算清单'!$P263&gt;0,'2.报价结算清单'!$B263&lt;&gt;0,'2.报价结算清单'!D263&lt;&gt;0),'2.报价结算清单'!D263,"")</f>
        <v/>
      </c>
      <c r="E160" s="78" t="str">
        <f>IF(AND('2.报价结算清单'!$P263&gt;0,'2.报价结算清单'!$B263&lt;&gt;0,'2.报价结算清单'!E263&lt;&gt;0),'2.报价结算清单'!E263,"")</f>
        <v/>
      </c>
      <c r="F160" s="105" t="str">
        <f>_xlfn.IFNA(IF($A160="","",IF(VLOOKUP($A160,'3.框架内物料'!$A:$I,2,0)="","",VLOOKUP($A160,'3.框架内物料'!$A:$I,2,0))),"")</f>
        <v/>
      </c>
      <c r="G160" s="87" t="str">
        <f>IF(AND('2.报价结算清单'!$P263&gt;0,'2.报价结算清单'!$B263&lt;&gt;0,'2.报价结算清单'!H263&lt;&gt;0),'2.报价结算清单'!H263,"")</f>
        <v/>
      </c>
      <c r="H160" s="122" t="str">
        <f>IF(AND('2.报价结算清单'!$P263&gt;0,'2.报价结算清单'!$B263&lt;&gt;0,'2.报价结算清单'!$F263&lt;&gt;0),'2.报价结算清单'!J263,"")</f>
        <v/>
      </c>
      <c r="I160" s="105" t="str">
        <f>IF(AND('2.报价结算清单'!$P263&gt;0,'2.报价结算清单'!$B263&lt;&gt;0,'2.报价结算清单'!$F263&lt;&gt;0),'2.报价结算清单'!L263,"")</f>
        <v/>
      </c>
      <c r="J160" s="105" t="str">
        <f>IF(AND('2.报价结算清单'!$P263&gt;0,'2.报价结算清单'!$B263&lt;&gt;0,'2.报价结算清单'!I263&lt;&gt;0),'2.报价结算清单'!I263,"")</f>
        <v/>
      </c>
      <c r="K160" s="105" t="str">
        <f>IF(AND('2.报价结算清单'!$P263&gt;0,'2.报价结算清单'!$B263&lt;&gt;0,'2.报价结算清单'!$F263&lt;&gt;0),'2.报价结算清单'!N263,"")</f>
        <v/>
      </c>
      <c r="L160" s="105" t="str">
        <f>IF(AND('2.报价结算清单'!$P263&gt;0,'2.报价结算清单'!$B263&lt;&gt;0,'2.报价结算清单'!I263&lt;&gt;0),"天","")</f>
        <v/>
      </c>
      <c r="M160" s="80" t="str">
        <f t="shared" si="8"/>
        <v/>
      </c>
      <c r="N160" s="78" t="str">
        <f t="shared" si="9"/>
        <v/>
      </c>
      <c r="O160" s="78" t="str">
        <f>IF(AND('2.报价结算清单'!$P263&gt;0,'2.报价结算清单'!$B263&lt;&gt;0,'2.报价结算清单'!S263&lt;&gt;0),'2.报价结算清单'!S263,"")</f>
        <v/>
      </c>
      <c r="P160" s="78" t="str">
        <f>IF(AND('2.报价结算清单'!$P263&gt;0,'2.报价结算清单'!$B263&lt;&gt;0,'2.报价结算清单'!T263&lt;&gt;0),'2.报价结算清单'!T263,"")</f>
        <v/>
      </c>
      <c r="Q160" s="78" t="str">
        <f>IF(F160="",J160,VLOOKUP(F160,框架条目清单!A:K,4,FALSE))</f>
        <v/>
      </c>
      <c r="R160" s="106" t="str">
        <f>IF($A160="","",'2.报价结算清单'!$K$183)</f>
        <v/>
      </c>
      <c r="S160" s="80" t="str">
        <f>IF($A160="","",'2.报价结算清单'!$E$183)</f>
        <v/>
      </c>
      <c r="T160" s="78" t="str">
        <f>IF(F160="","",VLOOKUP(F160,框架条目清单!A:K,7,FALSE))</f>
        <v/>
      </c>
      <c r="U160" s="78" t="str">
        <f>IF(F160="","",VLOOKUP(F160,框架条目清单!A:K,8,FALSE))</f>
        <v/>
      </c>
      <c r="V160" s="78" t="str">
        <f>IF(F160="","",VLOOKUP(F160,框架条目清单!A:K,9,FALSE))</f>
        <v/>
      </c>
    </row>
    <row r="161" spans="1:22">
      <c r="A161" s="78" t="str">
        <f>IF(AND('2.报价结算清单'!$P264&gt;0,'2.报价结算清单'!$B264&lt;&gt;0,'2.报价结算清单'!$F264&lt;&gt;0),'2.报价结算清单'!$F264,"")</f>
        <v/>
      </c>
      <c r="B161" s="78" t="str">
        <f>_xlfn.IFNA(VLOOKUP(A161,'3.框架内物料'!$A:$I,3,0),A161)</f>
        <v/>
      </c>
      <c r="C161" s="78" t="str">
        <f>IF(AND('2.报价结算清单'!$P264&gt;0,'2.报价结算清单'!$B264&lt;&gt;0,'2.报价结算清单'!C264&lt;&gt;0),'2.报价结算清单'!C264,"")</f>
        <v/>
      </c>
      <c r="D161" s="78" t="str">
        <f>IF(AND('2.报价结算清单'!$P264&gt;0,'2.报价结算清单'!$B264&lt;&gt;0,'2.报价结算清单'!D264&lt;&gt;0),'2.报价结算清单'!D264,"")</f>
        <v/>
      </c>
      <c r="E161" s="78" t="str">
        <f>IF(AND('2.报价结算清单'!$P264&gt;0,'2.报价结算清单'!$B264&lt;&gt;0,'2.报价结算清单'!E264&lt;&gt;0),'2.报价结算清单'!E264,"")</f>
        <v/>
      </c>
      <c r="F161" s="105" t="str">
        <f>_xlfn.IFNA(IF($A161="","",IF(VLOOKUP($A161,'3.框架内物料'!$A:$I,2,0)="","",VLOOKUP($A161,'3.框架内物料'!$A:$I,2,0))),"")</f>
        <v/>
      </c>
      <c r="G161" s="87" t="str">
        <f>IF(AND('2.报价结算清单'!$P264&gt;0,'2.报价结算清单'!$B264&lt;&gt;0,'2.报价结算清单'!H264&lt;&gt;0),'2.报价结算清单'!H264,"")</f>
        <v/>
      </c>
      <c r="H161" s="122" t="str">
        <f>IF(AND('2.报价结算清单'!$P264&gt;0,'2.报价结算清单'!$B264&lt;&gt;0,'2.报价结算清单'!$F264&lt;&gt;0),'2.报价结算清单'!J264,"")</f>
        <v/>
      </c>
      <c r="I161" s="105" t="str">
        <f>IF(AND('2.报价结算清单'!$P264&gt;0,'2.报价结算清单'!$B264&lt;&gt;0,'2.报价结算清单'!$F264&lt;&gt;0),'2.报价结算清单'!L264,"")</f>
        <v/>
      </c>
      <c r="J161" s="105" t="str">
        <f>IF(AND('2.报价结算清单'!$P264&gt;0,'2.报价结算清单'!$B264&lt;&gt;0,'2.报价结算清单'!I264&lt;&gt;0),'2.报价结算清单'!I264,"")</f>
        <v/>
      </c>
      <c r="K161" s="105" t="str">
        <f>IF(AND('2.报价结算清单'!$P264&gt;0,'2.报价结算清单'!$B264&lt;&gt;0,'2.报价结算清单'!$F264&lt;&gt;0),'2.报价结算清单'!N264,"")</f>
        <v/>
      </c>
      <c r="L161" s="105" t="str">
        <f>IF(AND('2.报价结算清单'!$P264&gt;0,'2.报价结算清单'!$B264&lt;&gt;0,'2.报价结算清单'!I264&lt;&gt;0),"天","")</f>
        <v/>
      </c>
      <c r="M161" s="80" t="str">
        <f t="shared" si="8"/>
        <v/>
      </c>
      <c r="N161" s="78" t="str">
        <f t="shared" si="9"/>
        <v/>
      </c>
      <c r="O161" s="78" t="str">
        <f>IF(AND('2.报价结算清单'!$P264&gt;0,'2.报价结算清单'!$B264&lt;&gt;0,'2.报价结算清单'!S264&lt;&gt;0),'2.报价结算清单'!S264,"")</f>
        <v/>
      </c>
      <c r="P161" s="78" t="str">
        <f>IF(AND('2.报价结算清单'!$P264&gt;0,'2.报价结算清单'!$B264&lt;&gt;0,'2.报价结算清单'!T264&lt;&gt;0),'2.报价结算清单'!T264,"")</f>
        <v/>
      </c>
      <c r="Q161" s="78" t="str">
        <f>IF(F161="",J161,VLOOKUP(F161,框架条目清单!A:K,4,FALSE))</f>
        <v/>
      </c>
      <c r="R161" s="106" t="str">
        <f>IF($A161="","",'2.报价结算清单'!$K$183)</f>
        <v/>
      </c>
      <c r="S161" s="80" t="str">
        <f>IF($A161="","",'2.报价结算清单'!$E$183)</f>
        <v/>
      </c>
      <c r="T161" s="78" t="str">
        <f>IF(F161="","",VLOOKUP(F161,框架条目清单!A:K,7,FALSE))</f>
        <v/>
      </c>
      <c r="U161" s="78" t="str">
        <f>IF(F161="","",VLOOKUP(F161,框架条目清单!A:K,8,FALSE))</f>
        <v/>
      </c>
      <c r="V161" s="78" t="str">
        <f>IF(F161="","",VLOOKUP(F161,框架条目清单!A:K,9,FALSE))</f>
        <v/>
      </c>
    </row>
    <row r="162" spans="1:22">
      <c r="A162" s="78" t="str">
        <f>IF(AND('2.报价结算清单'!$P265&gt;0,'2.报价结算清单'!$B265&lt;&gt;0,'2.报价结算清单'!$F265&lt;&gt;0),'2.报价结算清单'!$F265,"")</f>
        <v/>
      </c>
      <c r="B162" s="78" t="str">
        <f>_xlfn.IFNA(VLOOKUP(A162,'3.框架内物料'!$A:$I,3,0),A162)</f>
        <v/>
      </c>
      <c r="C162" s="78" t="str">
        <f>IF(AND('2.报价结算清单'!$P265&gt;0,'2.报价结算清单'!$B265&lt;&gt;0,'2.报价结算清单'!C265&lt;&gt;0),'2.报价结算清单'!C265,"")</f>
        <v/>
      </c>
      <c r="D162" s="78" t="str">
        <f>IF(AND('2.报价结算清单'!$P265&gt;0,'2.报价结算清单'!$B265&lt;&gt;0,'2.报价结算清单'!D265&lt;&gt;0),'2.报价结算清单'!D265,"")</f>
        <v/>
      </c>
      <c r="E162" s="78" t="str">
        <f>IF(AND('2.报价结算清单'!$P265&gt;0,'2.报价结算清单'!$B265&lt;&gt;0,'2.报价结算清单'!E265&lt;&gt;0),'2.报价结算清单'!E265,"")</f>
        <v/>
      </c>
      <c r="F162" s="105" t="str">
        <f>_xlfn.IFNA(IF($A162="","",IF(VLOOKUP($A162,'3.框架内物料'!$A:$I,2,0)="","",VLOOKUP($A162,'3.框架内物料'!$A:$I,2,0))),"")</f>
        <v/>
      </c>
      <c r="G162" s="87" t="str">
        <f>IF(AND('2.报价结算清单'!$P265&gt;0,'2.报价结算清单'!$B265&lt;&gt;0,'2.报价结算清单'!H265&lt;&gt;0),'2.报价结算清单'!H265,"")</f>
        <v/>
      </c>
      <c r="H162" s="122" t="str">
        <f>IF(AND('2.报价结算清单'!$P265&gt;0,'2.报价结算清单'!$B265&lt;&gt;0,'2.报价结算清单'!$F265&lt;&gt;0),'2.报价结算清单'!J265,"")</f>
        <v/>
      </c>
      <c r="I162" s="105" t="str">
        <f>IF(AND('2.报价结算清单'!$P265&gt;0,'2.报价结算清单'!$B265&lt;&gt;0,'2.报价结算清单'!$F265&lt;&gt;0),'2.报价结算清单'!L265,"")</f>
        <v/>
      </c>
      <c r="J162" s="105" t="str">
        <f>IF(AND('2.报价结算清单'!$P265&gt;0,'2.报价结算清单'!$B265&lt;&gt;0,'2.报价结算清单'!I265&lt;&gt;0),'2.报价结算清单'!I265,"")</f>
        <v/>
      </c>
      <c r="K162" s="105" t="str">
        <f>IF(AND('2.报价结算清单'!$P265&gt;0,'2.报价结算清单'!$B265&lt;&gt;0,'2.报价结算清单'!$F265&lt;&gt;0),'2.报价结算清单'!N265,"")</f>
        <v/>
      </c>
      <c r="L162" s="105" t="str">
        <f>IF(AND('2.报价结算清单'!$P265&gt;0,'2.报价结算清单'!$B265&lt;&gt;0,'2.报价结算清单'!I265&lt;&gt;0),"天","")</f>
        <v/>
      </c>
      <c r="M162" s="80" t="str">
        <f t="shared" si="8"/>
        <v/>
      </c>
      <c r="N162" s="78" t="str">
        <f t="shared" si="9"/>
        <v/>
      </c>
      <c r="O162" s="78" t="str">
        <f>IF(AND('2.报价结算清单'!$P265&gt;0,'2.报价结算清单'!$B265&lt;&gt;0,'2.报价结算清单'!S265&lt;&gt;0),'2.报价结算清单'!S265,"")</f>
        <v/>
      </c>
      <c r="P162" s="78" t="str">
        <f>IF(AND('2.报价结算清单'!$P265&gt;0,'2.报价结算清单'!$B265&lt;&gt;0,'2.报价结算清单'!T265&lt;&gt;0),'2.报价结算清单'!T265,"")</f>
        <v/>
      </c>
      <c r="Q162" s="78" t="str">
        <f>IF(F162="",J162,VLOOKUP(F162,框架条目清单!A:K,4,FALSE))</f>
        <v/>
      </c>
      <c r="R162" s="106" t="str">
        <f>IF($A162="","",'2.报价结算清单'!$K$183)</f>
        <v/>
      </c>
      <c r="S162" s="80" t="str">
        <f>IF($A162="","",'2.报价结算清单'!$E$183)</f>
        <v/>
      </c>
      <c r="T162" s="78" t="str">
        <f>IF(F162="","",VLOOKUP(F162,框架条目清单!A:K,7,FALSE))</f>
        <v/>
      </c>
      <c r="U162" s="78" t="str">
        <f>IF(F162="","",VLOOKUP(F162,框架条目清单!A:K,8,FALSE))</f>
        <v/>
      </c>
      <c r="V162" s="78" t="str">
        <f>IF(F162="","",VLOOKUP(F162,框架条目清单!A:K,9,FALSE))</f>
        <v/>
      </c>
    </row>
    <row r="163" spans="1:22">
      <c r="A163" s="78" t="str">
        <f>IF(AND('2.报价结算清单'!$P266&gt;0,'2.报价结算清单'!$B266&lt;&gt;0,'2.报价结算清单'!$F266&lt;&gt;0),'2.报价结算清单'!$F266,"")</f>
        <v/>
      </c>
      <c r="B163" s="78" t="str">
        <f>_xlfn.IFNA(VLOOKUP(A163,'3.框架内物料'!$A:$I,3,0),A163)</f>
        <v/>
      </c>
      <c r="C163" s="78" t="str">
        <f>IF(AND('2.报价结算清单'!$P266&gt;0,'2.报价结算清单'!$B266&lt;&gt;0,'2.报价结算清单'!C266&lt;&gt;0),'2.报价结算清单'!C266,"")</f>
        <v/>
      </c>
      <c r="D163" s="78" t="str">
        <f>IF(AND('2.报价结算清单'!$P266&gt;0,'2.报价结算清单'!$B266&lt;&gt;0,'2.报价结算清单'!D266&lt;&gt;0),'2.报价结算清单'!D266,"")</f>
        <v/>
      </c>
      <c r="E163" s="78" t="str">
        <f>IF(AND('2.报价结算清单'!$P266&gt;0,'2.报价结算清单'!$B266&lt;&gt;0,'2.报价结算清单'!E266&lt;&gt;0),'2.报价结算清单'!E266,"")</f>
        <v/>
      </c>
      <c r="F163" s="105" t="str">
        <f>_xlfn.IFNA(IF($A163="","",IF(VLOOKUP($A163,'3.框架内物料'!$A:$I,2,0)="","",VLOOKUP($A163,'3.框架内物料'!$A:$I,2,0))),"")</f>
        <v/>
      </c>
      <c r="G163" s="87" t="str">
        <f>IF(AND('2.报价结算清单'!$P266&gt;0,'2.报价结算清单'!$B266&lt;&gt;0,'2.报价结算清单'!H266&lt;&gt;0),'2.报价结算清单'!H266,"")</f>
        <v/>
      </c>
      <c r="H163" s="122" t="str">
        <f>IF(AND('2.报价结算清单'!$P266&gt;0,'2.报价结算清单'!$B266&lt;&gt;0,'2.报价结算清单'!$F266&lt;&gt;0),'2.报价结算清单'!J266,"")</f>
        <v/>
      </c>
      <c r="I163" s="105" t="str">
        <f>IF(AND('2.报价结算清单'!$P266&gt;0,'2.报价结算清单'!$B266&lt;&gt;0,'2.报价结算清单'!$F266&lt;&gt;0),'2.报价结算清单'!L266,"")</f>
        <v/>
      </c>
      <c r="J163" s="105" t="str">
        <f>IF(AND('2.报价结算清单'!$P266&gt;0,'2.报价结算清单'!$B266&lt;&gt;0,'2.报价结算清单'!I266&lt;&gt;0),'2.报价结算清单'!I266,"")</f>
        <v/>
      </c>
      <c r="K163" s="105" t="str">
        <f>IF(AND('2.报价结算清单'!$P266&gt;0,'2.报价结算清单'!$B266&lt;&gt;0,'2.报价结算清单'!$F266&lt;&gt;0),'2.报价结算清单'!N266,"")</f>
        <v/>
      </c>
      <c r="L163" s="105" t="str">
        <f>IF(AND('2.报价结算清单'!$P266&gt;0,'2.报价结算清单'!$B266&lt;&gt;0,'2.报价结算清单'!I266&lt;&gt;0),"天","")</f>
        <v/>
      </c>
      <c r="M163" s="80" t="str">
        <f t="shared" si="8"/>
        <v/>
      </c>
      <c r="N163" s="78" t="str">
        <f t="shared" si="9"/>
        <v/>
      </c>
      <c r="O163" s="78" t="str">
        <f>IF(AND('2.报价结算清单'!$P266&gt;0,'2.报价结算清单'!$B266&lt;&gt;0,'2.报价结算清单'!S266&lt;&gt;0),'2.报价结算清单'!S266,"")</f>
        <v/>
      </c>
      <c r="P163" s="78" t="str">
        <f>IF(AND('2.报价结算清单'!$P266&gt;0,'2.报价结算清单'!$B266&lt;&gt;0,'2.报价结算清单'!T266&lt;&gt;0),'2.报价结算清单'!T266,"")</f>
        <v/>
      </c>
      <c r="Q163" s="78" t="str">
        <f>IF(F163="",J163,VLOOKUP(F163,框架条目清单!A:K,4,FALSE))</f>
        <v/>
      </c>
      <c r="R163" s="106" t="str">
        <f>IF($A163="","",'2.报价结算清单'!$K$183)</f>
        <v/>
      </c>
      <c r="S163" s="80" t="str">
        <f>IF($A163="","",'2.报价结算清单'!$E$183)</f>
        <v/>
      </c>
      <c r="T163" s="78" t="str">
        <f>IF(F163="","",VLOOKUP(F163,框架条目清单!A:K,7,FALSE))</f>
        <v/>
      </c>
      <c r="U163" s="78" t="str">
        <f>IF(F163="","",VLOOKUP(F163,框架条目清单!A:K,8,FALSE))</f>
        <v/>
      </c>
      <c r="V163" s="78" t="str">
        <f>IF(F163="","",VLOOKUP(F163,框架条目清单!A:K,9,FALSE))</f>
        <v/>
      </c>
    </row>
    <row r="164" spans="1:22">
      <c r="A164" s="78" t="str">
        <f>IF(AND('2.报价结算清单'!$P267&gt;0,'2.报价结算清单'!$B267&lt;&gt;0,'2.报价结算清单'!$F267&lt;&gt;0),'2.报价结算清单'!$F267,"")</f>
        <v/>
      </c>
      <c r="B164" s="78" t="str">
        <f>_xlfn.IFNA(VLOOKUP(A164,'3.框架内物料'!$A:$I,3,0),A164)</f>
        <v/>
      </c>
      <c r="C164" s="78" t="str">
        <f>IF(AND('2.报价结算清单'!$P267&gt;0,'2.报价结算清单'!$B267&lt;&gt;0,'2.报价结算清单'!C267&lt;&gt;0),'2.报价结算清单'!C267,"")</f>
        <v/>
      </c>
      <c r="D164" s="78" t="str">
        <f>IF(AND('2.报价结算清单'!$P267&gt;0,'2.报价结算清单'!$B267&lt;&gt;0,'2.报价结算清单'!D267&lt;&gt;0),'2.报价结算清单'!D267,"")</f>
        <v/>
      </c>
      <c r="E164" s="78" t="str">
        <f>IF(AND('2.报价结算清单'!$P267&gt;0,'2.报价结算清单'!$B267&lt;&gt;0,'2.报价结算清单'!E267&lt;&gt;0),'2.报价结算清单'!E267,"")</f>
        <v/>
      </c>
      <c r="F164" s="105" t="str">
        <f>_xlfn.IFNA(IF($A164="","",IF(VLOOKUP($A164,'3.框架内物料'!$A:$I,2,0)="","",VLOOKUP($A164,'3.框架内物料'!$A:$I,2,0))),"")</f>
        <v/>
      </c>
      <c r="G164" s="87" t="str">
        <f>IF(AND('2.报价结算清单'!$P267&gt;0,'2.报价结算清单'!$B267&lt;&gt;0,'2.报价结算清单'!H267&lt;&gt;0),'2.报价结算清单'!H267,"")</f>
        <v/>
      </c>
      <c r="H164" s="122" t="str">
        <f>IF(AND('2.报价结算清单'!$P267&gt;0,'2.报价结算清单'!$B267&lt;&gt;0,'2.报价结算清单'!$F267&lt;&gt;0),'2.报价结算清单'!J267,"")</f>
        <v/>
      </c>
      <c r="I164" s="105" t="str">
        <f>IF(AND('2.报价结算清单'!$P267&gt;0,'2.报价结算清单'!$B267&lt;&gt;0,'2.报价结算清单'!$F267&lt;&gt;0),'2.报价结算清单'!L267,"")</f>
        <v/>
      </c>
      <c r="J164" s="105" t="str">
        <f>IF(AND('2.报价结算清单'!$P267&gt;0,'2.报价结算清单'!$B267&lt;&gt;0,'2.报价结算清单'!I267&lt;&gt;0),'2.报价结算清单'!I267,"")</f>
        <v/>
      </c>
      <c r="K164" s="105" t="str">
        <f>IF(AND('2.报价结算清单'!$P267&gt;0,'2.报价结算清单'!$B267&lt;&gt;0,'2.报价结算清单'!$F267&lt;&gt;0),'2.报价结算清单'!N267,"")</f>
        <v/>
      </c>
      <c r="L164" s="105" t="str">
        <f>IF(AND('2.报价结算清单'!$P267&gt;0,'2.报价结算清单'!$B267&lt;&gt;0,'2.报价结算清单'!I267&lt;&gt;0),"天","")</f>
        <v/>
      </c>
      <c r="M164" s="80" t="str">
        <f t="shared" si="8"/>
        <v/>
      </c>
      <c r="N164" s="78" t="str">
        <f t="shared" si="9"/>
        <v/>
      </c>
      <c r="O164" s="78" t="str">
        <f>IF(AND('2.报价结算清单'!$P267&gt;0,'2.报价结算清单'!$B267&lt;&gt;0,'2.报价结算清单'!S267&lt;&gt;0),'2.报价结算清单'!S267,"")</f>
        <v/>
      </c>
      <c r="P164" s="78" t="str">
        <f>IF(AND('2.报价结算清单'!$P267&gt;0,'2.报价结算清单'!$B267&lt;&gt;0,'2.报价结算清单'!T267&lt;&gt;0),'2.报价结算清单'!T267,"")</f>
        <v/>
      </c>
      <c r="Q164" s="78" t="str">
        <f>IF(F164="",J164,VLOOKUP(F164,框架条目清单!A:K,4,FALSE))</f>
        <v/>
      </c>
      <c r="R164" s="106" t="str">
        <f>IF($A164="","",'2.报价结算清单'!$K$183)</f>
        <v/>
      </c>
      <c r="S164" s="80" t="str">
        <f>IF($A164="","",'2.报价结算清单'!$E$183)</f>
        <v/>
      </c>
      <c r="T164" s="78" t="str">
        <f>IF(F164="","",VLOOKUP(F164,框架条目清单!A:K,7,FALSE))</f>
        <v/>
      </c>
      <c r="U164" s="78" t="str">
        <f>IF(F164="","",VLOOKUP(F164,框架条目清单!A:K,8,FALSE))</f>
        <v/>
      </c>
      <c r="V164" s="78" t="str">
        <f>IF(F164="","",VLOOKUP(F164,框架条目清单!A:K,9,FALSE))</f>
        <v/>
      </c>
    </row>
    <row r="165" spans="1:22">
      <c r="A165" s="78" t="str">
        <f>IF(AND('2.报价结算清单'!$P268&gt;0,'2.报价结算清单'!$B268&lt;&gt;0,'2.报价结算清单'!$F268&lt;&gt;0),'2.报价结算清单'!$F268,"")</f>
        <v/>
      </c>
      <c r="B165" s="78" t="str">
        <f>_xlfn.IFNA(VLOOKUP(A165,'3.框架内物料'!$A:$I,3,0),A165)</f>
        <v/>
      </c>
      <c r="C165" s="78" t="str">
        <f>IF(AND('2.报价结算清单'!$P268&gt;0,'2.报价结算清单'!$B268&lt;&gt;0,'2.报价结算清单'!C268&lt;&gt;0),'2.报价结算清单'!C268,"")</f>
        <v/>
      </c>
      <c r="D165" s="78" t="str">
        <f>IF(AND('2.报价结算清单'!$P268&gt;0,'2.报价结算清单'!$B268&lt;&gt;0,'2.报价结算清单'!D268&lt;&gt;0),'2.报价结算清单'!D268,"")</f>
        <v/>
      </c>
      <c r="E165" s="78" t="str">
        <f>IF(AND('2.报价结算清单'!$P268&gt;0,'2.报价结算清单'!$B268&lt;&gt;0,'2.报价结算清单'!E268&lt;&gt;0),'2.报价结算清单'!E268,"")</f>
        <v/>
      </c>
      <c r="F165" s="105" t="str">
        <f>_xlfn.IFNA(IF($A165="","",IF(VLOOKUP($A165,'3.框架内物料'!$A:$I,2,0)="","",VLOOKUP($A165,'3.框架内物料'!$A:$I,2,0))),"")</f>
        <v/>
      </c>
      <c r="G165" s="87" t="str">
        <f>IF(AND('2.报价结算清单'!$P268&gt;0,'2.报价结算清单'!$B268&lt;&gt;0,'2.报价结算清单'!H268&lt;&gt;0),'2.报价结算清单'!H268,"")</f>
        <v/>
      </c>
      <c r="H165" s="122" t="str">
        <f>IF(AND('2.报价结算清单'!$P268&gt;0,'2.报价结算清单'!$B268&lt;&gt;0,'2.报价结算清单'!$F268&lt;&gt;0),'2.报价结算清单'!J268,"")</f>
        <v/>
      </c>
      <c r="I165" s="105" t="str">
        <f>IF(AND('2.报价结算清单'!$P268&gt;0,'2.报价结算清单'!$B268&lt;&gt;0,'2.报价结算清单'!$F268&lt;&gt;0),'2.报价结算清单'!L268,"")</f>
        <v/>
      </c>
      <c r="J165" s="105" t="str">
        <f>IF(AND('2.报价结算清单'!$P268&gt;0,'2.报价结算清单'!$B268&lt;&gt;0,'2.报价结算清单'!I268&lt;&gt;0),'2.报价结算清单'!I268,"")</f>
        <v/>
      </c>
      <c r="K165" s="105" t="str">
        <f>IF(AND('2.报价结算清单'!$P268&gt;0,'2.报价结算清单'!$B268&lt;&gt;0,'2.报价结算清单'!$F268&lt;&gt;0),'2.报价结算清单'!N268,"")</f>
        <v/>
      </c>
      <c r="L165" s="105" t="str">
        <f>IF(AND('2.报价结算清单'!$P268&gt;0,'2.报价结算清单'!$B268&lt;&gt;0,'2.报价结算清单'!I268&lt;&gt;0),"天","")</f>
        <v/>
      </c>
      <c r="M165" s="80" t="str">
        <f t="shared" si="8"/>
        <v/>
      </c>
      <c r="N165" s="78" t="str">
        <f t="shared" si="9"/>
        <v/>
      </c>
      <c r="O165" s="78" t="str">
        <f>IF(AND('2.报价结算清单'!$P268&gt;0,'2.报价结算清单'!$B268&lt;&gt;0,'2.报价结算清单'!S268&lt;&gt;0),'2.报价结算清单'!S268,"")</f>
        <v/>
      </c>
      <c r="P165" s="78" t="str">
        <f>IF(AND('2.报价结算清单'!$P268&gt;0,'2.报价结算清单'!$B268&lt;&gt;0,'2.报价结算清单'!T268&lt;&gt;0),'2.报价结算清单'!T268,"")</f>
        <v/>
      </c>
      <c r="Q165" s="78" t="str">
        <f>IF(F165="",J165,VLOOKUP(F165,框架条目清单!A:K,4,FALSE))</f>
        <v/>
      </c>
      <c r="R165" s="106" t="str">
        <f>IF($A165="","",'2.报价结算清单'!$K$183)</f>
        <v/>
      </c>
      <c r="S165" s="80" t="str">
        <f>IF($A165="","",'2.报价结算清单'!$E$183)</f>
        <v/>
      </c>
      <c r="T165" s="78" t="str">
        <f>IF(F165="","",VLOOKUP(F165,框架条目清单!A:K,7,FALSE))</f>
        <v/>
      </c>
      <c r="U165" s="78" t="str">
        <f>IF(F165="","",VLOOKUP(F165,框架条目清单!A:K,8,FALSE))</f>
        <v/>
      </c>
      <c r="V165" s="78" t="str">
        <f>IF(F165="","",VLOOKUP(F165,框架条目清单!A:K,9,FALSE))</f>
        <v/>
      </c>
    </row>
    <row r="166" spans="1:22">
      <c r="A166" s="78" t="str">
        <f>IF(AND('2.报价结算清单'!$P269&gt;0,'2.报价结算清单'!$B269&lt;&gt;0,'2.报价结算清单'!$F269&lt;&gt;0),'2.报价结算清单'!$F269,"")</f>
        <v/>
      </c>
      <c r="B166" s="78" t="str">
        <f>_xlfn.IFNA(VLOOKUP(A166,'3.框架内物料'!$A:$I,3,0),A166)</f>
        <v/>
      </c>
      <c r="C166" s="78" t="str">
        <f>IF(AND('2.报价结算清单'!$P269&gt;0,'2.报价结算清单'!$B269&lt;&gt;0,'2.报价结算清单'!C269&lt;&gt;0),'2.报价结算清单'!C269,"")</f>
        <v/>
      </c>
      <c r="D166" s="78" t="str">
        <f>IF(AND('2.报价结算清单'!$P269&gt;0,'2.报价结算清单'!$B269&lt;&gt;0,'2.报价结算清单'!D269&lt;&gt;0),'2.报价结算清单'!D269,"")</f>
        <v/>
      </c>
      <c r="E166" s="78" t="str">
        <f>IF(AND('2.报价结算清单'!$P269&gt;0,'2.报价结算清单'!$B269&lt;&gt;0,'2.报价结算清单'!E269&lt;&gt;0),'2.报价结算清单'!E269,"")</f>
        <v/>
      </c>
      <c r="F166" s="105" t="str">
        <f>_xlfn.IFNA(IF($A166="","",IF(VLOOKUP($A166,'3.框架内物料'!$A:$I,2,0)="","",VLOOKUP($A166,'3.框架内物料'!$A:$I,2,0))),"")</f>
        <v/>
      </c>
      <c r="G166" s="87" t="str">
        <f>IF(AND('2.报价结算清单'!$P269&gt;0,'2.报价结算清单'!$B269&lt;&gt;0,'2.报价结算清单'!H269&lt;&gt;0),'2.报价结算清单'!H269,"")</f>
        <v/>
      </c>
      <c r="H166" s="122" t="str">
        <f>IF(AND('2.报价结算清单'!$P269&gt;0,'2.报价结算清单'!$B269&lt;&gt;0,'2.报价结算清单'!$F269&lt;&gt;0),'2.报价结算清单'!J269,"")</f>
        <v/>
      </c>
      <c r="I166" s="105" t="str">
        <f>IF(AND('2.报价结算清单'!$P269&gt;0,'2.报价结算清单'!$B269&lt;&gt;0,'2.报价结算清单'!$F269&lt;&gt;0),'2.报价结算清单'!L269,"")</f>
        <v/>
      </c>
      <c r="J166" s="105" t="str">
        <f>IF(AND('2.报价结算清单'!$P269&gt;0,'2.报价结算清单'!$B269&lt;&gt;0,'2.报价结算清单'!I269&lt;&gt;0),'2.报价结算清单'!I269,"")</f>
        <v/>
      </c>
      <c r="K166" s="105" t="str">
        <f>IF(AND('2.报价结算清单'!$P269&gt;0,'2.报价结算清单'!$B269&lt;&gt;0,'2.报价结算清单'!$F269&lt;&gt;0),'2.报价结算清单'!N269,"")</f>
        <v/>
      </c>
      <c r="L166" s="105" t="str">
        <f>IF(AND('2.报价结算清单'!$P269&gt;0,'2.报价结算清单'!$B269&lt;&gt;0,'2.报价结算清单'!I269&lt;&gt;0),"天","")</f>
        <v/>
      </c>
      <c r="M166" s="80" t="str">
        <f t="shared" si="8"/>
        <v/>
      </c>
      <c r="N166" s="78" t="str">
        <f t="shared" si="9"/>
        <v/>
      </c>
      <c r="O166" s="78" t="str">
        <f>IF(AND('2.报价结算清单'!$P269&gt;0,'2.报价结算清单'!$B269&lt;&gt;0,'2.报价结算清单'!S269&lt;&gt;0),'2.报价结算清单'!S269,"")</f>
        <v/>
      </c>
      <c r="P166" s="78" t="str">
        <f>IF(AND('2.报价结算清单'!$P269&gt;0,'2.报价结算清单'!$B269&lt;&gt;0,'2.报价结算清单'!T269&lt;&gt;0),'2.报价结算清单'!T269,"")</f>
        <v/>
      </c>
      <c r="Q166" s="78" t="str">
        <f>IF(F166="",J166,VLOOKUP(F166,框架条目清单!A:K,4,FALSE))</f>
        <v/>
      </c>
      <c r="R166" s="106" t="str">
        <f>IF($A166="","",'2.报价结算清单'!$K$183)</f>
        <v/>
      </c>
      <c r="S166" s="80" t="str">
        <f>IF($A166="","",'2.报价结算清单'!$E$183)</f>
        <v/>
      </c>
      <c r="T166" s="78" t="str">
        <f>IF(F166="","",VLOOKUP(F166,框架条目清单!A:K,7,FALSE))</f>
        <v/>
      </c>
      <c r="U166" s="78" t="str">
        <f>IF(F166="","",VLOOKUP(F166,框架条目清单!A:K,8,FALSE))</f>
        <v/>
      </c>
      <c r="V166" s="78" t="str">
        <f>IF(F166="","",VLOOKUP(F166,框架条目清单!A:K,9,FALSE))</f>
        <v/>
      </c>
    </row>
    <row r="167" spans="1:22">
      <c r="A167" s="78" t="str">
        <f>IF(AND('2.报价结算清单'!$P270&gt;0,'2.报价结算清单'!$B270&lt;&gt;0,'2.报价结算清单'!$F270&lt;&gt;0),'2.报价结算清单'!$F270,"")</f>
        <v/>
      </c>
      <c r="B167" s="78" t="str">
        <f>_xlfn.IFNA(VLOOKUP(A167,'3.框架内物料'!$A:$I,3,0),A167)</f>
        <v/>
      </c>
      <c r="C167" s="78" t="str">
        <f>IF(AND('2.报价结算清单'!$P270&gt;0,'2.报价结算清单'!$B270&lt;&gt;0,'2.报价结算清单'!C270&lt;&gt;0),'2.报价结算清单'!C270,"")</f>
        <v/>
      </c>
      <c r="D167" s="78" t="str">
        <f>IF(AND('2.报价结算清单'!$P270&gt;0,'2.报价结算清单'!$B270&lt;&gt;0,'2.报价结算清单'!D270&lt;&gt;0),'2.报价结算清单'!D270,"")</f>
        <v/>
      </c>
      <c r="E167" s="78" t="str">
        <f>IF(AND('2.报价结算清单'!$P270&gt;0,'2.报价结算清单'!$B270&lt;&gt;0,'2.报价结算清单'!E270&lt;&gt;0),'2.报价结算清单'!E270,"")</f>
        <v/>
      </c>
      <c r="F167" s="105" t="str">
        <f>_xlfn.IFNA(IF($A167="","",IF(VLOOKUP($A167,'3.框架内物料'!$A:$I,2,0)="","",VLOOKUP($A167,'3.框架内物料'!$A:$I,2,0))),"")</f>
        <v/>
      </c>
      <c r="G167" s="87" t="str">
        <f>IF(AND('2.报价结算清单'!$P270&gt;0,'2.报价结算清单'!$B270&lt;&gt;0,'2.报价结算清单'!H270&lt;&gt;0),'2.报价结算清单'!H270,"")</f>
        <v/>
      </c>
      <c r="H167" s="122" t="str">
        <f>IF(AND('2.报价结算清单'!$P270&gt;0,'2.报价结算清单'!$B270&lt;&gt;0,'2.报价结算清单'!$F270&lt;&gt;0),'2.报价结算清单'!J270,"")</f>
        <v/>
      </c>
      <c r="I167" s="105" t="str">
        <f>IF(AND('2.报价结算清单'!$P270&gt;0,'2.报价结算清单'!$B270&lt;&gt;0,'2.报价结算清单'!$F270&lt;&gt;0),'2.报价结算清单'!L270,"")</f>
        <v/>
      </c>
      <c r="J167" s="105" t="str">
        <f>IF(AND('2.报价结算清单'!$P270&gt;0,'2.报价结算清单'!$B270&lt;&gt;0,'2.报价结算清单'!I270&lt;&gt;0),'2.报价结算清单'!I270,"")</f>
        <v/>
      </c>
      <c r="K167" s="105" t="str">
        <f>IF(AND('2.报价结算清单'!$P270&gt;0,'2.报价结算清单'!$B270&lt;&gt;0,'2.报价结算清单'!$F270&lt;&gt;0),'2.报价结算清单'!N270,"")</f>
        <v/>
      </c>
      <c r="L167" s="105" t="str">
        <f>IF(AND('2.报价结算清单'!$P270&gt;0,'2.报价结算清单'!$B270&lt;&gt;0,'2.报价结算清单'!I270&lt;&gt;0),"天","")</f>
        <v/>
      </c>
      <c r="M167" s="80" t="str">
        <f t="shared" si="8"/>
        <v/>
      </c>
      <c r="N167" s="78" t="str">
        <f t="shared" si="9"/>
        <v/>
      </c>
      <c r="O167" s="78" t="str">
        <f>IF(AND('2.报价结算清单'!$P270&gt;0,'2.报价结算清单'!$B270&lt;&gt;0,'2.报价结算清单'!S270&lt;&gt;0),'2.报价结算清单'!S270,"")</f>
        <v/>
      </c>
      <c r="P167" s="78" t="str">
        <f>IF(AND('2.报价结算清单'!$P270&gt;0,'2.报价结算清单'!$B270&lt;&gt;0,'2.报价结算清单'!T270&lt;&gt;0),'2.报价结算清单'!T270,"")</f>
        <v/>
      </c>
      <c r="Q167" s="78" t="str">
        <f>IF(F167="",J167,VLOOKUP(F167,框架条目清单!A:K,4,FALSE))</f>
        <v/>
      </c>
      <c r="R167" s="106" t="str">
        <f>IF($A167="","",'2.报价结算清单'!$K$183)</f>
        <v/>
      </c>
      <c r="S167" s="80" t="str">
        <f>IF($A167="","",'2.报价结算清单'!$E$183)</f>
        <v/>
      </c>
      <c r="T167" s="78" t="str">
        <f>IF(F167="","",VLOOKUP(F167,框架条目清单!A:K,7,FALSE))</f>
        <v/>
      </c>
      <c r="U167" s="78" t="str">
        <f>IF(F167="","",VLOOKUP(F167,框架条目清单!A:K,8,FALSE))</f>
        <v/>
      </c>
      <c r="V167" s="78" t="str">
        <f>IF(F167="","",VLOOKUP(F167,框架条目清单!A:K,9,FALSE))</f>
        <v/>
      </c>
    </row>
    <row r="168" spans="1:22">
      <c r="A168" s="78" t="str">
        <f>IF(AND('2.报价结算清单'!$P271&gt;0,'2.报价结算清单'!$B271&lt;&gt;0,'2.报价结算清单'!$F271&lt;&gt;0),'2.报价结算清单'!$F271,"")</f>
        <v/>
      </c>
      <c r="B168" s="78" t="str">
        <f>_xlfn.IFNA(VLOOKUP(A168,'3.框架内物料'!$A:$I,3,0),A168)</f>
        <v/>
      </c>
      <c r="C168" s="78" t="str">
        <f>IF(AND('2.报价结算清单'!$P271&gt;0,'2.报价结算清单'!$B271&lt;&gt;0,'2.报价结算清单'!C271&lt;&gt;0),'2.报价结算清单'!C271,"")</f>
        <v/>
      </c>
      <c r="D168" s="78" t="str">
        <f>IF(AND('2.报价结算清单'!$P271&gt;0,'2.报价结算清单'!$B271&lt;&gt;0,'2.报价结算清单'!D271&lt;&gt;0),'2.报价结算清单'!D271,"")</f>
        <v/>
      </c>
      <c r="E168" s="78" t="str">
        <f>IF(AND('2.报价结算清单'!$P271&gt;0,'2.报价结算清单'!$B271&lt;&gt;0,'2.报价结算清单'!E271&lt;&gt;0),'2.报价结算清单'!E271,"")</f>
        <v/>
      </c>
      <c r="F168" s="105" t="str">
        <f>_xlfn.IFNA(IF($A168="","",IF(VLOOKUP($A168,'3.框架内物料'!$A:$I,2,0)="","",VLOOKUP($A168,'3.框架内物料'!$A:$I,2,0))),"")</f>
        <v/>
      </c>
      <c r="G168" s="87" t="str">
        <f>IF(AND('2.报价结算清单'!$P271&gt;0,'2.报价结算清单'!$B271&lt;&gt;0,'2.报价结算清单'!H271&lt;&gt;0),'2.报价结算清单'!H271,"")</f>
        <v/>
      </c>
      <c r="H168" s="122" t="str">
        <f>IF(AND('2.报价结算清单'!$P271&gt;0,'2.报价结算清单'!$B271&lt;&gt;0,'2.报价结算清单'!$F271&lt;&gt;0),'2.报价结算清单'!J271,"")</f>
        <v/>
      </c>
      <c r="I168" s="105" t="str">
        <f>IF(AND('2.报价结算清单'!$P271&gt;0,'2.报价结算清单'!$B271&lt;&gt;0,'2.报价结算清单'!$F271&lt;&gt;0),'2.报价结算清单'!L271,"")</f>
        <v/>
      </c>
      <c r="J168" s="105" t="str">
        <f>IF(AND('2.报价结算清单'!$P271&gt;0,'2.报价结算清单'!$B271&lt;&gt;0,'2.报价结算清单'!I271&lt;&gt;0),'2.报价结算清单'!I271,"")</f>
        <v/>
      </c>
      <c r="K168" s="105" t="str">
        <f>IF(AND('2.报价结算清单'!$P271&gt;0,'2.报价结算清单'!$B271&lt;&gt;0,'2.报价结算清单'!$F271&lt;&gt;0),'2.报价结算清单'!N271,"")</f>
        <v/>
      </c>
      <c r="L168" s="105" t="str">
        <f>IF(AND('2.报价结算清单'!$P271&gt;0,'2.报价结算清单'!$B271&lt;&gt;0,'2.报价结算清单'!I271&lt;&gt;0),"天","")</f>
        <v/>
      </c>
      <c r="M168" s="80" t="str">
        <f t="shared" si="8"/>
        <v/>
      </c>
      <c r="N168" s="78" t="str">
        <f t="shared" si="9"/>
        <v/>
      </c>
      <c r="O168" s="78" t="str">
        <f>IF(AND('2.报价结算清单'!$P271&gt;0,'2.报价结算清单'!$B271&lt;&gt;0,'2.报价结算清单'!S271&lt;&gt;0),'2.报价结算清单'!S271,"")</f>
        <v/>
      </c>
      <c r="P168" s="78" t="str">
        <f>IF(AND('2.报价结算清单'!$P271&gt;0,'2.报价结算清单'!$B271&lt;&gt;0,'2.报价结算清单'!T271&lt;&gt;0),'2.报价结算清单'!T271,"")</f>
        <v/>
      </c>
      <c r="Q168" s="78" t="str">
        <f>IF(F168="",J168,VLOOKUP(F168,框架条目清单!A:K,4,FALSE))</f>
        <v/>
      </c>
      <c r="R168" s="106" t="str">
        <f>IF($A168="","",'2.报价结算清单'!$K$183)</f>
        <v/>
      </c>
      <c r="S168" s="80" t="str">
        <f>IF($A168="","",'2.报价结算清单'!$E$183)</f>
        <v/>
      </c>
      <c r="T168" s="78" t="str">
        <f>IF(F168="","",VLOOKUP(F168,框架条目清单!A:K,7,FALSE))</f>
        <v/>
      </c>
      <c r="U168" s="78" t="str">
        <f>IF(F168="","",VLOOKUP(F168,框架条目清单!A:K,8,FALSE))</f>
        <v/>
      </c>
      <c r="V168" s="78" t="str">
        <f>IF(F168="","",VLOOKUP(F168,框架条目清单!A:K,9,FALSE))</f>
        <v/>
      </c>
    </row>
    <row r="169" spans="1:22">
      <c r="A169" s="78" t="str">
        <f>IF(AND('2.报价结算清单'!$P272&gt;0,'2.报价结算清单'!$B272&lt;&gt;0,'2.报价结算清单'!$F272&lt;&gt;0),'2.报价结算清单'!$F272,"")</f>
        <v/>
      </c>
      <c r="B169" s="78" t="str">
        <f>_xlfn.IFNA(VLOOKUP(A169,'3.框架内物料'!$A:$I,3,0),A169)</f>
        <v/>
      </c>
      <c r="C169" s="78" t="str">
        <f>IF(AND('2.报价结算清单'!$P272&gt;0,'2.报价结算清单'!$B272&lt;&gt;0,'2.报价结算清单'!C272&lt;&gt;0),'2.报价结算清单'!C272,"")</f>
        <v/>
      </c>
      <c r="D169" s="78" t="str">
        <f>IF(AND('2.报价结算清单'!$P272&gt;0,'2.报价结算清单'!$B272&lt;&gt;0,'2.报价结算清单'!D272&lt;&gt;0),'2.报价结算清单'!D272,"")</f>
        <v/>
      </c>
      <c r="E169" s="78" t="str">
        <f>IF(AND('2.报价结算清单'!$P272&gt;0,'2.报价结算清单'!$B272&lt;&gt;0,'2.报价结算清单'!E272&lt;&gt;0),'2.报价结算清单'!E272,"")</f>
        <v/>
      </c>
      <c r="F169" s="105" t="str">
        <f>_xlfn.IFNA(IF($A169="","",IF(VLOOKUP($A169,'3.框架内物料'!$A:$I,2,0)="","",VLOOKUP($A169,'3.框架内物料'!$A:$I,2,0))),"")</f>
        <v/>
      </c>
      <c r="G169" s="87" t="str">
        <f>IF(AND('2.报价结算清单'!$P272&gt;0,'2.报价结算清单'!$B272&lt;&gt;0,'2.报价结算清单'!H272&lt;&gt;0),'2.报价结算清单'!H272,"")</f>
        <v/>
      </c>
      <c r="H169" s="122" t="str">
        <f>IF(AND('2.报价结算清单'!$P272&gt;0,'2.报价结算清单'!$B272&lt;&gt;0,'2.报价结算清单'!$F272&lt;&gt;0),'2.报价结算清单'!J272,"")</f>
        <v/>
      </c>
      <c r="I169" s="105" t="str">
        <f>IF(AND('2.报价结算清单'!$P272&gt;0,'2.报价结算清单'!$B272&lt;&gt;0,'2.报价结算清单'!$F272&lt;&gt;0),'2.报价结算清单'!L272,"")</f>
        <v/>
      </c>
      <c r="J169" s="105" t="str">
        <f>IF(AND('2.报价结算清单'!$P272&gt;0,'2.报价结算清单'!$B272&lt;&gt;0,'2.报价结算清单'!I272&lt;&gt;0),'2.报价结算清单'!I272,"")</f>
        <v/>
      </c>
      <c r="K169" s="105" t="str">
        <f>IF(AND('2.报价结算清单'!$P272&gt;0,'2.报价结算清单'!$B272&lt;&gt;0,'2.报价结算清单'!$F272&lt;&gt;0),'2.报价结算清单'!N272,"")</f>
        <v/>
      </c>
      <c r="L169" s="105" t="str">
        <f>IF(AND('2.报价结算清单'!$P272&gt;0,'2.报价结算清单'!$B272&lt;&gt;0,'2.报价结算清单'!I272&lt;&gt;0),"天","")</f>
        <v/>
      </c>
      <c r="M169" s="80" t="str">
        <f t="shared" si="8"/>
        <v/>
      </c>
      <c r="N169" s="78" t="str">
        <f t="shared" si="9"/>
        <v/>
      </c>
      <c r="O169" s="78" t="str">
        <f>IF(AND('2.报价结算清单'!$P272&gt;0,'2.报价结算清单'!$B272&lt;&gt;0,'2.报价结算清单'!S272&lt;&gt;0),'2.报价结算清单'!S272,"")</f>
        <v/>
      </c>
      <c r="P169" s="78" t="str">
        <f>IF(AND('2.报价结算清单'!$P272&gt;0,'2.报价结算清单'!$B272&lt;&gt;0,'2.报价结算清单'!T272&lt;&gt;0),'2.报价结算清单'!T272,"")</f>
        <v/>
      </c>
      <c r="Q169" s="78" t="str">
        <f>IF(F169="",J169,VLOOKUP(F169,框架条目清单!A:K,4,FALSE))</f>
        <v/>
      </c>
      <c r="R169" s="106" t="str">
        <f>IF($A169="","",'2.报价结算清单'!$K$183)</f>
        <v/>
      </c>
      <c r="S169" s="80" t="str">
        <f>IF($A169="","",'2.报价结算清单'!$E$183)</f>
        <v/>
      </c>
      <c r="T169" s="78" t="str">
        <f>IF(F169="","",VLOOKUP(F169,框架条目清单!A:K,7,FALSE))</f>
        <v/>
      </c>
      <c r="U169" s="78" t="str">
        <f>IF(F169="","",VLOOKUP(F169,框架条目清单!A:K,8,FALSE))</f>
        <v/>
      </c>
      <c r="V169" s="78" t="str">
        <f>IF(F169="","",VLOOKUP(F169,框架条目清单!A:K,9,FALSE))</f>
        <v/>
      </c>
    </row>
    <row r="170" spans="1:22">
      <c r="A170" s="78" t="str">
        <f>IF(AND('2.报价结算清单'!$P273&gt;0,'2.报价结算清单'!$B273&lt;&gt;0,'2.报价结算清单'!$F273&lt;&gt;0),'2.报价结算清单'!$F273,"")</f>
        <v/>
      </c>
      <c r="B170" s="78" t="str">
        <f>_xlfn.IFNA(VLOOKUP(A170,'3.框架内物料'!$A:$I,3,0),A170)</f>
        <v/>
      </c>
      <c r="C170" s="78" t="str">
        <f>IF(AND('2.报价结算清单'!$P273&gt;0,'2.报价结算清单'!$B273&lt;&gt;0,'2.报价结算清单'!C273&lt;&gt;0),'2.报价结算清单'!C273,"")</f>
        <v/>
      </c>
      <c r="D170" s="78" t="str">
        <f>IF(AND('2.报价结算清单'!$P273&gt;0,'2.报价结算清单'!$B273&lt;&gt;0,'2.报价结算清单'!D273&lt;&gt;0),'2.报价结算清单'!D273,"")</f>
        <v/>
      </c>
      <c r="E170" s="78" t="str">
        <f>IF(AND('2.报价结算清单'!$P273&gt;0,'2.报价结算清单'!$B273&lt;&gt;0,'2.报价结算清单'!E273&lt;&gt;0),'2.报价结算清单'!E273,"")</f>
        <v/>
      </c>
      <c r="F170" s="105" t="str">
        <f>_xlfn.IFNA(IF($A170="","",IF(VLOOKUP($A170,'3.框架内物料'!$A:$I,2,0)="","",VLOOKUP($A170,'3.框架内物料'!$A:$I,2,0))),"")</f>
        <v/>
      </c>
      <c r="G170" s="87" t="str">
        <f>IF(AND('2.报价结算清单'!$P273&gt;0,'2.报价结算清单'!$B273&lt;&gt;0,'2.报价结算清单'!H273&lt;&gt;0),'2.报价结算清单'!H273,"")</f>
        <v/>
      </c>
      <c r="H170" s="122" t="str">
        <f>IF(AND('2.报价结算清单'!$P273&gt;0,'2.报价结算清单'!$B273&lt;&gt;0,'2.报价结算清单'!$F273&lt;&gt;0),'2.报价结算清单'!J273,"")</f>
        <v/>
      </c>
      <c r="I170" s="105" t="str">
        <f>IF(AND('2.报价结算清单'!$P273&gt;0,'2.报价结算清单'!$B273&lt;&gt;0,'2.报价结算清单'!$F273&lt;&gt;0),'2.报价结算清单'!L273,"")</f>
        <v/>
      </c>
      <c r="J170" s="105" t="str">
        <f>IF(AND('2.报价结算清单'!$P273&gt;0,'2.报价结算清单'!$B273&lt;&gt;0,'2.报价结算清单'!I273&lt;&gt;0),'2.报价结算清单'!I273,"")</f>
        <v/>
      </c>
      <c r="K170" s="105" t="str">
        <f>IF(AND('2.报价结算清单'!$P273&gt;0,'2.报价结算清单'!$B273&lt;&gt;0,'2.报价结算清单'!$F273&lt;&gt;0),'2.报价结算清单'!N273,"")</f>
        <v/>
      </c>
      <c r="L170" s="105" t="str">
        <f>IF(AND('2.报价结算清单'!$P273&gt;0,'2.报价结算清单'!$B273&lt;&gt;0,'2.报价结算清单'!I273&lt;&gt;0),"天","")</f>
        <v/>
      </c>
      <c r="M170" s="80" t="str">
        <f t="shared" si="8"/>
        <v/>
      </c>
      <c r="N170" s="78" t="str">
        <f t="shared" si="9"/>
        <v/>
      </c>
      <c r="O170" s="78" t="str">
        <f>IF(AND('2.报价结算清单'!$P273&gt;0,'2.报价结算清单'!$B273&lt;&gt;0,'2.报价结算清单'!S273&lt;&gt;0),'2.报价结算清单'!S273,"")</f>
        <v/>
      </c>
      <c r="P170" s="78" t="str">
        <f>IF(AND('2.报价结算清单'!$P273&gt;0,'2.报价结算清单'!$B273&lt;&gt;0,'2.报价结算清单'!T273&lt;&gt;0),'2.报价结算清单'!T273,"")</f>
        <v/>
      </c>
      <c r="Q170" s="78" t="str">
        <f>IF(F170="",J170,VLOOKUP(F170,框架条目清单!A:K,4,FALSE))</f>
        <v/>
      </c>
      <c r="R170" s="106" t="str">
        <f>IF($A170="","",'2.报价结算清单'!$K$183)</f>
        <v/>
      </c>
      <c r="S170" s="80" t="str">
        <f>IF($A170="","",'2.报价结算清单'!$E$183)</f>
        <v/>
      </c>
      <c r="T170" s="78" t="str">
        <f>IF(F170="","",VLOOKUP(F170,框架条目清单!A:K,7,FALSE))</f>
        <v/>
      </c>
      <c r="U170" s="78" t="str">
        <f>IF(F170="","",VLOOKUP(F170,框架条目清单!A:K,8,FALSE))</f>
        <v/>
      </c>
      <c r="V170" s="78" t="str">
        <f>IF(F170="","",VLOOKUP(F170,框架条目清单!A:K,9,FALSE))</f>
        <v/>
      </c>
    </row>
    <row r="171" spans="1:22">
      <c r="A171" s="78" t="str">
        <f>IF(AND('2.报价结算清单'!$P274&gt;0,'2.报价结算清单'!$B274&lt;&gt;0,'2.报价结算清单'!$F274&lt;&gt;0),'2.报价结算清单'!$F274,"")</f>
        <v/>
      </c>
      <c r="B171" s="78" t="str">
        <f>_xlfn.IFNA(VLOOKUP(A171,'3.框架内物料'!$A:$I,3,0),A171)</f>
        <v/>
      </c>
      <c r="C171" s="78" t="str">
        <f>IF(AND('2.报价结算清单'!$P274&gt;0,'2.报价结算清单'!$B274&lt;&gt;0,'2.报价结算清单'!C274&lt;&gt;0),'2.报价结算清单'!C274,"")</f>
        <v/>
      </c>
      <c r="D171" s="78" t="str">
        <f>IF(AND('2.报价结算清单'!$P274&gt;0,'2.报价结算清单'!$B274&lt;&gt;0,'2.报价结算清单'!D274&lt;&gt;0),'2.报价结算清单'!D274,"")</f>
        <v/>
      </c>
      <c r="E171" s="78" t="str">
        <f>IF(AND('2.报价结算清单'!$P274&gt;0,'2.报价结算清单'!$B274&lt;&gt;0,'2.报价结算清单'!E274&lt;&gt;0),'2.报价结算清单'!E274,"")</f>
        <v/>
      </c>
      <c r="F171" s="105" t="str">
        <f>_xlfn.IFNA(IF($A171="","",IF(VLOOKUP($A171,'3.框架内物料'!$A:$I,2,0)="","",VLOOKUP($A171,'3.框架内物料'!$A:$I,2,0))),"")</f>
        <v/>
      </c>
      <c r="G171" s="87" t="str">
        <f>IF(AND('2.报价结算清单'!$P274&gt;0,'2.报价结算清单'!$B274&lt;&gt;0,'2.报价结算清单'!H274&lt;&gt;0),'2.报价结算清单'!H274,"")</f>
        <v/>
      </c>
      <c r="H171" s="122" t="str">
        <f>IF(AND('2.报价结算清单'!$P274&gt;0,'2.报价结算清单'!$B274&lt;&gt;0,'2.报价结算清单'!$F274&lt;&gt;0),'2.报价结算清单'!J274,"")</f>
        <v/>
      </c>
      <c r="I171" s="105" t="str">
        <f>IF(AND('2.报价结算清单'!$P274&gt;0,'2.报价结算清单'!$B274&lt;&gt;0,'2.报价结算清单'!$F274&lt;&gt;0),'2.报价结算清单'!L274,"")</f>
        <v/>
      </c>
      <c r="J171" s="105" t="str">
        <f>IF(AND('2.报价结算清单'!$P274&gt;0,'2.报价结算清单'!$B274&lt;&gt;0,'2.报价结算清单'!I274&lt;&gt;0),'2.报价结算清单'!I274,"")</f>
        <v/>
      </c>
      <c r="K171" s="105" t="str">
        <f>IF(AND('2.报价结算清单'!$P274&gt;0,'2.报价结算清单'!$B274&lt;&gt;0,'2.报价结算清单'!$F274&lt;&gt;0),'2.报价结算清单'!N274,"")</f>
        <v/>
      </c>
      <c r="L171" s="105" t="str">
        <f>IF(AND('2.报价结算清单'!$P274&gt;0,'2.报价结算清单'!$B274&lt;&gt;0,'2.报价结算清单'!I274&lt;&gt;0),"天","")</f>
        <v/>
      </c>
      <c r="M171" s="80" t="str">
        <f t="shared" si="8"/>
        <v/>
      </c>
      <c r="N171" s="78" t="str">
        <f t="shared" si="9"/>
        <v/>
      </c>
      <c r="O171" s="78" t="str">
        <f>IF(AND('2.报价结算清单'!$P274&gt;0,'2.报价结算清单'!$B274&lt;&gt;0,'2.报价结算清单'!S274&lt;&gt;0),'2.报价结算清单'!S274,"")</f>
        <v/>
      </c>
      <c r="P171" s="78" t="str">
        <f>IF(AND('2.报价结算清单'!$P274&gt;0,'2.报价结算清单'!$B274&lt;&gt;0,'2.报价结算清单'!T274&lt;&gt;0),'2.报价结算清单'!T274,"")</f>
        <v/>
      </c>
      <c r="Q171" s="78" t="str">
        <f>IF(F171="",J171,VLOOKUP(F171,框架条目清单!A:K,4,FALSE))</f>
        <v/>
      </c>
      <c r="R171" s="106" t="str">
        <f>IF($A171="","",'2.报价结算清单'!$K$183)</f>
        <v/>
      </c>
      <c r="S171" s="80" t="str">
        <f>IF($A171="","",'2.报价结算清单'!$E$183)</f>
        <v/>
      </c>
      <c r="T171" s="78" t="str">
        <f>IF(F171="","",VLOOKUP(F171,框架条目清单!A:K,7,FALSE))</f>
        <v/>
      </c>
      <c r="U171" s="78" t="str">
        <f>IF(F171="","",VLOOKUP(F171,框架条目清单!A:K,8,FALSE))</f>
        <v/>
      </c>
      <c r="V171" s="78" t="str">
        <f>IF(F171="","",VLOOKUP(F171,框架条目清单!A:K,9,FALSE))</f>
        <v/>
      </c>
    </row>
    <row r="172" spans="1:22">
      <c r="A172" s="78" t="str">
        <f>IF(AND('2.报价结算清单'!$P275&gt;0,'2.报价结算清单'!$B275&lt;&gt;0,'2.报价结算清单'!$F275&lt;&gt;0),'2.报价结算清单'!$F275,"")</f>
        <v/>
      </c>
      <c r="B172" s="78" t="str">
        <f>_xlfn.IFNA(VLOOKUP(A172,'3.框架内物料'!$A:$I,3,0),A172)</f>
        <v/>
      </c>
      <c r="C172" s="78" t="str">
        <f>IF(AND('2.报价结算清单'!$P275&gt;0,'2.报价结算清单'!$B275&lt;&gt;0,'2.报价结算清单'!C275&lt;&gt;0),'2.报价结算清单'!C275,"")</f>
        <v/>
      </c>
      <c r="D172" s="78" t="str">
        <f>IF(AND('2.报价结算清单'!$P275&gt;0,'2.报价结算清单'!$B275&lt;&gt;0,'2.报价结算清单'!D275&lt;&gt;0),'2.报价结算清单'!D275,"")</f>
        <v/>
      </c>
      <c r="E172" s="78" t="str">
        <f>IF(AND('2.报价结算清单'!$P275&gt;0,'2.报价结算清单'!$B275&lt;&gt;0,'2.报价结算清单'!E275&lt;&gt;0),'2.报价结算清单'!E275,"")</f>
        <v/>
      </c>
      <c r="F172" s="105" t="str">
        <f>_xlfn.IFNA(IF($A172="","",IF(VLOOKUP($A172,'3.框架内物料'!$A:$I,2,0)="","",VLOOKUP($A172,'3.框架内物料'!$A:$I,2,0))),"")</f>
        <v/>
      </c>
      <c r="G172" s="87" t="str">
        <f>IF(AND('2.报价结算清单'!$P275&gt;0,'2.报价结算清单'!$B275&lt;&gt;0,'2.报价结算清单'!H275&lt;&gt;0),'2.报价结算清单'!H275,"")</f>
        <v/>
      </c>
      <c r="H172" s="122" t="str">
        <f>IF(AND('2.报价结算清单'!$P275&gt;0,'2.报价结算清单'!$B275&lt;&gt;0,'2.报价结算清单'!$F275&lt;&gt;0),'2.报价结算清单'!J275,"")</f>
        <v/>
      </c>
      <c r="I172" s="105" t="str">
        <f>IF(AND('2.报价结算清单'!$P275&gt;0,'2.报价结算清单'!$B275&lt;&gt;0,'2.报价结算清单'!$F275&lt;&gt;0),'2.报价结算清单'!L275,"")</f>
        <v/>
      </c>
      <c r="J172" s="105" t="str">
        <f>IF(AND('2.报价结算清单'!$P275&gt;0,'2.报价结算清单'!$B275&lt;&gt;0,'2.报价结算清单'!I275&lt;&gt;0),'2.报价结算清单'!I275,"")</f>
        <v/>
      </c>
      <c r="K172" s="105" t="str">
        <f>IF(AND('2.报价结算清单'!$P275&gt;0,'2.报价结算清单'!$B275&lt;&gt;0,'2.报价结算清单'!$F275&lt;&gt;0),'2.报价结算清单'!N275,"")</f>
        <v/>
      </c>
      <c r="L172" s="105" t="str">
        <f>IF(AND('2.报价结算清单'!$P275&gt;0,'2.报价结算清单'!$B275&lt;&gt;0,'2.报价结算清单'!I275&lt;&gt;0),"天","")</f>
        <v/>
      </c>
      <c r="M172" s="80" t="str">
        <f t="shared" si="8"/>
        <v/>
      </c>
      <c r="N172" s="78" t="str">
        <f t="shared" si="9"/>
        <v/>
      </c>
      <c r="O172" s="78" t="str">
        <f>IF(AND('2.报价结算清单'!$P275&gt;0,'2.报价结算清单'!$B275&lt;&gt;0,'2.报价结算清单'!S275&lt;&gt;0),'2.报价结算清单'!S275,"")</f>
        <v/>
      </c>
      <c r="P172" s="78" t="str">
        <f>IF(AND('2.报价结算清单'!$P275&gt;0,'2.报价结算清单'!$B275&lt;&gt;0,'2.报价结算清单'!T275&lt;&gt;0),'2.报价结算清单'!T275,"")</f>
        <v/>
      </c>
      <c r="Q172" s="78" t="str">
        <f>IF(F172="",J172,VLOOKUP(F172,框架条目清单!A:K,4,FALSE))</f>
        <v/>
      </c>
      <c r="R172" s="106" t="str">
        <f>IF($A172="","",'2.报价结算清单'!$K$183)</f>
        <v/>
      </c>
      <c r="S172" s="80" t="str">
        <f>IF($A172="","",'2.报价结算清单'!$E$183)</f>
        <v/>
      </c>
      <c r="T172" s="78" t="str">
        <f>IF(F172="","",VLOOKUP(F172,框架条目清单!A:K,7,FALSE))</f>
        <v/>
      </c>
      <c r="U172" s="78" t="str">
        <f>IF(F172="","",VLOOKUP(F172,框架条目清单!A:K,8,FALSE))</f>
        <v/>
      </c>
      <c r="V172" s="78" t="str">
        <f>IF(F172="","",VLOOKUP(F172,框架条目清单!A:K,9,FALSE))</f>
        <v/>
      </c>
    </row>
    <row r="173" spans="1:22">
      <c r="A173" s="78" t="str">
        <f>IF(AND('2.报价结算清单'!$P276&gt;0,'2.报价结算清单'!$B276&lt;&gt;0,'2.报价结算清单'!$F276&lt;&gt;0),'2.报价结算清单'!$F276,"")</f>
        <v/>
      </c>
      <c r="B173" s="78" t="str">
        <f>_xlfn.IFNA(VLOOKUP(A173,'3.框架内物料'!$A:$I,3,0),A173)</f>
        <v/>
      </c>
      <c r="C173" s="78" t="str">
        <f>IF(AND('2.报价结算清单'!$P276&gt;0,'2.报价结算清单'!$B276&lt;&gt;0,'2.报价结算清单'!C276&lt;&gt;0),'2.报价结算清单'!C276,"")</f>
        <v/>
      </c>
      <c r="D173" s="78" t="str">
        <f>IF(AND('2.报价结算清单'!$P276&gt;0,'2.报价结算清单'!$B276&lt;&gt;0,'2.报价结算清单'!D276&lt;&gt;0),'2.报价结算清单'!D276,"")</f>
        <v/>
      </c>
      <c r="E173" s="78" t="str">
        <f>IF(AND('2.报价结算清单'!$P276&gt;0,'2.报价结算清单'!$B276&lt;&gt;0,'2.报价结算清单'!E276&lt;&gt;0),'2.报价结算清单'!E276,"")</f>
        <v/>
      </c>
      <c r="F173" s="105" t="str">
        <f>_xlfn.IFNA(IF($A173="","",IF(VLOOKUP($A173,'3.框架内物料'!$A:$I,2,0)="","",VLOOKUP($A173,'3.框架内物料'!$A:$I,2,0))),"")</f>
        <v/>
      </c>
      <c r="G173" s="87" t="str">
        <f>IF(AND('2.报价结算清单'!$P276&gt;0,'2.报价结算清单'!$B276&lt;&gt;0,'2.报价结算清单'!H276&lt;&gt;0),'2.报价结算清单'!H276,"")</f>
        <v/>
      </c>
      <c r="H173" s="122" t="str">
        <f>IF(AND('2.报价结算清单'!$P276&gt;0,'2.报价结算清单'!$B276&lt;&gt;0,'2.报价结算清单'!$F276&lt;&gt;0),'2.报价结算清单'!J276,"")</f>
        <v/>
      </c>
      <c r="I173" s="105" t="str">
        <f>IF(AND('2.报价结算清单'!$P276&gt;0,'2.报价结算清单'!$B276&lt;&gt;0,'2.报价结算清单'!$F276&lt;&gt;0),'2.报价结算清单'!L276,"")</f>
        <v/>
      </c>
      <c r="J173" s="105" t="str">
        <f>IF(AND('2.报价结算清单'!$P276&gt;0,'2.报价结算清单'!$B276&lt;&gt;0,'2.报价结算清单'!I276&lt;&gt;0),'2.报价结算清单'!I276,"")</f>
        <v/>
      </c>
      <c r="K173" s="105" t="str">
        <f>IF(AND('2.报价结算清单'!$P276&gt;0,'2.报价结算清单'!$B276&lt;&gt;0,'2.报价结算清单'!$F276&lt;&gt;0),'2.报价结算清单'!N276,"")</f>
        <v/>
      </c>
      <c r="L173" s="105" t="str">
        <f>IF(AND('2.报价结算清单'!$P276&gt;0,'2.报价结算清单'!$B276&lt;&gt;0,'2.报价结算清单'!I276&lt;&gt;0),"天","")</f>
        <v/>
      </c>
      <c r="M173" s="80" t="str">
        <f t="shared" si="8"/>
        <v/>
      </c>
      <c r="N173" s="78" t="str">
        <f t="shared" si="9"/>
        <v/>
      </c>
      <c r="O173" s="78" t="str">
        <f>IF(AND('2.报价结算清单'!$P276&gt;0,'2.报价结算清单'!$B276&lt;&gt;0,'2.报价结算清单'!S276&lt;&gt;0),'2.报价结算清单'!S276,"")</f>
        <v/>
      </c>
      <c r="P173" s="78" t="str">
        <f>IF(AND('2.报价结算清单'!$P276&gt;0,'2.报价结算清单'!$B276&lt;&gt;0,'2.报价结算清单'!T276&lt;&gt;0),'2.报价结算清单'!T276,"")</f>
        <v/>
      </c>
      <c r="Q173" s="78" t="str">
        <f>IF(F173="",J173,VLOOKUP(F173,框架条目清单!A:K,4,FALSE))</f>
        <v/>
      </c>
      <c r="R173" s="106" t="str">
        <f>IF($A173="","",'2.报价结算清单'!$K$183)</f>
        <v/>
      </c>
      <c r="S173" s="80" t="str">
        <f>IF($A173="","",'2.报价结算清单'!$E$183)</f>
        <v/>
      </c>
      <c r="T173" s="78" t="str">
        <f>IF(F173="","",VLOOKUP(F173,框架条目清单!A:K,7,FALSE))</f>
        <v/>
      </c>
      <c r="U173" s="78" t="str">
        <f>IF(F173="","",VLOOKUP(F173,框架条目清单!A:K,8,FALSE))</f>
        <v/>
      </c>
      <c r="V173" s="78" t="str">
        <f>IF(F173="","",VLOOKUP(F173,框架条目清单!A:K,9,FALSE))</f>
        <v/>
      </c>
    </row>
    <row r="174" spans="1:22">
      <c r="A174" s="78" t="str">
        <f>IF(AND('2.报价结算清单'!$P277&gt;0,'2.报价结算清单'!$B277&lt;&gt;0,'2.报价结算清单'!$F277&lt;&gt;0),'2.报价结算清单'!$F277,"")</f>
        <v/>
      </c>
      <c r="B174" s="78" t="str">
        <f>_xlfn.IFNA(VLOOKUP(A174,'3.框架内物料'!$A:$I,3,0),A174)</f>
        <v/>
      </c>
      <c r="C174" s="78" t="str">
        <f>IF(AND('2.报价结算清单'!$P277&gt;0,'2.报价结算清单'!$B277&lt;&gt;0,'2.报价结算清单'!C277&lt;&gt;0),'2.报价结算清单'!C277,"")</f>
        <v/>
      </c>
      <c r="D174" s="78" t="str">
        <f>IF(AND('2.报价结算清单'!$P277&gt;0,'2.报价结算清单'!$B277&lt;&gt;0,'2.报价结算清单'!D277&lt;&gt;0),'2.报价结算清单'!D277,"")</f>
        <v/>
      </c>
      <c r="E174" s="78" t="str">
        <f>IF(AND('2.报价结算清单'!$P277&gt;0,'2.报价结算清单'!$B277&lt;&gt;0,'2.报价结算清单'!E277&lt;&gt;0),'2.报价结算清单'!E277,"")</f>
        <v/>
      </c>
      <c r="F174" s="105" t="str">
        <f>_xlfn.IFNA(IF($A174="","",IF(VLOOKUP($A174,'3.框架内物料'!$A:$I,2,0)="","",VLOOKUP($A174,'3.框架内物料'!$A:$I,2,0))),"")</f>
        <v/>
      </c>
      <c r="G174" s="87" t="str">
        <f>IF(AND('2.报价结算清单'!$P277&gt;0,'2.报价结算清单'!$B277&lt;&gt;0,'2.报价结算清单'!H277&lt;&gt;0),'2.报价结算清单'!H277,"")</f>
        <v/>
      </c>
      <c r="H174" s="122" t="str">
        <f>IF(AND('2.报价结算清单'!$P277&gt;0,'2.报价结算清单'!$B277&lt;&gt;0,'2.报价结算清单'!$F277&lt;&gt;0),'2.报价结算清单'!J277,"")</f>
        <v/>
      </c>
      <c r="I174" s="105" t="str">
        <f>IF(AND('2.报价结算清单'!$P277&gt;0,'2.报价结算清单'!$B277&lt;&gt;0,'2.报价结算清单'!$F277&lt;&gt;0),'2.报价结算清单'!L277,"")</f>
        <v/>
      </c>
      <c r="J174" s="105" t="str">
        <f>IF(AND('2.报价结算清单'!$P277&gt;0,'2.报价结算清单'!$B277&lt;&gt;0,'2.报价结算清单'!I277&lt;&gt;0),'2.报价结算清单'!I277,"")</f>
        <v/>
      </c>
      <c r="K174" s="105" t="str">
        <f>IF(AND('2.报价结算清单'!$P277&gt;0,'2.报价结算清单'!$B277&lt;&gt;0,'2.报价结算清单'!$F277&lt;&gt;0),'2.报价结算清单'!N277,"")</f>
        <v/>
      </c>
      <c r="L174" s="105" t="str">
        <f>IF(AND('2.报价结算清单'!$P277&gt;0,'2.报价结算清单'!$B277&lt;&gt;0,'2.报价结算清单'!I277&lt;&gt;0),"天","")</f>
        <v/>
      </c>
      <c r="M174" s="80" t="str">
        <f t="shared" si="8"/>
        <v/>
      </c>
      <c r="N174" s="78" t="str">
        <f t="shared" si="9"/>
        <v/>
      </c>
      <c r="O174" s="78" t="str">
        <f>IF(AND('2.报价结算清单'!$P277&gt;0,'2.报价结算清单'!$B277&lt;&gt;0,'2.报价结算清单'!S277&lt;&gt;0),'2.报价结算清单'!S277,"")</f>
        <v/>
      </c>
      <c r="P174" s="78" t="str">
        <f>IF(AND('2.报价结算清单'!$P277&gt;0,'2.报价结算清单'!$B277&lt;&gt;0,'2.报价结算清单'!T277&lt;&gt;0),'2.报价结算清单'!T277,"")</f>
        <v/>
      </c>
      <c r="Q174" s="78" t="str">
        <f>IF(F174="",J174,VLOOKUP(F174,框架条目清单!A:K,4,FALSE))</f>
        <v/>
      </c>
      <c r="R174" s="106" t="str">
        <f>IF($A174="","",'2.报价结算清单'!$K$183)</f>
        <v/>
      </c>
      <c r="S174" s="80" t="str">
        <f>IF($A174="","",'2.报价结算清单'!$E$183)</f>
        <v/>
      </c>
      <c r="T174" s="78" t="str">
        <f>IF(F174="","",VLOOKUP(F174,框架条目清单!A:K,7,FALSE))</f>
        <v/>
      </c>
      <c r="U174" s="78" t="str">
        <f>IF(F174="","",VLOOKUP(F174,框架条目清单!A:K,8,FALSE))</f>
        <v/>
      </c>
      <c r="V174" s="78" t="str">
        <f>IF(F174="","",VLOOKUP(F174,框架条目清单!A:K,9,FALSE))</f>
        <v/>
      </c>
    </row>
    <row r="175" spans="1:22">
      <c r="A175" s="78" t="str">
        <f>IF(AND('2.报价结算清单'!$P278&gt;0,'2.报价结算清单'!$B278&lt;&gt;0,'2.报价结算清单'!$F278&lt;&gt;0),'2.报价结算清单'!$F278,"")</f>
        <v/>
      </c>
      <c r="B175" s="78" t="str">
        <f>_xlfn.IFNA(VLOOKUP(A175,'3.框架内物料'!$A:$I,3,0),A175)</f>
        <v/>
      </c>
      <c r="C175" s="78" t="str">
        <f>IF(AND('2.报价结算清单'!$P278&gt;0,'2.报价结算清单'!$B278&lt;&gt;0,'2.报价结算清单'!C278&lt;&gt;0),'2.报价结算清单'!C278,"")</f>
        <v/>
      </c>
      <c r="D175" s="78" t="str">
        <f>IF(AND('2.报价结算清单'!$P278&gt;0,'2.报价结算清单'!$B278&lt;&gt;0,'2.报价结算清单'!D278&lt;&gt;0),'2.报价结算清单'!D278,"")</f>
        <v/>
      </c>
      <c r="E175" s="78" t="str">
        <f>IF(AND('2.报价结算清单'!$P278&gt;0,'2.报价结算清单'!$B278&lt;&gt;0,'2.报价结算清单'!E278&lt;&gt;0),'2.报价结算清单'!E278,"")</f>
        <v/>
      </c>
      <c r="F175" s="105" t="str">
        <f>_xlfn.IFNA(IF($A175="","",IF(VLOOKUP($A175,'3.框架内物料'!$A:$I,2,0)="","",VLOOKUP($A175,'3.框架内物料'!$A:$I,2,0))),"")</f>
        <v/>
      </c>
      <c r="G175" s="87" t="str">
        <f>IF(AND('2.报价结算清单'!$P278&gt;0,'2.报价结算清单'!$B278&lt;&gt;0,'2.报价结算清单'!H278&lt;&gt;0),'2.报价结算清单'!H278,"")</f>
        <v/>
      </c>
      <c r="H175" s="122" t="str">
        <f>IF(AND('2.报价结算清单'!$P278&gt;0,'2.报价结算清单'!$B278&lt;&gt;0,'2.报价结算清单'!$F278&lt;&gt;0),'2.报价结算清单'!J278,"")</f>
        <v/>
      </c>
      <c r="I175" s="105" t="str">
        <f>IF(AND('2.报价结算清单'!$P278&gt;0,'2.报价结算清单'!$B278&lt;&gt;0,'2.报价结算清单'!$F278&lt;&gt;0),'2.报价结算清单'!L278,"")</f>
        <v/>
      </c>
      <c r="J175" s="105" t="str">
        <f>IF(AND('2.报价结算清单'!$P278&gt;0,'2.报价结算清单'!$B278&lt;&gt;0,'2.报价结算清单'!I278&lt;&gt;0),'2.报价结算清单'!I278,"")</f>
        <v/>
      </c>
      <c r="K175" s="105" t="str">
        <f>IF(AND('2.报价结算清单'!$P278&gt;0,'2.报价结算清单'!$B278&lt;&gt;0,'2.报价结算清单'!$F278&lt;&gt;0),'2.报价结算清单'!N278,"")</f>
        <v/>
      </c>
      <c r="L175" s="105" t="str">
        <f>IF(AND('2.报价结算清单'!$P278&gt;0,'2.报价结算清单'!$B278&lt;&gt;0,'2.报价结算清单'!I278&lt;&gt;0),"天","")</f>
        <v/>
      </c>
      <c r="M175" s="80" t="str">
        <f t="shared" si="8"/>
        <v/>
      </c>
      <c r="N175" s="78" t="str">
        <f t="shared" si="9"/>
        <v/>
      </c>
      <c r="O175" s="78" t="str">
        <f>IF(AND('2.报价结算清单'!$P278&gt;0,'2.报价结算清单'!$B278&lt;&gt;0,'2.报价结算清单'!S278&lt;&gt;0),'2.报价结算清单'!S278,"")</f>
        <v/>
      </c>
      <c r="P175" s="78" t="str">
        <f>IF(AND('2.报价结算清单'!$P278&gt;0,'2.报价结算清单'!$B278&lt;&gt;0,'2.报价结算清单'!T278&lt;&gt;0),'2.报价结算清单'!T278,"")</f>
        <v/>
      </c>
      <c r="Q175" s="78" t="str">
        <f>IF(F175="",J175,VLOOKUP(F175,框架条目清单!A:K,4,FALSE))</f>
        <v/>
      </c>
      <c r="R175" s="106" t="str">
        <f>IF($A175="","",'2.报价结算清单'!$K$183)</f>
        <v/>
      </c>
      <c r="S175" s="80" t="str">
        <f>IF($A175="","",'2.报价结算清单'!$E$183)</f>
        <v/>
      </c>
      <c r="T175" s="78" t="str">
        <f>IF(F175="","",VLOOKUP(F175,框架条目清单!A:K,7,FALSE))</f>
        <v/>
      </c>
      <c r="U175" s="78" t="str">
        <f>IF(F175="","",VLOOKUP(F175,框架条目清单!A:K,8,FALSE))</f>
        <v/>
      </c>
      <c r="V175" s="78" t="str">
        <f>IF(F175="","",VLOOKUP(F175,框架条目清单!A:K,9,FALSE))</f>
        <v/>
      </c>
    </row>
    <row r="176" spans="1:22">
      <c r="A176" s="78" t="str">
        <f>IF(AND('2.报价结算清单'!$P279&gt;0,'2.报价结算清单'!$B279&lt;&gt;0,'2.报价结算清单'!$F279&lt;&gt;0),'2.报价结算清单'!$F279,"")</f>
        <v/>
      </c>
      <c r="B176" s="78" t="str">
        <f>_xlfn.IFNA(VLOOKUP(A176,'3.框架内物料'!$A:$I,3,0),A176)</f>
        <v/>
      </c>
      <c r="C176" s="78" t="str">
        <f>IF(AND('2.报价结算清单'!$P279&gt;0,'2.报价结算清单'!$B279&lt;&gt;0,'2.报价结算清单'!C279&lt;&gt;0),'2.报价结算清单'!C279,"")</f>
        <v/>
      </c>
      <c r="D176" s="78" t="str">
        <f>IF(AND('2.报价结算清单'!$P279&gt;0,'2.报价结算清单'!$B279&lt;&gt;0,'2.报价结算清单'!D279&lt;&gt;0),'2.报价结算清单'!D279,"")</f>
        <v/>
      </c>
      <c r="E176" s="78" t="str">
        <f>IF(AND('2.报价结算清单'!$P279&gt;0,'2.报价结算清单'!$B279&lt;&gt;0,'2.报价结算清单'!E279&lt;&gt;0),'2.报价结算清单'!E279,"")</f>
        <v/>
      </c>
      <c r="F176" s="105" t="str">
        <f>_xlfn.IFNA(IF($A176="","",IF(VLOOKUP($A176,'3.框架内物料'!$A:$I,2,0)="","",VLOOKUP($A176,'3.框架内物料'!$A:$I,2,0))),"")</f>
        <v/>
      </c>
      <c r="G176" s="87" t="str">
        <f>IF(AND('2.报价结算清单'!$P279&gt;0,'2.报价结算清单'!$B279&lt;&gt;0,'2.报价结算清单'!H279&lt;&gt;0),'2.报价结算清单'!H279,"")</f>
        <v/>
      </c>
      <c r="H176" s="122" t="str">
        <f>IF(AND('2.报价结算清单'!$P279&gt;0,'2.报价结算清单'!$B279&lt;&gt;0,'2.报价结算清单'!$F279&lt;&gt;0),'2.报价结算清单'!J279,"")</f>
        <v/>
      </c>
      <c r="I176" s="105" t="str">
        <f>IF(AND('2.报价结算清单'!$P279&gt;0,'2.报价结算清单'!$B279&lt;&gt;0,'2.报价结算清单'!$F279&lt;&gt;0),'2.报价结算清单'!L279,"")</f>
        <v/>
      </c>
      <c r="J176" s="105" t="str">
        <f>IF(AND('2.报价结算清单'!$P279&gt;0,'2.报价结算清单'!$B279&lt;&gt;0,'2.报价结算清单'!I279&lt;&gt;0),'2.报价结算清单'!I279,"")</f>
        <v/>
      </c>
      <c r="K176" s="105" t="str">
        <f>IF(AND('2.报价结算清单'!$P279&gt;0,'2.报价结算清单'!$B279&lt;&gt;0,'2.报价结算清单'!$F279&lt;&gt;0),'2.报价结算清单'!N279,"")</f>
        <v/>
      </c>
      <c r="L176" s="105" t="str">
        <f>IF(AND('2.报价结算清单'!$P279&gt;0,'2.报价结算清单'!$B279&lt;&gt;0,'2.报价结算清单'!I279&lt;&gt;0),"天","")</f>
        <v/>
      </c>
      <c r="M176" s="80" t="str">
        <f t="shared" si="8"/>
        <v/>
      </c>
      <c r="N176" s="78" t="str">
        <f t="shared" si="9"/>
        <v/>
      </c>
      <c r="O176" s="78" t="str">
        <f>IF(AND('2.报价结算清单'!$P279&gt;0,'2.报价结算清单'!$B279&lt;&gt;0,'2.报价结算清单'!S279&lt;&gt;0),'2.报价结算清单'!S279,"")</f>
        <v/>
      </c>
      <c r="P176" s="78" t="str">
        <f>IF(AND('2.报价结算清单'!$P279&gt;0,'2.报价结算清单'!$B279&lt;&gt;0,'2.报价结算清单'!T279&lt;&gt;0),'2.报价结算清单'!T279,"")</f>
        <v/>
      </c>
      <c r="Q176" s="78" t="str">
        <f>IF(F176="",J176,VLOOKUP(F176,框架条目清单!A:K,4,FALSE))</f>
        <v/>
      </c>
      <c r="R176" s="106" t="str">
        <f>IF($A176="","",'2.报价结算清单'!$K$183)</f>
        <v/>
      </c>
      <c r="S176" s="80" t="str">
        <f>IF($A176="","",'2.报价结算清单'!$E$183)</f>
        <v/>
      </c>
      <c r="T176" s="78" t="str">
        <f>IF(F176="","",VLOOKUP(F176,框架条目清单!A:K,7,FALSE))</f>
        <v/>
      </c>
      <c r="U176" s="78" t="str">
        <f>IF(F176="","",VLOOKUP(F176,框架条目清单!A:K,8,FALSE))</f>
        <v/>
      </c>
      <c r="V176" s="78" t="str">
        <f>IF(F176="","",VLOOKUP(F176,框架条目清单!A:K,9,FALSE))</f>
        <v/>
      </c>
    </row>
    <row r="177" spans="1:22">
      <c r="A177" s="78" t="str">
        <f>IF(AND('2.报价结算清单'!$P280&gt;0,'2.报价结算清单'!$B280&lt;&gt;0,'2.报价结算清单'!$F280&lt;&gt;0),'2.报价结算清单'!$F280,"")</f>
        <v/>
      </c>
      <c r="B177" s="78" t="str">
        <f>_xlfn.IFNA(VLOOKUP(A177,'3.框架内物料'!$A:$I,3,0),A177)</f>
        <v/>
      </c>
      <c r="C177" s="78" t="str">
        <f>IF(AND('2.报价结算清单'!$P280&gt;0,'2.报价结算清单'!$B280&lt;&gt;0,'2.报价结算清单'!C280&lt;&gt;0),'2.报价结算清单'!C280,"")</f>
        <v/>
      </c>
      <c r="D177" s="78" t="str">
        <f>IF(AND('2.报价结算清单'!$P280&gt;0,'2.报价结算清单'!$B280&lt;&gt;0,'2.报价结算清单'!D280&lt;&gt;0),'2.报价结算清单'!D280,"")</f>
        <v/>
      </c>
      <c r="E177" s="78" t="str">
        <f>IF(AND('2.报价结算清单'!$P280&gt;0,'2.报价结算清单'!$B280&lt;&gt;0,'2.报价结算清单'!E280&lt;&gt;0),'2.报价结算清单'!E280,"")</f>
        <v/>
      </c>
      <c r="F177" s="105" t="str">
        <f>_xlfn.IFNA(IF($A177="","",IF(VLOOKUP($A177,'3.框架内物料'!$A:$I,2,0)="","",VLOOKUP($A177,'3.框架内物料'!$A:$I,2,0))),"")</f>
        <v/>
      </c>
      <c r="G177" s="87" t="str">
        <f>IF(AND('2.报价结算清单'!$P280&gt;0,'2.报价结算清单'!$B280&lt;&gt;0,'2.报价结算清单'!H280&lt;&gt;0),'2.报价结算清单'!H280,"")</f>
        <v/>
      </c>
      <c r="H177" s="122" t="str">
        <f>IF(AND('2.报价结算清单'!$P280&gt;0,'2.报价结算清单'!$B280&lt;&gt;0,'2.报价结算清单'!$F280&lt;&gt;0),'2.报价结算清单'!J280,"")</f>
        <v/>
      </c>
      <c r="I177" s="105" t="str">
        <f>IF(AND('2.报价结算清单'!$P280&gt;0,'2.报价结算清单'!$B280&lt;&gt;0,'2.报价结算清单'!$F280&lt;&gt;0),'2.报价结算清单'!L280,"")</f>
        <v/>
      </c>
      <c r="J177" s="105" t="str">
        <f>IF(AND('2.报价结算清单'!$P280&gt;0,'2.报价结算清单'!$B280&lt;&gt;0,'2.报价结算清单'!I280&lt;&gt;0),'2.报价结算清单'!I280,"")</f>
        <v/>
      </c>
      <c r="K177" s="105" t="str">
        <f>IF(AND('2.报价结算清单'!$P280&gt;0,'2.报价结算清单'!$B280&lt;&gt;0,'2.报价结算清单'!$F280&lt;&gt;0),'2.报价结算清单'!N280,"")</f>
        <v/>
      </c>
      <c r="L177" s="105" t="str">
        <f>IF(AND('2.报价结算清单'!$P280&gt;0,'2.报价结算清单'!$B280&lt;&gt;0,'2.报价结算清单'!I280&lt;&gt;0),"天","")</f>
        <v/>
      </c>
      <c r="M177" s="80" t="str">
        <f t="shared" si="8"/>
        <v/>
      </c>
      <c r="N177" s="78" t="str">
        <f t="shared" si="9"/>
        <v/>
      </c>
      <c r="O177" s="78" t="str">
        <f>IF(AND('2.报价结算清单'!$P280&gt;0,'2.报价结算清单'!$B280&lt;&gt;0,'2.报价结算清单'!S280&lt;&gt;0),'2.报价结算清单'!S280,"")</f>
        <v/>
      </c>
      <c r="P177" s="78" t="str">
        <f>IF(AND('2.报价结算清单'!$P280&gt;0,'2.报价结算清单'!$B280&lt;&gt;0,'2.报价结算清单'!T280&lt;&gt;0),'2.报价结算清单'!T280,"")</f>
        <v/>
      </c>
      <c r="Q177" s="78" t="str">
        <f>IF(F177="",J177,VLOOKUP(F177,框架条目清单!A:K,4,FALSE))</f>
        <v/>
      </c>
      <c r="R177" s="106" t="str">
        <f>IF($A177="","",'2.报价结算清单'!$K$183)</f>
        <v/>
      </c>
      <c r="S177" s="80" t="str">
        <f>IF($A177="","",'2.报价结算清单'!$E$183)</f>
        <v/>
      </c>
      <c r="T177" s="78" t="str">
        <f>IF(F177="","",VLOOKUP(F177,框架条目清单!A:K,7,FALSE))</f>
        <v/>
      </c>
      <c r="U177" s="78" t="str">
        <f>IF(F177="","",VLOOKUP(F177,框架条目清单!A:K,8,FALSE))</f>
        <v/>
      </c>
      <c r="V177" s="78" t="str">
        <f>IF(F177="","",VLOOKUP(F177,框架条目清单!A:K,9,FALSE))</f>
        <v/>
      </c>
    </row>
    <row r="178" spans="1:22">
      <c r="A178" s="78" t="str">
        <f>IF(AND('2.报价结算清单'!$P281&gt;0,'2.报价结算清单'!$B281&lt;&gt;0,'2.报价结算清单'!$F281&lt;&gt;0),'2.报价结算清单'!$F281,"")</f>
        <v/>
      </c>
      <c r="B178" s="78" t="str">
        <f>_xlfn.IFNA(VLOOKUP(A178,'3.框架内物料'!$A:$I,3,0),A178)</f>
        <v/>
      </c>
      <c r="C178" s="78" t="str">
        <f>IF(AND('2.报价结算清单'!$P281&gt;0,'2.报价结算清单'!$B281&lt;&gt;0,'2.报价结算清单'!C281&lt;&gt;0),'2.报价结算清单'!C281,"")</f>
        <v/>
      </c>
      <c r="D178" s="78" t="str">
        <f>IF(AND('2.报价结算清单'!$P281&gt;0,'2.报价结算清单'!$B281&lt;&gt;0,'2.报价结算清单'!D281&lt;&gt;0),'2.报价结算清单'!D281,"")</f>
        <v/>
      </c>
      <c r="E178" s="78" t="str">
        <f>IF(AND('2.报价结算清单'!$P281&gt;0,'2.报价结算清单'!$B281&lt;&gt;0,'2.报价结算清单'!E281&lt;&gt;0),'2.报价结算清单'!E281,"")</f>
        <v/>
      </c>
      <c r="F178" s="105" t="str">
        <f>_xlfn.IFNA(IF($A178="","",IF(VLOOKUP($A178,'3.框架内物料'!$A:$I,2,0)="","",VLOOKUP($A178,'3.框架内物料'!$A:$I,2,0))),"")</f>
        <v/>
      </c>
      <c r="G178" s="87" t="str">
        <f>IF(AND('2.报价结算清单'!$P281&gt;0,'2.报价结算清单'!$B281&lt;&gt;0,'2.报价结算清单'!H281&lt;&gt;0),'2.报价结算清单'!H281,"")</f>
        <v/>
      </c>
      <c r="H178" s="122" t="str">
        <f>IF(AND('2.报价结算清单'!$P281&gt;0,'2.报价结算清单'!$B281&lt;&gt;0,'2.报价结算清单'!$F281&lt;&gt;0),'2.报价结算清单'!J281,"")</f>
        <v/>
      </c>
      <c r="I178" s="105" t="str">
        <f>IF(AND('2.报价结算清单'!$P281&gt;0,'2.报价结算清单'!$B281&lt;&gt;0,'2.报价结算清单'!$F281&lt;&gt;0),'2.报价结算清单'!L281,"")</f>
        <v/>
      </c>
      <c r="J178" s="105" t="str">
        <f>IF(AND('2.报价结算清单'!$P281&gt;0,'2.报价结算清单'!$B281&lt;&gt;0,'2.报价结算清单'!I281&lt;&gt;0),'2.报价结算清单'!I281,"")</f>
        <v/>
      </c>
      <c r="K178" s="105" t="str">
        <f>IF(AND('2.报价结算清单'!$P281&gt;0,'2.报价结算清单'!$B281&lt;&gt;0,'2.报价结算清单'!$F281&lt;&gt;0),'2.报价结算清单'!N281,"")</f>
        <v/>
      </c>
      <c r="L178" s="105" t="str">
        <f>IF(AND('2.报价结算清单'!$P281&gt;0,'2.报价结算清单'!$B281&lt;&gt;0,'2.报价结算清单'!I281&lt;&gt;0),"天","")</f>
        <v/>
      </c>
      <c r="M178" s="80" t="str">
        <f t="shared" si="8"/>
        <v/>
      </c>
      <c r="N178" s="78" t="str">
        <f t="shared" si="9"/>
        <v/>
      </c>
      <c r="O178" s="78" t="str">
        <f>IF(AND('2.报价结算清单'!$P281&gt;0,'2.报价结算清单'!$B281&lt;&gt;0,'2.报价结算清单'!S281&lt;&gt;0),'2.报价结算清单'!S281,"")</f>
        <v/>
      </c>
      <c r="P178" s="78" t="str">
        <f>IF(AND('2.报价结算清单'!$P281&gt;0,'2.报价结算清单'!$B281&lt;&gt;0,'2.报价结算清单'!T281&lt;&gt;0),'2.报价结算清单'!T281,"")</f>
        <v/>
      </c>
      <c r="Q178" s="78" t="str">
        <f>IF(F178="",J178,VLOOKUP(F178,框架条目清单!A:K,4,FALSE))</f>
        <v/>
      </c>
      <c r="R178" s="106" t="str">
        <f>IF($A178="","",'2.报价结算清单'!$K$183)</f>
        <v/>
      </c>
      <c r="S178" s="80" t="str">
        <f>IF($A178="","",'2.报价结算清单'!$E$183)</f>
        <v/>
      </c>
      <c r="T178" s="78" t="str">
        <f>IF(F178="","",VLOOKUP(F178,框架条目清单!A:K,7,FALSE))</f>
        <v/>
      </c>
      <c r="U178" s="78" t="str">
        <f>IF(F178="","",VLOOKUP(F178,框架条目清单!A:K,8,FALSE))</f>
        <v/>
      </c>
      <c r="V178" s="78" t="str">
        <f>IF(F178="","",VLOOKUP(F178,框架条目清单!A:K,9,FALSE))</f>
        <v/>
      </c>
    </row>
    <row r="179" spans="1:22">
      <c r="A179" s="78" t="str">
        <f>IF(AND('2.报价结算清单'!$P282&gt;0,'2.报价结算清单'!$B282&lt;&gt;0,'2.报价结算清单'!$F282&lt;&gt;0),'2.报价结算清单'!$F282,"")</f>
        <v/>
      </c>
      <c r="B179" s="78" t="str">
        <f>_xlfn.IFNA(VLOOKUP(A179,'3.框架内物料'!$A:$I,3,0),A179)</f>
        <v/>
      </c>
      <c r="C179" s="78" t="str">
        <f>IF(AND('2.报价结算清单'!$P282&gt;0,'2.报价结算清单'!$B282&lt;&gt;0,'2.报价结算清单'!C282&lt;&gt;0),'2.报价结算清单'!C282,"")</f>
        <v/>
      </c>
      <c r="D179" s="78" t="str">
        <f>IF(AND('2.报价结算清单'!$P282&gt;0,'2.报价结算清单'!$B282&lt;&gt;0,'2.报价结算清单'!D282&lt;&gt;0),'2.报价结算清单'!D282,"")</f>
        <v/>
      </c>
      <c r="E179" s="78" t="str">
        <f>IF(AND('2.报价结算清单'!$P282&gt;0,'2.报价结算清单'!$B282&lt;&gt;0,'2.报价结算清单'!E282&lt;&gt;0),'2.报价结算清单'!E282,"")</f>
        <v/>
      </c>
      <c r="F179" s="105" t="str">
        <f>_xlfn.IFNA(IF($A179="","",IF(VLOOKUP($A179,'3.框架内物料'!$A:$I,2,0)="","",VLOOKUP($A179,'3.框架内物料'!$A:$I,2,0))),"")</f>
        <v/>
      </c>
      <c r="G179" s="87" t="str">
        <f>IF(AND('2.报价结算清单'!$P282&gt;0,'2.报价结算清单'!$B282&lt;&gt;0,'2.报价结算清单'!H282&lt;&gt;0),'2.报价结算清单'!H282,"")</f>
        <v/>
      </c>
      <c r="H179" s="122" t="str">
        <f>IF(AND('2.报价结算清单'!$P282&gt;0,'2.报价结算清单'!$B282&lt;&gt;0,'2.报价结算清单'!$F282&lt;&gt;0),'2.报价结算清单'!J282,"")</f>
        <v/>
      </c>
      <c r="I179" s="105" t="str">
        <f>IF(AND('2.报价结算清单'!$P282&gt;0,'2.报价结算清单'!$B282&lt;&gt;0,'2.报价结算清单'!$F282&lt;&gt;0),'2.报价结算清单'!L282,"")</f>
        <v/>
      </c>
      <c r="J179" s="105" t="str">
        <f>IF(AND('2.报价结算清单'!$P282&gt;0,'2.报价结算清单'!$B282&lt;&gt;0,'2.报价结算清单'!I282&lt;&gt;0),'2.报价结算清单'!I282,"")</f>
        <v/>
      </c>
      <c r="K179" s="105" t="str">
        <f>IF(AND('2.报价结算清单'!$P282&gt;0,'2.报价结算清单'!$B282&lt;&gt;0,'2.报价结算清单'!$F282&lt;&gt;0),'2.报价结算清单'!N282,"")</f>
        <v/>
      </c>
      <c r="L179" s="105" t="str">
        <f>IF(AND('2.报价结算清单'!$P282&gt;0,'2.报价结算清单'!$B282&lt;&gt;0,'2.报价结算清单'!I282&lt;&gt;0),"天","")</f>
        <v/>
      </c>
      <c r="M179" s="80" t="str">
        <f t="shared" si="8"/>
        <v/>
      </c>
      <c r="N179" s="78" t="str">
        <f t="shared" si="9"/>
        <v/>
      </c>
      <c r="O179" s="78" t="str">
        <f>IF(AND('2.报价结算清单'!$P282&gt;0,'2.报价结算清单'!$B282&lt;&gt;0,'2.报价结算清单'!S282&lt;&gt;0),'2.报价结算清单'!S282,"")</f>
        <v/>
      </c>
      <c r="P179" s="78" t="str">
        <f>IF(AND('2.报价结算清单'!$P282&gt;0,'2.报价结算清单'!$B282&lt;&gt;0,'2.报价结算清单'!T282&lt;&gt;0),'2.报价结算清单'!T282,"")</f>
        <v/>
      </c>
      <c r="Q179" s="78" t="str">
        <f>IF(F179="",J179,VLOOKUP(F179,框架条目清单!A:K,4,FALSE))</f>
        <v/>
      </c>
      <c r="R179" s="106" t="str">
        <f>IF($A179="","",'2.报价结算清单'!$K$183)</f>
        <v/>
      </c>
      <c r="S179" s="80" t="str">
        <f>IF($A179="","",'2.报价结算清单'!$E$183)</f>
        <v/>
      </c>
      <c r="T179" s="78" t="str">
        <f>IF(F179="","",VLOOKUP(F179,框架条目清单!A:K,7,FALSE))</f>
        <v/>
      </c>
      <c r="U179" s="78" t="str">
        <f>IF(F179="","",VLOOKUP(F179,框架条目清单!A:K,8,FALSE))</f>
        <v/>
      </c>
      <c r="V179" s="78" t="str">
        <f>IF(F179="","",VLOOKUP(F179,框架条目清单!A:K,9,FALSE))</f>
        <v/>
      </c>
    </row>
    <row r="180" spans="1:22">
      <c r="A180" s="78" t="str">
        <f>IF(AND('2.报价结算清单'!$P283&gt;0,'2.报价结算清单'!$B283&lt;&gt;0,'2.报价结算清单'!$F283&lt;&gt;0),'2.报价结算清单'!$F283,"")</f>
        <v/>
      </c>
      <c r="B180" s="78" t="str">
        <f>_xlfn.IFNA(VLOOKUP(A180,'3.框架内物料'!$A:$I,3,0),A180)</f>
        <v/>
      </c>
      <c r="C180" s="78" t="str">
        <f>IF(AND('2.报价结算清单'!$P283&gt;0,'2.报价结算清单'!$B283&lt;&gt;0,'2.报价结算清单'!C283&lt;&gt;0),'2.报价结算清单'!C283,"")</f>
        <v/>
      </c>
      <c r="D180" s="78" t="str">
        <f>IF(AND('2.报价结算清单'!$P283&gt;0,'2.报价结算清单'!$B283&lt;&gt;0,'2.报价结算清单'!D283&lt;&gt;0),'2.报价结算清单'!D283,"")</f>
        <v/>
      </c>
      <c r="E180" s="78" t="str">
        <f>IF(AND('2.报价结算清单'!$P283&gt;0,'2.报价结算清单'!$B283&lt;&gt;0,'2.报价结算清单'!E283&lt;&gt;0),'2.报价结算清单'!E283,"")</f>
        <v/>
      </c>
      <c r="F180" s="105" t="str">
        <f>_xlfn.IFNA(IF($A180="","",IF(VLOOKUP($A180,'3.框架内物料'!$A:$I,2,0)="","",VLOOKUP($A180,'3.框架内物料'!$A:$I,2,0))),"")</f>
        <v/>
      </c>
      <c r="G180" s="87" t="str">
        <f>IF(AND('2.报价结算清单'!$P283&gt;0,'2.报价结算清单'!$B283&lt;&gt;0,'2.报价结算清单'!H283&lt;&gt;0),'2.报价结算清单'!H283,"")</f>
        <v/>
      </c>
      <c r="H180" s="122" t="str">
        <f>IF(AND('2.报价结算清单'!$P283&gt;0,'2.报价结算清单'!$B283&lt;&gt;0,'2.报价结算清单'!$F283&lt;&gt;0),'2.报价结算清单'!J283,"")</f>
        <v/>
      </c>
      <c r="I180" s="105" t="str">
        <f>IF(AND('2.报价结算清单'!$P283&gt;0,'2.报价结算清单'!$B283&lt;&gt;0,'2.报价结算清单'!$F283&lt;&gt;0),'2.报价结算清单'!L283,"")</f>
        <v/>
      </c>
      <c r="J180" s="105" t="str">
        <f>IF(AND('2.报价结算清单'!$P283&gt;0,'2.报价结算清单'!$B283&lt;&gt;0,'2.报价结算清单'!I283&lt;&gt;0),'2.报价结算清单'!I283,"")</f>
        <v/>
      </c>
      <c r="K180" s="105" t="str">
        <f>IF(AND('2.报价结算清单'!$P283&gt;0,'2.报价结算清单'!$B283&lt;&gt;0,'2.报价结算清单'!$F283&lt;&gt;0),'2.报价结算清单'!N283,"")</f>
        <v/>
      </c>
      <c r="L180" s="105" t="str">
        <f>IF(AND('2.报价结算清单'!$P283&gt;0,'2.报价结算清单'!$B283&lt;&gt;0,'2.报价结算清单'!I283&lt;&gt;0),"天","")</f>
        <v/>
      </c>
      <c r="M180" s="80" t="str">
        <f t="shared" si="8"/>
        <v/>
      </c>
      <c r="N180" s="78" t="str">
        <f t="shared" si="9"/>
        <v/>
      </c>
      <c r="O180" s="78" t="str">
        <f>IF(AND('2.报价结算清单'!$P283&gt;0,'2.报价结算清单'!$B283&lt;&gt;0,'2.报价结算清单'!S283&lt;&gt;0),'2.报价结算清单'!S283,"")</f>
        <v/>
      </c>
      <c r="P180" s="78" t="str">
        <f>IF(AND('2.报价结算清单'!$P283&gt;0,'2.报价结算清单'!$B283&lt;&gt;0,'2.报价结算清单'!T283&lt;&gt;0),'2.报价结算清单'!T283,"")</f>
        <v/>
      </c>
      <c r="Q180" s="78" t="str">
        <f>IF(F180="",J180,VLOOKUP(F180,框架条目清单!A:K,4,FALSE))</f>
        <v/>
      </c>
      <c r="R180" s="106" t="str">
        <f>IF($A180="","",'2.报价结算清单'!$K$183)</f>
        <v/>
      </c>
      <c r="S180" s="80" t="str">
        <f>IF($A180="","",'2.报价结算清单'!$E$183)</f>
        <v/>
      </c>
      <c r="T180" s="78" t="str">
        <f>IF(F180="","",VLOOKUP(F180,框架条目清单!A:K,7,FALSE))</f>
        <v/>
      </c>
      <c r="U180" s="78" t="str">
        <f>IF(F180="","",VLOOKUP(F180,框架条目清单!A:K,8,FALSE))</f>
        <v/>
      </c>
      <c r="V180" s="78" t="str">
        <f>IF(F180="","",VLOOKUP(F180,框架条目清单!A:K,9,FALSE))</f>
        <v/>
      </c>
    </row>
    <row r="181" spans="1:22">
      <c r="A181" s="78" t="str">
        <f>IF(AND('2.报价结算清单'!$P284&gt;0,'2.报价结算清单'!$B284&lt;&gt;0,'2.报价结算清单'!$F284&lt;&gt;0),'2.报价结算清单'!$F284,"")</f>
        <v/>
      </c>
      <c r="B181" s="78" t="str">
        <f>_xlfn.IFNA(VLOOKUP(A181,'3.框架内物料'!$A:$I,3,0),A181)</f>
        <v/>
      </c>
      <c r="C181" s="78" t="str">
        <f>IF(AND('2.报价结算清单'!$P284&gt;0,'2.报价结算清单'!$B284&lt;&gt;0,'2.报价结算清单'!C284&lt;&gt;0),'2.报价结算清单'!C284,"")</f>
        <v/>
      </c>
      <c r="D181" s="78" t="str">
        <f>IF(AND('2.报价结算清单'!$P284&gt;0,'2.报价结算清单'!$B284&lt;&gt;0,'2.报价结算清单'!D284&lt;&gt;0),'2.报价结算清单'!D284,"")</f>
        <v/>
      </c>
      <c r="E181" s="78" t="str">
        <f>IF(AND('2.报价结算清单'!$P284&gt;0,'2.报价结算清单'!$B284&lt;&gt;0,'2.报价结算清单'!E284&lt;&gt;0),'2.报价结算清单'!E284,"")</f>
        <v/>
      </c>
      <c r="F181" s="105" t="str">
        <f>_xlfn.IFNA(IF($A181="","",IF(VLOOKUP($A181,'3.框架内物料'!$A:$I,2,0)="","",VLOOKUP($A181,'3.框架内物料'!$A:$I,2,0))),"")</f>
        <v/>
      </c>
      <c r="G181" s="87" t="str">
        <f>IF(AND('2.报价结算清单'!$P284&gt;0,'2.报价结算清单'!$B284&lt;&gt;0,'2.报价结算清单'!H284&lt;&gt;0),'2.报价结算清单'!H284,"")</f>
        <v/>
      </c>
      <c r="H181" s="122" t="str">
        <f>IF(AND('2.报价结算清单'!$P284&gt;0,'2.报价结算清单'!$B284&lt;&gt;0,'2.报价结算清单'!$F284&lt;&gt;0),'2.报价结算清单'!J284,"")</f>
        <v/>
      </c>
      <c r="I181" s="105" t="str">
        <f>IF(AND('2.报价结算清单'!$P284&gt;0,'2.报价结算清单'!$B284&lt;&gt;0,'2.报价结算清单'!$F284&lt;&gt;0),'2.报价结算清单'!L284,"")</f>
        <v/>
      </c>
      <c r="J181" s="105" t="str">
        <f>IF(AND('2.报价结算清单'!$P284&gt;0,'2.报价结算清单'!$B284&lt;&gt;0,'2.报价结算清单'!I284&lt;&gt;0),'2.报价结算清单'!I284,"")</f>
        <v/>
      </c>
      <c r="K181" s="105" t="str">
        <f>IF(AND('2.报价结算清单'!$P284&gt;0,'2.报价结算清单'!$B284&lt;&gt;0,'2.报价结算清单'!$F284&lt;&gt;0),'2.报价结算清单'!N284,"")</f>
        <v/>
      </c>
      <c r="L181" s="105" t="str">
        <f>IF(AND('2.报价结算清单'!$P284&gt;0,'2.报价结算清单'!$B284&lt;&gt;0,'2.报价结算清单'!I284&lt;&gt;0),"天","")</f>
        <v/>
      </c>
      <c r="M181" s="80" t="str">
        <f t="shared" si="8"/>
        <v/>
      </c>
      <c r="N181" s="78" t="str">
        <f t="shared" si="9"/>
        <v/>
      </c>
      <c r="O181" s="78" t="str">
        <f>IF(AND('2.报价结算清单'!$P284&gt;0,'2.报价结算清单'!$B284&lt;&gt;0,'2.报价结算清单'!S284&lt;&gt;0),'2.报价结算清单'!S284,"")</f>
        <v/>
      </c>
      <c r="P181" s="78" t="str">
        <f>IF(AND('2.报价结算清单'!$P284&gt;0,'2.报价结算清单'!$B284&lt;&gt;0,'2.报价结算清单'!T284&lt;&gt;0),'2.报价结算清单'!T284,"")</f>
        <v/>
      </c>
      <c r="Q181" s="78" t="str">
        <f>IF(F181="",J181,VLOOKUP(F181,框架条目清单!A:K,4,FALSE))</f>
        <v/>
      </c>
      <c r="R181" s="106" t="str">
        <f>IF($A181="","",'2.报价结算清单'!$K$183)</f>
        <v/>
      </c>
      <c r="S181" s="80" t="str">
        <f>IF($A181="","",'2.报价结算清单'!$E$183)</f>
        <v/>
      </c>
      <c r="T181" s="78" t="str">
        <f>IF(F181="","",VLOOKUP(F181,框架条目清单!A:K,7,FALSE))</f>
        <v/>
      </c>
      <c r="U181" s="78" t="str">
        <f>IF(F181="","",VLOOKUP(F181,框架条目清单!A:K,8,FALSE))</f>
        <v/>
      </c>
      <c r="V181" s="78" t="str">
        <f>IF(F181="","",VLOOKUP(F181,框架条目清单!A:K,9,FALSE))</f>
        <v/>
      </c>
    </row>
    <row r="182" spans="1:22">
      <c r="A182" s="78" t="str">
        <f>IF(AND('2.报价结算清单'!$P285&gt;0,'2.报价结算清单'!$B285&lt;&gt;0,'2.报价结算清单'!$F285&lt;&gt;0),'2.报价结算清单'!$F285,"")</f>
        <v/>
      </c>
      <c r="B182" s="78" t="str">
        <f>_xlfn.IFNA(VLOOKUP(A182,'3.框架内物料'!$A:$I,3,0),A182)</f>
        <v/>
      </c>
      <c r="C182" s="78" t="str">
        <f>IF(AND('2.报价结算清单'!$P285&gt;0,'2.报价结算清单'!$B285&lt;&gt;0,'2.报价结算清单'!C285&lt;&gt;0),'2.报价结算清单'!C285,"")</f>
        <v/>
      </c>
      <c r="D182" s="78" t="str">
        <f>IF(AND('2.报价结算清单'!$P285&gt;0,'2.报价结算清单'!$B285&lt;&gt;0,'2.报价结算清单'!D285&lt;&gt;0),'2.报价结算清单'!D285,"")</f>
        <v/>
      </c>
      <c r="E182" s="78" t="str">
        <f>IF(AND('2.报价结算清单'!$P285&gt;0,'2.报价结算清单'!$B285&lt;&gt;0,'2.报价结算清单'!E285&lt;&gt;0),'2.报价结算清单'!E285,"")</f>
        <v/>
      </c>
      <c r="F182" s="105" t="str">
        <f>_xlfn.IFNA(IF($A182="","",IF(VLOOKUP($A182,'3.框架内物料'!$A:$I,2,0)="","",VLOOKUP($A182,'3.框架内物料'!$A:$I,2,0))),"")</f>
        <v/>
      </c>
      <c r="G182" s="87" t="str">
        <f>IF(AND('2.报价结算清单'!$P285&gt;0,'2.报价结算清单'!$B285&lt;&gt;0,'2.报价结算清单'!H285&lt;&gt;0),'2.报价结算清单'!H285,"")</f>
        <v/>
      </c>
      <c r="H182" s="122" t="str">
        <f>IF(AND('2.报价结算清单'!$P285&gt;0,'2.报价结算清单'!$B285&lt;&gt;0,'2.报价结算清单'!$F285&lt;&gt;0),'2.报价结算清单'!J285,"")</f>
        <v/>
      </c>
      <c r="I182" s="105" t="str">
        <f>IF(AND('2.报价结算清单'!$P285&gt;0,'2.报价结算清单'!$B285&lt;&gt;0,'2.报价结算清单'!$F285&lt;&gt;0),'2.报价结算清单'!L285,"")</f>
        <v/>
      </c>
      <c r="J182" s="105" t="str">
        <f>IF(AND('2.报价结算清单'!$P285&gt;0,'2.报价结算清单'!$B285&lt;&gt;0,'2.报价结算清单'!I285&lt;&gt;0),'2.报价结算清单'!I285,"")</f>
        <v/>
      </c>
      <c r="K182" s="105" t="str">
        <f>IF(AND('2.报价结算清单'!$P285&gt;0,'2.报价结算清单'!$B285&lt;&gt;0,'2.报价结算清单'!$F285&lt;&gt;0),'2.报价结算清单'!N285,"")</f>
        <v/>
      </c>
      <c r="L182" s="105" t="str">
        <f>IF(AND('2.报价结算清单'!$P285&gt;0,'2.报价结算清单'!$B285&lt;&gt;0,'2.报价结算清单'!I285&lt;&gt;0),"天","")</f>
        <v/>
      </c>
      <c r="M182" s="80" t="str">
        <f t="shared" si="8"/>
        <v/>
      </c>
      <c r="N182" s="78" t="str">
        <f t="shared" si="9"/>
        <v/>
      </c>
      <c r="O182" s="78" t="str">
        <f>IF(AND('2.报价结算清单'!$P285&gt;0,'2.报价结算清单'!$B285&lt;&gt;0,'2.报价结算清单'!S285&lt;&gt;0),'2.报价结算清单'!S285,"")</f>
        <v/>
      </c>
      <c r="P182" s="78" t="str">
        <f>IF(AND('2.报价结算清单'!$P285&gt;0,'2.报价结算清单'!$B285&lt;&gt;0,'2.报价结算清单'!T285&lt;&gt;0),'2.报价结算清单'!T285,"")</f>
        <v/>
      </c>
      <c r="Q182" s="78" t="str">
        <f>IF(F182="",J182,VLOOKUP(F182,框架条目清单!A:K,4,FALSE))</f>
        <v/>
      </c>
      <c r="R182" s="106" t="str">
        <f>IF($A182="","",'2.报价结算清单'!$K$183)</f>
        <v/>
      </c>
      <c r="S182" s="80" t="str">
        <f>IF($A182="","",'2.报价结算清单'!$E$183)</f>
        <v/>
      </c>
      <c r="T182" s="78" t="str">
        <f>IF(F182="","",VLOOKUP(F182,框架条目清单!A:K,7,FALSE))</f>
        <v/>
      </c>
      <c r="U182" s="78" t="str">
        <f>IF(F182="","",VLOOKUP(F182,框架条目清单!A:K,8,FALSE))</f>
        <v/>
      </c>
      <c r="V182" s="78" t="str">
        <f>IF(F182="","",VLOOKUP(F182,框架条目清单!A:K,9,FALSE))</f>
        <v/>
      </c>
    </row>
    <row r="183" spans="1:22">
      <c r="A183" s="78" t="str">
        <f>IF(AND('2.报价结算清单'!$P286&gt;0,'2.报价结算清单'!$B286&lt;&gt;0,'2.报价结算清单'!$F286&lt;&gt;0),'2.报价结算清单'!$F286,"")</f>
        <v/>
      </c>
      <c r="B183" s="78" t="str">
        <f>_xlfn.IFNA(VLOOKUP(A183,'3.框架内物料'!$A:$I,3,0),A183)</f>
        <v/>
      </c>
      <c r="C183" s="78" t="str">
        <f>IF(AND('2.报价结算清单'!$P286&gt;0,'2.报价结算清单'!$B286&lt;&gt;0,'2.报价结算清单'!C286&lt;&gt;0),'2.报价结算清单'!C286,"")</f>
        <v/>
      </c>
      <c r="D183" s="78" t="str">
        <f>IF(AND('2.报价结算清单'!$P286&gt;0,'2.报价结算清单'!$B286&lt;&gt;0,'2.报价结算清单'!D286&lt;&gt;0),'2.报价结算清单'!D286,"")</f>
        <v/>
      </c>
      <c r="E183" s="78" t="str">
        <f>IF(AND('2.报价结算清单'!$P286&gt;0,'2.报价结算清单'!$B286&lt;&gt;0,'2.报价结算清单'!E286&lt;&gt;0),'2.报价结算清单'!E286,"")</f>
        <v/>
      </c>
      <c r="F183" s="105" t="str">
        <f>_xlfn.IFNA(IF($A183="","",IF(VLOOKUP($A183,'3.框架内物料'!$A:$I,2,0)="","",VLOOKUP($A183,'3.框架内物料'!$A:$I,2,0))),"")</f>
        <v/>
      </c>
      <c r="G183" s="87" t="str">
        <f>IF(AND('2.报价结算清单'!$P286&gt;0,'2.报价结算清单'!$B286&lt;&gt;0,'2.报价结算清单'!H286&lt;&gt;0),'2.报价结算清单'!H286,"")</f>
        <v/>
      </c>
      <c r="H183" s="122" t="str">
        <f>IF(AND('2.报价结算清单'!$P286&gt;0,'2.报价结算清单'!$B286&lt;&gt;0,'2.报价结算清单'!$F286&lt;&gt;0),'2.报价结算清单'!J286,"")</f>
        <v/>
      </c>
      <c r="I183" s="105" t="str">
        <f>IF(AND('2.报价结算清单'!$P286&gt;0,'2.报价结算清单'!$B286&lt;&gt;0,'2.报价结算清单'!$F286&lt;&gt;0),'2.报价结算清单'!L286,"")</f>
        <v/>
      </c>
      <c r="J183" s="105" t="str">
        <f>IF(AND('2.报价结算清单'!$P286&gt;0,'2.报价结算清单'!$B286&lt;&gt;0,'2.报价结算清单'!I286&lt;&gt;0),'2.报价结算清单'!I286,"")</f>
        <v/>
      </c>
      <c r="K183" s="105" t="str">
        <f>IF(AND('2.报价结算清单'!$P286&gt;0,'2.报价结算清单'!$B286&lt;&gt;0,'2.报价结算清单'!$F286&lt;&gt;0),'2.报价结算清单'!N286,"")</f>
        <v/>
      </c>
      <c r="L183" s="105" t="str">
        <f>IF(AND('2.报价结算清单'!$P286&gt;0,'2.报价结算清单'!$B286&lt;&gt;0,'2.报价结算清单'!I286&lt;&gt;0),"天","")</f>
        <v/>
      </c>
      <c r="M183" s="80" t="str">
        <f t="shared" si="8"/>
        <v/>
      </c>
      <c r="N183" s="78" t="str">
        <f t="shared" si="9"/>
        <v/>
      </c>
      <c r="O183" s="78" t="str">
        <f>IF(AND('2.报价结算清单'!$P286&gt;0,'2.报价结算清单'!$B286&lt;&gt;0,'2.报价结算清单'!S286&lt;&gt;0),'2.报价结算清单'!S286,"")</f>
        <v/>
      </c>
      <c r="P183" s="78" t="str">
        <f>IF(AND('2.报价结算清单'!$P286&gt;0,'2.报价结算清单'!$B286&lt;&gt;0,'2.报价结算清单'!T286&lt;&gt;0),'2.报价结算清单'!T286,"")</f>
        <v/>
      </c>
      <c r="Q183" s="78" t="str">
        <f>IF(F183="",J183,VLOOKUP(F183,框架条目清单!A:K,4,FALSE))</f>
        <v/>
      </c>
      <c r="R183" s="106" t="str">
        <f>IF($A183="","",'2.报价结算清单'!$K$183)</f>
        <v/>
      </c>
      <c r="S183" s="80" t="str">
        <f>IF($A183="","",'2.报价结算清单'!$E$183)</f>
        <v/>
      </c>
      <c r="T183" s="78" t="str">
        <f>IF(F183="","",VLOOKUP(F183,框架条目清单!A:K,7,FALSE))</f>
        <v/>
      </c>
      <c r="U183" s="78" t="str">
        <f>IF(F183="","",VLOOKUP(F183,框架条目清单!A:K,8,FALSE))</f>
        <v/>
      </c>
      <c r="V183" s="78" t="str">
        <f>IF(F183="","",VLOOKUP(F183,框架条目清单!A:K,9,FALSE))</f>
        <v/>
      </c>
    </row>
    <row r="184" spans="1:22">
      <c r="A184" s="78" t="str">
        <f>IF(AND('2.报价结算清单'!$P287&gt;0,'2.报价结算清单'!$B287&lt;&gt;0,'2.报价结算清单'!$F287&lt;&gt;0),'2.报价结算清单'!$F287,"")</f>
        <v/>
      </c>
      <c r="B184" s="78" t="str">
        <f>_xlfn.IFNA(VLOOKUP(A184,'3.框架内物料'!$A:$I,3,0),A184)</f>
        <v/>
      </c>
      <c r="C184" s="78" t="str">
        <f>IF(AND('2.报价结算清单'!$P287&gt;0,'2.报价结算清单'!$B287&lt;&gt;0,'2.报价结算清单'!C287&lt;&gt;0),'2.报价结算清单'!C287,"")</f>
        <v/>
      </c>
      <c r="D184" s="78" t="str">
        <f>IF(AND('2.报价结算清单'!$P287&gt;0,'2.报价结算清单'!$B287&lt;&gt;0,'2.报价结算清单'!D287&lt;&gt;0),'2.报价结算清单'!D287,"")</f>
        <v/>
      </c>
      <c r="E184" s="78" t="str">
        <f>IF(AND('2.报价结算清单'!$P287&gt;0,'2.报价结算清单'!$B287&lt;&gt;0,'2.报价结算清单'!E287&lt;&gt;0),'2.报价结算清单'!E287,"")</f>
        <v/>
      </c>
      <c r="F184" s="105" t="str">
        <f>_xlfn.IFNA(IF($A184="","",IF(VLOOKUP($A184,'3.框架内物料'!$A:$I,2,0)="","",VLOOKUP($A184,'3.框架内物料'!$A:$I,2,0))),"")</f>
        <v/>
      </c>
      <c r="G184" s="87" t="str">
        <f>IF(AND('2.报价结算清单'!$P287&gt;0,'2.报价结算清单'!$B287&lt;&gt;0,'2.报价结算清单'!H287&lt;&gt;0),'2.报价结算清单'!H287,"")</f>
        <v/>
      </c>
      <c r="H184" s="122" t="str">
        <f>IF(AND('2.报价结算清单'!$P287&gt;0,'2.报价结算清单'!$B287&lt;&gt;0,'2.报价结算清单'!$F287&lt;&gt;0),'2.报价结算清单'!J287,"")</f>
        <v/>
      </c>
      <c r="I184" s="105" t="str">
        <f>IF(AND('2.报价结算清单'!$P287&gt;0,'2.报价结算清单'!$B287&lt;&gt;0,'2.报价结算清单'!$F287&lt;&gt;0),'2.报价结算清单'!L287,"")</f>
        <v/>
      </c>
      <c r="J184" s="105" t="str">
        <f>IF(AND('2.报价结算清单'!$P287&gt;0,'2.报价结算清单'!$B287&lt;&gt;0,'2.报价结算清单'!I287&lt;&gt;0),'2.报价结算清单'!I287,"")</f>
        <v/>
      </c>
      <c r="K184" s="105" t="str">
        <f>IF(AND('2.报价结算清单'!$P287&gt;0,'2.报价结算清单'!$B287&lt;&gt;0,'2.报价结算清单'!$F287&lt;&gt;0),'2.报价结算清单'!N287,"")</f>
        <v/>
      </c>
      <c r="L184" s="105" t="str">
        <f>IF(AND('2.报价结算清单'!$P287&gt;0,'2.报价结算清单'!$B287&lt;&gt;0,'2.报价结算清单'!I287&lt;&gt;0),"天","")</f>
        <v/>
      </c>
      <c r="M184" s="80" t="str">
        <f t="shared" si="8"/>
        <v/>
      </c>
      <c r="N184" s="78" t="str">
        <f t="shared" si="9"/>
        <v/>
      </c>
      <c r="O184" s="78" t="str">
        <f>IF(AND('2.报价结算清单'!$P287&gt;0,'2.报价结算清单'!$B287&lt;&gt;0,'2.报价结算清单'!S287&lt;&gt;0),'2.报价结算清单'!S287,"")</f>
        <v/>
      </c>
      <c r="P184" s="78" t="str">
        <f>IF(AND('2.报价结算清单'!$P287&gt;0,'2.报价结算清单'!$B287&lt;&gt;0,'2.报价结算清单'!T287&lt;&gt;0),'2.报价结算清单'!T287,"")</f>
        <v/>
      </c>
      <c r="Q184" s="78" t="str">
        <f>IF(F184="",J184,VLOOKUP(F184,框架条目清单!A:K,4,FALSE))</f>
        <v/>
      </c>
      <c r="R184" s="106" t="str">
        <f>IF($A184="","",'2.报价结算清单'!$K$183)</f>
        <v/>
      </c>
      <c r="S184" s="80" t="str">
        <f>IF($A184="","",'2.报价结算清单'!$E$183)</f>
        <v/>
      </c>
      <c r="T184" s="78" t="str">
        <f>IF(F184="","",VLOOKUP(F184,框架条目清单!A:K,7,FALSE))</f>
        <v/>
      </c>
      <c r="U184" s="78" t="str">
        <f>IF(F184="","",VLOOKUP(F184,框架条目清单!A:K,8,FALSE))</f>
        <v/>
      </c>
      <c r="V184" s="78" t="str">
        <f>IF(F184="","",VLOOKUP(F184,框架条目清单!A:K,9,FALSE))</f>
        <v/>
      </c>
    </row>
    <row r="185" spans="1:22">
      <c r="A185" s="78" t="str">
        <f>IF(AND('2.报价结算清单'!$P288&gt;0,'2.报价结算清单'!$B288&lt;&gt;0,'2.报价结算清单'!$F288&lt;&gt;0),'2.报价结算清单'!$F288,"")</f>
        <v/>
      </c>
      <c r="B185" s="78" t="str">
        <f>_xlfn.IFNA(VLOOKUP(A185,'3.框架内物料'!$A:$I,3,0),A185)</f>
        <v/>
      </c>
      <c r="C185" s="78" t="str">
        <f>IF(AND('2.报价结算清单'!$P288&gt;0,'2.报价结算清单'!$B288&lt;&gt;0,'2.报价结算清单'!C288&lt;&gt;0),'2.报价结算清单'!C288,"")</f>
        <v/>
      </c>
      <c r="D185" s="78" t="str">
        <f>IF(AND('2.报价结算清单'!$P288&gt;0,'2.报价结算清单'!$B288&lt;&gt;0,'2.报价结算清单'!D288&lt;&gt;0),'2.报价结算清单'!D288,"")</f>
        <v/>
      </c>
      <c r="E185" s="78" t="str">
        <f>IF(AND('2.报价结算清单'!$P288&gt;0,'2.报价结算清单'!$B288&lt;&gt;0,'2.报价结算清单'!E288&lt;&gt;0),'2.报价结算清单'!E288,"")</f>
        <v/>
      </c>
      <c r="F185" s="105" t="str">
        <f>_xlfn.IFNA(IF($A185="","",IF(VLOOKUP($A185,'3.框架内物料'!$A:$I,2,0)="","",VLOOKUP($A185,'3.框架内物料'!$A:$I,2,0))),"")</f>
        <v/>
      </c>
      <c r="G185" s="87" t="str">
        <f>IF(AND('2.报价结算清单'!$P288&gt;0,'2.报价结算清单'!$B288&lt;&gt;0,'2.报价结算清单'!H288&lt;&gt;0),'2.报价结算清单'!H288,"")</f>
        <v/>
      </c>
      <c r="H185" s="122" t="str">
        <f>IF(AND('2.报价结算清单'!$P288&gt;0,'2.报价结算清单'!$B288&lt;&gt;0,'2.报价结算清单'!$F288&lt;&gt;0),'2.报价结算清单'!J288,"")</f>
        <v/>
      </c>
      <c r="I185" s="105" t="str">
        <f>IF(AND('2.报价结算清单'!$P288&gt;0,'2.报价结算清单'!$B288&lt;&gt;0,'2.报价结算清单'!$F288&lt;&gt;0),'2.报价结算清单'!L288,"")</f>
        <v/>
      </c>
      <c r="J185" s="105" t="str">
        <f>IF(AND('2.报价结算清单'!$P288&gt;0,'2.报价结算清单'!$B288&lt;&gt;0,'2.报价结算清单'!I288&lt;&gt;0),'2.报价结算清单'!I288,"")</f>
        <v/>
      </c>
      <c r="K185" s="105" t="str">
        <f>IF(AND('2.报价结算清单'!$P288&gt;0,'2.报价结算清单'!$B288&lt;&gt;0,'2.报价结算清单'!$F288&lt;&gt;0),'2.报价结算清单'!N288,"")</f>
        <v/>
      </c>
      <c r="L185" s="105" t="str">
        <f>IF(AND('2.报价结算清单'!$P288&gt;0,'2.报价结算清单'!$B288&lt;&gt;0,'2.报价结算清单'!I288&lt;&gt;0),"天","")</f>
        <v/>
      </c>
      <c r="M185" s="80" t="str">
        <f t="shared" si="8"/>
        <v/>
      </c>
      <c r="N185" s="78" t="str">
        <f t="shared" si="9"/>
        <v/>
      </c>
      <c r="O185" s="78" t="str">
        <f>IF(AND('2.报价结算清单'!$P288&gt;0,'2.报价结算清单'!$B288&lt;&gt;0,'2.报价结算清单'!S288&lt;&gt;0),'2.报价结算清单'!S288,"")</f>
        <v/>
      </c>
      <c r="P185" s="78" t="str">
        <f>IF(AND('2.报价结算清单'!$P288&gt;0,'2.报价结算清单'!$B288&lt;&gt;0,'2.报价结算清单'!T288&lt;&gt;0),'2.报价结算清单'!T288,"")</f>
        <v/>
      </c>
      <c r="Q185" s="78" t="str">
        <f>IF(F185="",J185,VLOOKUP(F185,框架条目清单!A:K,4,FALSE))</f>
        <v/>
      </c>
      <c r="R185" s="106" t="str">
        <f>IF($A185="","",'2.报价结算清单'!$K$183)</f>
        <v/>
      </c>
      <c r="S185" s="80" t="str">
        <f>IF($A185="","",'2.报价结算清单'!$E$183)</f>
        <v/>
      </c>
      <c r="T185" s="78" t="str">
        <f>IF(F185="","",VLOOKUP(F185,框架条目清单!A:K,7,FALSE))</f>
        <v/>
      </c>
      <c r="U185" s="78" t="str">
        <f>IF(F185="","",VLOOKUP(F185,框架条目清单!A:K,8,FALSE))</f>
        <v/>
      </c>
      <c r="V185" s="78" t="str">
        <f>IF(F185="","",VLOOKUP(F185,框架条目清单!A:K,9,FALSE))</f>
        <v/>
      </c>
    </row>
    <row r="186" spans="1:22">
      <c r="A186" s="78" t="str">
        <f>IF(AND('2.报价结算清单'!$P289&gt;0,'2.报价结算清单'!$B289&lt;&gt;0,'2.报价结算清单'!$F289&lt;&gt;0),'2.报价结算清单'!$F289,"")</f>
        <v/>
      </c>
      <c r="B186" s="78" t="str">
        <f>_xlfn.IFNA(VLOOKUP(A186,'3.框架内物料'!$A:$I,3,0),A186)</f>
        <v/>
      </c>
      <c r="C186" s="78" t="str">
        <f>IF(AND('2.报价结算清单'!$P289&gt;0,'2.报价结算清单'!$B289&lt;&gt;0,'2.报价结算清单'!C289&lt;&gt;0),'2.报价结算清单'!C289,"")</f>
        <v/>
      </c>
      <c r="D186" s="78" t="str">
        <f>IF(AND('2.报价结算清单'!$P289&gt;0,'2.报价结算清单'!$B289&lt;&gt;0,'2.报价结算清单'!D289&lt;&gt;0),'2.报价结算清单'!D289,"")</f>
        <v/>
      </c>
      <c r="E186" s="78" t="str">
        <f>IF(AND('2.报价结算清单'!$P289&gt;0,'2.报价结算清单'!$B289&lt;&gt;0,'2.报价结算清单'!E289&lt;&gt;0),'2.报价结算清单'!E289,"")</f>
        <v/>
      </c>
      <c r="F186" s="105" t="str">
        <f>_xlfn.IFNA(IF($A186="","",IF(VLOOKUP($A186,'3.框架内物料'!$A:$I,2,0)="","",VLOOKUP($A186,'3.框架内物料'!$A:$I,2,0))),"")</f>
        <v/>
      </c>
      <c r="G186" s="87" t="str">
        <f>IF(AND('2.报价结算清单'!$P289&gt;0,'2.报价结算清单'!$B289&lt;&gt;0,'2.报价结算清单'!H289&lt;&gt;0),'2.报价结算清单'!H289,"")</f>
        <v/>
      </c>
      <c r="H186" s="122" t="str">
        <f>IF(AND('2.报价结算清单'!$P289&gt;0,'2.报价结算清单'!$B289&lt;&gt;0,'2.报价结算清单'!$F289&lt;&gt;0),'2.报价结算清单'!J289,"")</f>
        <v/>
      </c>
      <c r="I186" s="105" t="str">
        <f>IF(AND('2.报价结算清单'!$P289&gt;0,'2.报价结算清单'!$B289&lt;&gt;0,'2.报价结算清单'!$F289&lt;&gt;0),'2.报价结算清单'!L289,"")</f>
        <v/>
      </c>
      <c r="J186" s="105" t="str">
        <f>IF(AND('2.报价结算清单'!$P289&gt;0,'2.报价结算清单'!$B289&lt;&gt;0,'2.报价结算清单'!I289&lt;&gt;0),'2.报价结算清单'!I289,"")</f>
        <v/>
      </c>
      <c r="K186" s="105" t="str">
        <f>IF(AND('2.报价结算清单'!$P289&gt;0,'2.报价结算清单'!$B289&lt;&gt;0,'2.报价结算清单'!$F289&lt;&gt;0),'2.报价结算清单'!N289,"")</f>
        <v/>
      </c>
      <c r="L186" s="105" t="str">
        <f>IF(AND('2.报价结算清单'!$P289&gt;0,'2.报价结算清单'!$B289&lt;&gt;0,'2.报价结算清单'!I289&lt;&gt;0),"天","")</f>
        <v/>
      </c>
      <c r="M186" s="80" t="str">
        <f t="shared" si="8"/>
        <v/>
      </c>
      <c r="N186" s="78" t="str">
        <f t="shared" si="9"/>
        <v/>
      </c>
      <c r="O186" s="78" t="str">
        <f>IF(AND('2.报价结算清单'!$P289&gt;0,'2.报价结算清单'!$B289&lt;&gt;0,'2.报价结算清单'!S289&lt;&gt;0),'2.报价结算清单'!S289,"")</f>
        <v/>
      </c>
      <c r="P186" s="78" t="str">
        <f>IF(AND('2.报价结算清单'!$P289&gt;0,'2.报价结算清单'!$B289&lt;&gt;0,'2.报价结算清单'!T289&lt;&gt;0),'2.报价结算清单'!T289,"")</f>
        <v/>
      </c>
      <c r="Q186" s="78" t="str">
        <f>IF(F186="",J186,VLOOKUP(F186,框架条目清单!A:K,4,FALSE))</f>
        <v/>
      </c>
      <c r="R186" s="106" t="str">
        <f>IF($A186="","",'2.报价结算清单'!$K$183)</f>
        <v/>
      </c>
      <c r="S186" s="80" t="str">
        <f>IF($A186="","",'2.报价结算清单'!$E$183)</f>
        <v/>
      </c>
      <c r="T186" s="78" t="str">
        <f>IF(F186="","",VLOOKUP(F186,框架条目清单!A:K,7,FALSE))</f>
        <v/>
      </c>
      <c r="U186" s="78" t="str">
        <f>IF(F186="","",VLOOKUP(F186,框架条目清单!A:K,8,FALSE))</f>
        <v/>
      </c>
      <c r="V186" s="78" t="str">
        <f>IF(F186="","",VLOOKUP(F186,框架条目清单!A:K,9,FALSE))</f>
        <v/>
      </c>
    </row>
    <row r="187" spans="1:22">
      <c r="A187" s="78" t="str">
        <f>IF(AND('2.报价结算清单'!$P290&gt;0,'2.报价结算清单'!$B290&lt;&gt;0,'2.报价结算清单'!$F290&lt;&gt;0),'2.报价结算清单'!$F290,"")</f>
        <v/>
      </c>
      <c r="B187" s="78" t="str">
        <f>_xlfn.IFNA(VLOOKUP(A187,'3.框架内物料'!$A:$I,3,0),A187)</f>
        <v/>
      </c>
      <c r="C187" s="78" t="str">
        <f>IF(AND('2.报价结算清单'!$P290&gt;0,'2.报价结算清单'!$B290&lt;&gt;0,'2.报价结算清单'!C290&lt;&gt;0),'2.报价结算清单'!C290,"")</f>
        <v/>
      </c>
      <c r="D187" s="78" t="str">
        <f>IF(AND('2.报价结算清单'!$P290&gt;0,'2.报价结算清单'!$B290&lt;&gt;0,'2.报价结算清单'!D290&lt;&gt;0),'2.报价结算清单'!D290,"")</f>
        <v/>
      </c>
      <c r="E187" s="78" t="str">
        <f>IF(AND('2.报价结算清单'!$P290&gt;0,'2.报价结算清单'!$B290&lt;&gt;0,'2.报价结算清单'!E290&lt;&gt;0),'2.报价结算清单'!E290,"")</f>
        <v/>
      </c>
      <c r="F187" s="105" t="str">
        <f>_xlfn.IFNA(IF($A187="","",IF(VLOOKUP($A187,'3.框架内物料'!$A:$I,2,0)="","",VLOOKUP($A187,'3.框架内物料'!$A:$I,2,0))),"")</f>
        <v/>
      </c>
      <c r="G187" s="87" t="str">
        <f>IF(AND('2.报价结算清单'!$P290&gt;0,'2.报价结算清单'!$B290&lt;&gt;0,'2.报价结算清单'!H290&lt;&gt;0),'2.报价结算清单'!H290,"")</f>
        <v/>
      </c>
      <c r="H187" s="122" t="str">
        <f>IF(AND('2.报价结算清单'!$P290&gt;0,'2.报价结算清单'!$B290&lt;&gt;0,'2.报价结算清单'!$F290&lt;&gt;0),'2.报价结算清单'!J290,"")</f>
        <v/>
      </c>
      <c r="I187" s="105" t="str">
        <f>IF(AND('2.报价结算清单'!$P290&gt;0,'2.报价结算清单'!$B290&lt;&gt;0,'2.报价结算清单'!$F290&lt;&gt;0),'2.报价结算清单'!L290,"")</f>
        <v/>
      </c>
      <c r="J187" s="105" t="str">
        <f>IF(AND('2.报价结算清单'!$P290&gt;0,'2.报价结算清单'!$B290&lt;&gt;0,'2.报价结算清单'!I290&lt;&gt;0),'2.报价结算清单'!I290,"")</f>
        <v/>
      </c>
      <c r="K187" s="105" t="str">
        <f>IF(AND('2.报价结算清单'!$P290&gt;0,'2.报价结算清单'!$B290&lt;&gt;0,'2.报价结算清单'!$F290&lt;&gt;0),'2.报价结算清单'!N290,"")</f>
        <v/>
      </c>
      <c r="L187" s="105" t="str">
        <f>IF(AND('2.报价结算清单'!$P290&gt;0,'2.报价结算清单'!$B290&lt;&gt;0,'2.报价结算清单'!I290&lt;&gt;0),"天","")</f>
        <v/>
      </c>
      <c r="M187" s="80" t="str">
        <f t="shared" si="8"/>
        <v/>
      </c>
      <c r="N187" s="78" t="str">
        <f t="shared" si="9"/>
        <v/>
      </c>
      <c r="O187" s="78" t="str">
        <f>IF(AND('2.报价结算清单'!$P290&gt;0,'2.报价结算清单'!$B290&lt;&gt;0,'2.报价结算清单'!S290&lt;&gt;0),'2.报价结算清单'!S290,"")</f>
        <v/>
      </c>
      <c r="P187" s="78" t="str">
        <f>IF(AND('2.报价结算清单'!$P290&gt;0,'2.报价结算清单'!$B290&lt;&gt;0,'2.报价结算清单'!T290&lt;&gt;0),'2.报价结算清单'!T290,"")</f>
        <v/>
      </c>
      <c r="Q187" s="78" t="str">
        <f>IF(F187="",J187,VLOOKUP(F187,框架条目清单!A:K,4,FALSE))</f>
        <v/>
      </c>
      <c r="R187" s="106" t="str">
        <f>IF($A187="","",'2.报价结算清单'!$K$183)</f>
        <v/>
      </c>
      <c r="S187" s="80" t="str">
        <f>IF($A187="","",'2.报价结算清单'!$E$183)</f>
        <v/>
      </c>
      <c r="T187" s="78" t="str">
        <f>IF(F187="","",VLOOKUP(F187,框架条目清单!A:K,7,FALSE))</f>
        <v/>
      </c>
      <c r="U187" s="78" t="str">
        <f>IF(F187="","",VLOOKUP(F187,框架条目清单!A:K,8,FALSE))</f>
        <v/>
      </c>
      <c r="V187" s="78" t="str">
        <f>IF(F187="","",VLOOKUP(F187,框架条目清单!A:K,9,FALSE))</f>
        <v/>
      </c>
    </row>
    <row r="188" spans="1:22">
      <c r="A188" s="78" t="str">
        <f>IF(AND('2.报价结算清单'!$P291&gt;0,'2.报价结算清单'!$B291&lt;&gt;0,'2.报价结算清单'!$F291&lt;&gt;0),'2.报价结算清单'!$F291,"")</f>
        <v/>
      </c>
      <c r="B188" s="78" t="str">
        <f>_xlfn.IFNA(VLOOKUP(A188,'3.框架内物料'!$A:$I,3,0),A188)</f>
        <v/>
      </c>
      <c r="C188" s="78" t="str">
        <f>IF(AND('2.报价结算清单'!$P291&gt;0,'2.报价结算清单'!$B291&lt;&gt;0,'2.报价结算清单'!C291&lt;&gt;0),'2.报价结算清单'!C291,"")</f>
        <v/>
      </c>
      <c r="D188" s="78" t="str">
        <f>IF(AND('2.报价结算清单'!$P291&gt;0,'2.报价结算清单'!$B291&lt;&gt;0,'2.报价结算清单'!D291&lt;&gt;0),'2.报价结算清单'!D291,"")</f>
        <v/>
      </c>
      <c r="E188" s="78" t="str">
        <f>IF(AND('2.报价结算清单'!$P291&gt;0,'2.报价结算清单'!$B291&lt;&gt;0,'2.报价结算清单'!E291&lt;&gt;0),'2.报价结算清单'!E291,"")</f>
        <v/>
      </c>
      <c r="F188" s="105" t="str">
        <f>_xlfn.IFNA(IF($A188="","",IF(VLOOKUP($A188,'3.框架内物料'!$A:$I,2,0)="","",VLOOKUP($A188,'3.框架内物料'!$A:$I,2,0))),"")</f>
        <v/>
      </c>
      <c r="G188" s="87" t="str">
        <f>IF(AND('2.报价结算清单'!$P291&gt;0,'2.报价结算清单'!$B291&lt;&gt;0,'2.报价结算清单'!H291&lt;&gt;0),'2.报价结算清单'!H291,"")</f>
        <v/>
      </c>
      <c r="H188" s="122" t="str">
        <f>IF(AND('2.报价结算清单'!$P291&gt;0,'2.报价结算清单'!$B291&lt;&gt;0,'2.报价结算清单'!$F291&lt;&gt;0),'2.报价结算清单'!J291,"")</f>
        <v/>
      </c>
      <c r="I188" s="105" t="str">
        <f>IF(AND('2.报价结算清单'!$P291&gt;0,'2.报价结算清单'!$B291&lt;&gt;0,'2.报价结算清单'!$F291&lt;&gt;0),'2.报价结算清单'!L291,"")</f>
        <v/>
      </c>
      <c r="J188" s="105" t="str">
        <f>IF(AND('2.报价结算清单'!$P291&gt;0,'2.报价结算清单'!$B291&lt;&gt;0,'2.报价结算清单'!I291&lt;&gt;0),'2.报价结算清单'!I291,"")</f>
        <v/>
      </c>
      <c r="K188" s="105" t="str">
        <f>IF(AND('2.报价结算清单'!$P291&gt;0,'2.报价结算清单'!$B291&lt;&gt;0,'2.报价结算清单'!$F291&lt;&gt;0),'2.报价结算清单'!N291,"")</f>
        <v/>
      </c>
      <c r="L188" s="105" t="str">
        <f>IF(AND('2.报价结算清单'!$P291&gt;0,'2.报价结算清单'!$B291&lt;&gt;0,'2.报价结算清单'!I291&lt;&gt;0),"天","")</f>
        <v/>
      </c>
      <c r="M188" s="80" t="str">
        <f t="shared" si="8"/>
        <v/>
      </c>
      <c r="N188" s="78" t="str">
        <f t="shared" si="9"/>
        <v/>
      </c>
      <c r="O188" s="78" t="str">
        <f>IF(AND('2.报价结算清单'!$P291&gt;0,'2.报价结算清单'!$B291&lt;&gt;0,'2.报价结算清单'!S291&lt;&gt;0),'2.报价结算清单'!S291,"")</f>
        <v/>
      </c>
      <c r="P188" s="78" t="str">
        <f>IF(AND('2.报价结算清单'!$P291&gt;0,'2.报价结算清单'!$B291&lt;&gt;0,'2.报价结算清单'!T291&lt;&gt;0),'2.报价结算清单'!T291,"")</f>
        <v/>
      </c>
      <c r="Q188" s="78" t="str">
        <f>IF(F188="",J188,VLOOKUP(F188,框架条目清单!A:K,4,FALSE))</f>
        <v/>
      </c>
      <c r="R188" s="106" t="str">
        <f>IF($A188="","",'2.报价结算清单'!$K$183)</f>
        <v/>
      </c>
      <c r="S188" s="80" t="str">
        <f>IF($A188="","",'2.报价结算清单'!$E$183)</f>
        <v/>
      </c>
      <c r="T188" s="78" t="str">
        <f>IF(F188="","",VLOOKUP(F188,框架条目清单!A:K,7,FALSE))</f>
        <v/>
      </c>
      <c r="U188" s="78" t="str">
        <f>IF(F188="","",VLOOKUP(F188,框架条目清单!A:K,8,FALSE))</f>
        <v/>
      </c>
      <c r="V188" s="78" t="str">
        <f>IF(F188="","",VLOOKUP(F188,框架条目清单!A:K,9,FALSE))</f>
        <v/>
      </c>
    </row>
    <row r="189" spans="1:22">
      <c r="A189" s="78" t="str">
        <f>IF(AND('2.报价结算清单'!$P292&gt;0,'2.报价结算清单'!$B292&lt;&gt;0,'2.报价结算清单'!$F292&lt;&gt;0),'2.报价结算清单'!$F292,"")</f>
        <v/>
      </c>
      <c r="B189" s="78" t="str">
        <f>_xlfn.IFNA(VLOOKUP(A189,'3.框架内物料'!$A:$I,3,0),A189)</f>
        <v/>
      </c>
      <c r="C189" s="78" t="str">
        <f>IF(AND('2.报价结算清单'!$P292&gt;0,'2.报价结算清单'!$B292&lt;&gt;0,'2.报价结算清单'!C292&lt;&gt;0),'2.报价结算清单'!C292,"")</f>
        <v/>
      </c>
      <c r="D189" s="78" t="str">
        <f>IF(AND('2.报价结算清单'!$P292&gt;0,'2.报价结算清单'!$B292&lt;&gt;0,'2.报价结算清单'!D292&lt;&gt;0),'2.报价结算清单'!D292,"")</f>
        <v/>
      </c>
      <c r="E189" s="78" t="str">
        <f>IF(AND('2.报价结算清单'!$P292&gt;0,'2.报价结算清单'!$B292&lt;&gt;0,'2.报价结算清单'!E292&lt;&gt;0),'2.报价结算清单'!E292,"")</f>
        <v/>
      </c>
      <c r="F189" s="105" t="str">
        <f>_xlfn.IFNA(IF($A189="","",IF(VLOOKUP($A189,'3.框架内物料'!$A:$I,2,0)="","",VLOOKUP($A189,'3.框架内物料'!$A:$I,2,0))),"")</f>
        <v/>
      </c>
      <c r="G189" s="87" t="str">
        <f>IF(AND('2.报价结算清单'!$P292&gt;0,'2.报价结算清单'!$B292&lt;&gt;0,'2.报价结算清单'!H292&lt;&gt;0),'2.报价结算清单'!H292,"")</f>
        <v/>
      </c>
      <c r="H189" s="122" t="str">
        <f>IF(AND('2.报价结算清单'!$P292&gt;0,'2.报价结算清单'!$B292&lt;&gt;0,'2.报价结算清单'!$F292&lt;&gt;0),'2.报价结算清单'!J292,"")</f>
        <v/>
      </c>
      <c r="I189" s="105" t="str">
        <f>IF(AND('2.报价结算清单'!$P292&gt;0,'2.报价结算清单'!$B292&lt;&gt;0,'2.报价结算清单'!$F292&lt;&gt;0),'2.报价结算清单'!L292,"")</f>
        <v/>
      </c>
      <c r="J189" s="105" t="str">
        <f>IF(AND('2.报价结算清单'!$P292&gt;0,'2.报价结算清单'!$B292&lt;&gt;0,'2.报价结算清单'!I292&lt;&gt;0),'2.报价结算清单'!I292,"")</f>
        <v/>
      </c>
      <c r="K189" s="105" t="str">
        <f>IF(AND('2.报价结算清单'!$P292&gt;0,'2.报价结算清单'!$B292&lt;&gt;0,'2.报价结算清单'!$F292&lt;&gt;0),'2.报价结算清单'!N292,"")</f>
        <v/>
      </c>
      <c r="L189" s="105" t="str">
        <f>IF(AND('2.报价结算清单'!$P292&gt;0,'2.报价结算清单'!$B292&lt;&gt;0,'2.报价结算清单'!I292&lt;&gt;0),"天","")</f>
        <v/>
      </c>
      <c r="M189" s="80" t="str">
        <f t="shared" si="8"/>
        <v/>
      </c>
      <c r="N189" s="78" t="str">
        <f t="shared" si="9"/>
        <v/>
      </c>
      <c r="O189" s="78" t="str">
        <f>IF(AND('2.报价结算清单'!$P292&gt;0,'2.报价结算清单'!$B292&lt;&gt;0,'2.报价结算清单'!S292&lt;&gt;0),'2.报价结算清单'!S292,"")</f>
        <v/>
      </c>
      <c r="P189" s="78" t="str">
        <f>IF(AND('2.报价结算清单'!$P292&gt;0,'2.报价结算清单'!$B292&lt;&gt;0,'2.报价结算清单'!T292&lt;&gt;0),'2.报价结算清单'!T292,"")</f>
        <v/>
      </c>
      <c r="Q189" s="78" t="str">
        <f>IF(F189="",J189,VLOOKUP(F189,框架条目清单!A:K,4,FALSE))</f>
        <v/>
      </c>
      <c r="R189" s="106" t="str">
        <f>IF($A189="","",'2.报价结算清单'!$K$183)</f>
        <v/>
      </c>
      <c r="S189" s="80" t="str">
        <f>IF($A189="","",'2.报价结算清单'!$E$183)</f>
        <v/>
      </c>
      <c r="T189" s="78" t="str">
        <f>IF(F189="","",VLOOKUP(F189,框架条目清单!A:K,7,FALSE))</f>
        <v/>
      </c>
      <c r="U189" s="78" t="str">
        <f>IF(F189="","",VLOOKUP(F189,框架条目清单!A:K,8,FALSE))</f>
        <v/>
      </c>
      <c r="V189" s="78" t="str">
        <f>IF(F189="","",VLOOKUP(F189,框架条目清单!A:K,9,FALSE))</f>
        <v/>
      </c>
    </row>
    <row r="190" spans="1:22">
      <c r="A190" s="78" t="str">
        <f>IF(AND('2.报价结算清单'!$P293&gt;0,'2.报价结算清单'!$B293&lt;&gt;0,'2.报价结算清单'!$F293&lt;&gt;0),'2.报价结算清单'!$F293,"")</f>
        <v/>
      </c>
      <c r="B190" s="78" t="str">
        <f>_xlfn.IFNA(VLOOKUP(A190,'3.框架内物料'!$A:$I,3,0),A190)</f>
        <v/>
      </c>
      <c r="C190" s="78" t="str">
        <f>IF(AND('2.报价结算清单'!$P293&gt;0,'2.报价结算清单'!$B293&lt;&gt;0,'2.报价结算清单'!C293&lt;&gt;0),'2.报价结算清单'!C293,"")</f>
        <v/>
      </c>
      <c r="D190" s="78" t="str">
        <f>IF(AND('2.报价结算清单'!$P293&gt;0,'2.报价结算清单'!$B293&lt;&gt;0,'2.报价结算清单'!D293&lt;&gt;0),'2.报价结算清单'!D293,"")</f>
        <v/>
      </c>
      <c r="E190" s="78" t="str">
        <f>IF(AND('2.报价结算清单'!$P293&gt;0,'2.报价结算清单'!$B293&lt;&gt;0,'2.报价结算清单'!E293&lt;&gt;0),'2.报价结算清单'!E293,"")</f>
        <v/>
      </c>
      <c r="F190" s="105" t="str">
        <f>_xlfn.IFNA(IF($A190="","",IF(VLOOKUP($A190,'3.框架内物料'!$A:$I,2,0)="","",VLOOKUP($A190,'3.框架内物料'!$A:$I,2,0))),"")</f>
        <v/>
      </c>
      <c r="G190" s="87" t="str">
        <f>IF(AND('2.报价结算清单'!$P293&gt;0,'2.报价结算清单'!$B293&lt;&gt;0,'2.报价结算清单'!H293&lt;&gt;0),'2.报价结算清单'!H293,"")</f>
        <v/>
      </c>
      <c r="H190" s="122" t="str">
        <f>IF(AND('2.报价结算清单'!$P293&gt;0,'2.报价结算清单'!$B293&lt;&gt;0,'2.报价结算清单'!$F293&lt;&gt;0),'2.报价结算清单'!J293,"")</f>
        <v/>
      </c>
      <c r="I190" s="105" t="str">
        <f>IF(AND('2.报价结算清单'!$P293&gt;0,'2.报价结算清单'!$B293&lt;&gt;0,'2.报价结算清单'!$F293&lt;&gt;0),'2.报价结算清单'!L293,"")</f>
        <v/>
      </c>
      <c r="J190" s="105" t="str">
        <f>IF(AND('2.报价结算清单'!$P293&gt;0,'2.报价结算清单'!$B293&lt;&gt;0,'2.报价结算清单'!I293&lt;&gt;0),'2.报价结算清单'!I293,"")</f>
        <v/>
      </c>
      <c r="K190" s="105" t="str">
        <f>IF(AND('2.报价结算清单'!$P293&gt;0,'2.报价结算清单'!$B293&lt;&gt;0,'2.报价结算清单'!$F293&lt;&gt;0),'2.报价结算清单'!N293,"")</f>
        <v/>
      </c>
      <c r="L190" s="105" t="str">
        <f>IF(AND('2.报价结算清单'!$P293&gt;0,'2.报价结算清单'!$B293&lt;&gt;0,'2.报价结算清单'!I293&lt;&gt;0),"天","")</f>
        <v/>
      </c>
      <c r="M190" s="80" t="str">
        <f t="shared" si="8"/>
        <v/>
      </c>
      <c r="N190" s="78" t="str">
        <f t="shared" si="9"/>
        <v/>
      </c>
      <c r="O190" s="78" t="str">
        <f>IF(AND('2.报价结算清单'!$P293&gt;0,'2.报价结算清单'!$B293&lt;&gt;0,'2.报价结算清单'!S293&lt;&gt;0),'2.报价结算清单'!S293,"")</f>
        <v/>
      </c>
      <c r="P190" s="78" t="str">
        <f>IF(AND('2.报价结算清单'!$P293&gt;0,'2.报价结算清单'!$B293&lt;&gt;0,'2.报价结算清单'!T293&lt;&gt;0),'2.报价结算清单'!T293,"")</f>
        <v/>
      </c>
      <c r="Q190" s="78" t="str">
        <f>IF(F190="",J190,VLOOKUP(F190,框架条目清单!A:K,4,FALSE))</f>
        <v/>
      </c>
      <c r="R190" s="106" t="str">
        <f>IF($A190="","",'2.报价结算清单'!$K$183)</f>
        <v/>
      </c>
      <c r="S190" s="80" t="str">
        <f>IF($A190="","",'2.报价结算清单'!$E$183)</f>
        <v/>
      </c>
      <c r="T190" s="78" t="str">
        <f>IF(F190="","",VLOOKUP(F190,框架条目清单!A:K,7,FALSE))</f>
        <v/>
      </c>
      <c r="U190" s="78" t="str">
        <f>IF(F190="","",VLOOKUP(F190,框架条目清单!A:K,8,FALSE))</f>
        <v/>
      </c>
      <c r="V190" s="78" t="str">
        <f>IF(F190="","",VLOOKUP(F190,框架条目清单!A:K,9,FALSE))</f>
        <v/>
      </c>
    </row>
    <row r="191" spans="1:22">
      <c r="A191" s="78" t="str">
        <f>IF(AND('2.报价结算清单'!$P294&gt;0,'2.报价结算清单'!$B294&lt;&gt;0,'2.报价结算清单'!$F294&lt;&gt;0),'2.报价结算清单'!$F294,"")</f>
        <v/>
      </c>
      <c r="B191" s="78" t="str">
        <f>_xlfn.IFNA(VLOOKUP(A191,'3.框架内物料'!$A:$I,3,0),A191)</f>
        <v/>
      </c>
      <c r="C191" s="78" t="str">
        <f>IF(AND('2.报价结算清单'!$P294&gt;0,'2.报价结算清单'!$B294&lt;&gt;0,'2.报价结算清单'!C294&lt;&gt;0),'2.报价结算清单'!C294,"")</f>
        <v/>
      </c>
      <c r="D191" s="78" t="str">
        <f>IF(AND('2.报价结算清单'!$P294&gt;0,'2.报价结算清单'!$B294&lt;&gt;0,'2.报价结算清单'!D294&lt;&gt;0),'2.报价结算清单'!D294,"")</f>
        <v/>
      </c>
      <c r="E191" s="78" t="str">
        <f>IF(AND('2.报价结算清单'!$P294&gt;0,'2.报价结算清单'!$B294&lt;&gt;0,'2.报价结算清单'!E294&lt;&gt;0),'2.报价结算清单'!E294,"")</f>
        <v/>
      </c>
      <c r="F191" s="105" t="str">
        <f>_xlfn.IFNA(IF($A191="","",IF(VLOOKUP($A191,'3.框架内物料'!$A:$I,2,0)="","",VLOOKUP($A191,'3.框架内物料'!$A:$I,2,0))),"")</f>
        <v/>
      </c>
      <c r="G191" s="87" t="str">
        <f>IF(AND('2.报价结算清单'!$P294&gt;0,'2.报价结算清单'!$B294&lt;&gt;0,'2.报价结算清单'!H294&lt;&gt;0),'2.报价结算清单'!H294,"")</f>
        <v/>
      </c>
      <c r="H191" s="122" t="str">
        <f>IF(AND('2.报价结算清单'!$P294&gt;0,'2.报价结算清单'!$B294&lt;&gt;0,'2.报价结算清单'!$F294&lt;&gt;0),'2.报价结算清单'!J294,"")</f>
        <v/>
      </c>
      <c r="I191" s="105" t="str">
        <f>IF(AND('2.报价结算清单'!$P294&gt;0,'2.报价结算清单'!$B294&lt;&gt;0,'2.报价结算清单'!$F294&lt;&gt;0),'2.报价结算清单'!L294,"")</f>
        <v/>
      </c>
      <c r="J191" s="105" t="str">
        <f>IF(AND('2.报价结算清单'!$P294&gt;0,'2.报价结算清单'!$B294&lt;&gt;0,'2.报价结算清单'!I294&lt;&gt;0),'2.报价结算清单'!I294,"")</f>
        <v/>
      </c>
      <c r="K191" s="105" t="str">
        <f>IF(AND('2.报价结算清单'!$P294&gt;0,'2.报价结算清单'!$B294&lt;&gt;0,'2.报价结算清单'!$F294&lt;&gt;0),'2.报价结算清单'!N294,"")</f>
        <v/>
      </c>
      <c r="L191" s="105" t="str">
        <f>IF(AND('2.报价结算清单'!$P294&gt;0,'2.报价结算清单'!$B294&lt;&gt;0,'2.报价结算清单'!I294&lt;&gt;0),"天","")</f>
        <v/>
      </c>
      <c r="M191" s="80" t="str">
        <f t="shared" si="8"/>
        <v/>
      </c>
      <c r="N191" s="78" t="str">
        <f t="shared" si="9"/>
        <v/>
      </c>
      <c r="O191" s="78" t="str">
        <f>IF(AND('2.报价结算清单'!$P294&gt;0,'2.报价结算清单'!$B294&lt;&gt;0,'2.报价结算清单'!S294&lt;&gt;0),'2.报价结算清单'!S294,"")</f>
        <v/>
      </c>
      <c r="P191" s="78" t="str">
        <f>IF(AND('2.报价结算清单'!$P294&gt;0,'2.报价结算清单'!$B294&lt;&gt;0,'2.报价结算清单'!T294&lt;&gt;0),'2.报价结算清单'!T294,"")</f>
        <v/>
      </c>
      <c r="Q191" s="78" t="str">
        <f>IF(F191="",J191,VLOOKUP(F191,框架条目清单!A:K,4,FALSE))</f>
        <v/>
      </c>
      <c r="R191" s="106" t="str">
        <f>IF($A191="","",'2.报价结算清单'!$K$183)</f>
        <v/>
      </c>
      <c r="S191" s="80" t="str">
        <f>IF($A191="","",'2.报价结算清单'!$E$183)</f>
        <v/>
      </c>
      <c r="T191" s="78" t="str">
        <f>IF(F191="","",VLOOKUP(F191,框架条目清单!A:K,7,FALSE))</f>
        <v/>
      </c>
      <c r="U191" s="78" t="str">
        <f>IF(F191="","",VLOOKUP(F191,框架条目清单!A:K,8,FALSE))</f>
        <v/>
      </c>
      <c r="V191" s="78" t="str">
        <f>IF(F191="","",VLOOKUP(F191,框架条目清单!A:K,9,FALSE))</f>
        <v/>
      </c>
    </row>
    <row r="192" spans="1:22">
      <c r="A192" s="78" t="str">
        <f>IF(AND('2.报价结算清单'!$P295&gt;0,'2.报价结算清单'!$B295&lt;&gt;0,'2.报价结算清单'!$F295&lt;&gt;0),'2.报价结算清单'!$F295,"")</f>
        <v/>
      </c>
      <c r="B192" s="78" t="str">
        <f>_xlfn.IFNA(VLOOKUP(A192,'3.框架内物料'!$A:$I,3,0),A192)</f>
        <v/>
      </c>
      <c r="C192" s="78" t="str">
        <f>IF(AND('2.报价结算清单'!$P295&gt;0,'2.报价结算清单'!$B295&lt;&gt;0,'2.报价结算清单'!C295&lt;&gt;0),'2.报价结算清单'!C295,"")</f>
        <v/>
      </c>
      <c r="D192" s="78" t="str">
        <f>IF(AND('2.报价结算清单'!$P295&gt;0,'2.报价结算清单'!$B295&lt;&gt;0,'2.报价结算清单'!D295&lt;&gt;0),'2.报价结算清单'!D295,"")</f>
        <v/>
      </c>
      <c r="E192" s="78" t="str">
        <f>IF(AND('2.报价结算清单'!$P295&gt;0,'2.报价结算清单'!$B295&lt;&gt;0,'2.报价结算清单'!E295&lt;&gt;0),'2.报价结算清单'!E295,"")</f>
        <v/>
      </c>
      <c r="F192" s="105" t="str">
        <f>_xlfn.IFNA(IF($A192="","",IF(VLOOKUP($A192,'3.框架内物料'!$A:$I,2,0)="","",VLOOKUP($A192,'3.框架内物料'!$A:$I,2,0))),"")</f>
        <v/>
      </c>
      <c r="G192" s="87" t="str">
        <f>IF(AND('2.报价结算清单'!$P295&gt;0,'2.报价结算清单'!$B295&lt;&gt;0,'2.报价结算清单'!H295&lt;&gt;0),'2.报价结算清单'!H295,"")</f>
        <v/>
      </c>
      <c r="H192" s="122" t="str">
        <f>IF(AND('2.报价结算清单'!$P295&gt;0,'2.报价结算清单'!$B295&lt;&gt;0,'2.报价结算清单'!$F295&lt;&gt;0),'2.报价结算清单'!J295,"")</f>
        <v/>
      </c>
      <c r="I192" s="105" t="str">
        <f>IF(AND('2.报价结算清单'!$P295&gt;0,'2.报价结算清单'!$B295&lt;&gt;0,'2.报价结算清单'!$F295&lt;&gt;0),'2.报价结算清单'!L295,"")</f>
        <v/>
      </c>
      <c r="J192" s="105" t="str">
        <f>IF(AND('2.报价结算清单'!$P295&gt;0,'2.报价结算清单'!$B295&lt;&gt;0,'2.报价结算清单'!I295&lt;&gt;0),'2.报价结算清单'!I295,"")</f>
        <v/>
      </c>
      <c r="K192" s="105" t="str">
        <f>IF(AND('2.报价结算清单'!$P295&gt;0,'2.报价结算清单'!$B295&lt;&gt;0,'2.报价结算清单'!$F295&lt;&gt;0),'2.报价结算清单'!N295,"")</f>
        <v/>
      </c>
      <c r="L192" s="105" t="str">
        <f>IF(AND('2.报价结算清单'!$P295&gt;0,'2.报价结算清单'!$B295&lt;&gt;0,'2.报价结算清单'!I295&lt;&gt;0),"天","")</f>
        <v/>
      </c>
      <c r="M192" s="80" t="str">
        <f t="shared" si="8"/>
        <v/>
      </c>
      <c r="N192" s="78" t="str">
        <f t="shared" si="9"/>
        <v/>
      </c>
      <c r="O192" s="78" t="str">
        <f>IF(AND('2.报价结算清单'!$P295&gt;0,'2.报价结算清单'!$B295&lt;&gt;0,'2.报价结算清单'!S295&lt;&gt;0),'2.报价结算清单'!S295,"")</f>
        <v/>
      </c>
      <c r="P192" s="78" t="str">
        <f>IF(AND('2.报价结算清单'!$P295&gt;0,'2.报价结算清单'!$B295&lt;&gt;0,'2.报价结算清单'!T295&lt;&gt;0),'2.报价结算清单'!T295,"")</f>
        <v/>
      </c>
      <c r="Q192" s="78" t="str">
        <f>IF(F192="",J192,VLOOKUP(F192,框架条目清单!A:K,4,FALSE))</f>
        <v/>
      </c>
      <c r="R192" s="106" t="str">
        <f>IF($A192="","",'2.报价结算清单'!$K$183)</f>
        <v/>
      </c>
      <c r="S192" s="80" t="str">
        <f>IF($A192="","",'2.报价结算清单'!$E$183)</f>
        <v/>
      </c>
      <c r="T192" s="78" t="str">
        <f>IF(F192="","",VLOOKUP(F192,框架条目清单!A:K,7,FALSE))</f>
        <v/>
      </c>
      <c r="U192" s="78" t="str">
        <f>IF(F192="","",VLOOKUP(F192,框架条目清单!A:K,8,FALSE))</f>
        <v/>
      </c>
      <c r="V192" s="78" t="str">
        <f>IF(F192="","",VLOOKUP(F192,框架条目清单!A:K,9,FALSE))</f>
        <v/>
      </c>
    </row>
    <row r="193" spans="1:22">
      <c r="A193" s="78" t="str">
        <f>IF(AND('2.报价结算清单'!$P296&gt;0,'2.报价结算清单'!$B296&lt;&gt;0,'2.报价结算清单'!$F296&lt;&gt;0),'2.报价结算清单'!$F296,"")</f>
        <v/>
      </c>
      <c r="B193" s="78" t="str">
        <f>_xlfn.IFNA(VLOOKUP(A193,'3.框架内物料'!$A:$I,3,0),A193)</f>
        <v/>
      </c>
      <c r="C193" s="78" t="str">
        <f>IF(AND('2.报价结算清单'!$P296&gt;0,'2.报价结算清单'!$B296&lt;&gt;0,'2.报价结算清单'!C296&lt;&gt;0),'2.报价结算清单'!C296,"")</f>
        <v/>
      </c>
      <c r="D193" s="78" t="str">
        <f>IF(AND('2.报价结算清单'!$P296&gt;0,'2.报价结算清单'!$B296&lt;&gt;0,'2.报价结算清单'!D296&lt;&gt;0),'2.报价结算清单'!D296,"")</f>
        <v/>
      </c>
      <c r="E193" s="78" t="str">
        <f>IF(AND('2.报价结算清单'!$P296&gt;0,'2.报价结算清单'!$B296&lt;&gt;0,'2.报价结算清单'!E296&lt;&gt;0),'2.报价结算清单'!E296,"")</f>
        <v/>
      </c>
      <c r="F193" s="105" t="str">
        <f>_xlfn.IFNA(IF($A193="","",IF(VLOOKUP($A193,'3.框架内物料'!$A:$I,2,0)="","",VLOOKUP($A193,'3.框架内物料'!$A:$I,2,0))),"")</f>
        <v/>
      </c>
      <c r="G193" s="87" t="str">
        <f>IF(AND('2.报价结算清单'!$P296&gt;0,'2.报价结算清单'!$B296&lt;&gt;0,'2.报价结算清单'!H296&lt;&gt;0),'2.报价结算清单'!H296,"")</f>
        <v/>
      </c>
      <c r="H193" s="122" t="str">
        <f>IF(AND('2.报价结算清单'!$P296&gt;0,'2.报价结算清单'!$B296&lt;&gt;0,'2.报价结算清单'!$F296&lt;&gt;0),'2.报价结算清单'!J296,"")</f>
        <v/>
      </c>
      <c r="I193" s="105" t="str">
        <f>IF(AND('2.报价结算清单'!$P296&gt;0,'2.报价结算清单'!$B296&lt;&gt;0,'2.报价结算清单'!$F296&lt;&gt;0),'2.报价结算清单'!L296,"")</f>
        <v/>
      </c>
      <c r="J193" s="105" t="str">
        <f>IF(AND('2.报价结算清单'!$P296&gt;0,'2.报价结算清单'!$B296&lt;&gt;0,'2.报价结算清单'!I296&lt;&gt;0),'2.报价结算清单'!I296,"")</f>
        <v/>
      </c>
      <c r="K193" s="105" t="str">
        <f>IF(AND('2.报价结算清单'!$P296&gt;0,'2.报价结算清单'!$B296&lt;&gt;0,'2.报价结算清单'!$F296&lt;&gt;0),'2.报价结算清单'!N296,"")</f>
        <v/>
      </c>
      <c r="L193" s="105" t="str">
        <f>IF(AND('2.报价结算清单'!$P296&gt;0,'2.报价结算清单'!$B296&lt;&gt;0,'2.报价结算清单'!I296&lt;&gt;0),"天","")</f>
        <v/>
      </c>
      <c r="M193" s="80" t="str">
        <f t="shared" si="8"/>
        <v/>
      </c>
      <c r="N193" s="78" t="str">
        <f t="shared" si="9"/>
        <v/>
      </c>
      <c r="O193" s="78" t="str">
        <f>IF(AND('2.报价结算清单'!$P296&gt;0,'2.报价结算清单'!$B296&lt;&gt;0,'2.报价结算清单'!S296&lt;&gt;0),'2.报价结算清单'!S296,"")</f>
        <v/>
      </c>
      <c r="P193" s="78" t="str">
        <f>IF(AND('2.报价结算清单'!$P296&gt;0,'2.报价结算清单'!$B296&lt;&gt;0,'2.报价结算清单'!T296&lt;&gt;0),'2.报价结算清单'!T296,"")</f>
        <v/>
      </c>
      <c r="Q193" s="78" t="str">
        <f>IF(F193="",J193,VLOOKUP(F193,框架条目清单!A:K,4,FALSE))</f>
        <v/>
      </c>
      <c r="R193" s="106" t="str">
        <f>IF($A193="","",'2.报价结算清单'!$K$183)</f>
        <v/>
      </c>
      <c r="S193" s="80" t="str">
        <f>IF($A193="","",'2.报价结算清单'!$E$183)</f>
        <v/>
      </c>
      <c r="T193" s="78" t="str">
        <f>IF(F193="","",VLOOKUP(F193,框架条目清单!A:K,7,FALSE))</f>
        <v/>
      </c>
      <c r="U193" s="78" t="str">
        <f>IF(F193="","",VLOOKUP(F193,框架条目清单!A:K,8,FALSE))</f>
        <v/>
      </c>
      <c r="V193" s="78" t="str">
        <f>IF(F193="","",VLOOKUP(F193,框架条目清单!A:K,9,FALSE))</f>
        <v/>
      </c>
    </row>
    <row r="194" spans="1:22">
      <c r="A194" s="78" t="str">
        <f>IF(AND('2.报价结算清单'!$P297&gt;0,'2.报价结算清单'!$B297&lt;&gt;0,'2.报价结算清单'!$F297&lt;&gt;0),'2.报价结算清单'!$F297,"")</f>
        <v/>
      </c>
      <c r="B194" s="78" t="str">
        <f>_xlfn.IFNA(VLOOKUP(A194,'3.框架内物料'!$A:$I,3,0),A194)</f>
        <v/>
      </c>
      <c r="C194" s="78" t="str">
        <f>IF(AND('2.报价结算清单'!$P297&gt;0,'2.报价结算清单'!$B297&lt;&gt;0,'2.报价结算清单'!C297&lt;&gt;0),'2.报价结算清单'!C297,"")</f>
        <v/>
      </c>
      <c r="D194" s="78" t="str">
        <f>IF(AND('2.报价结算清单'!$P297&gt;0,'2.报价结算清单'!$B297&lt;&gt;0,'2.报价结算清单'!D297&lt;&gt;0),'2.报价结算清单'!D297,"")</f>
        <v/>
      </c>
      <c r="E194" s="78" t="str">
        <f>IF(AND('2.报价结算清单'!$P297&gt;0,'2.报价结算清单'!$B297&lt;&gt;0,'2.报价结算清单'!E297&lt;&gt;0),'2.报价结算清单'!E297,"")</f>
        <v/>
      </c>
      <c r="F194" s="105" t="str">
        <f>_xlfn.IFNA(IF($A194="","",IF(VLOOKUP($A194,'3.框架内物料'!$A:$I,2,0)="","",VLOOKUP($A194,'3.框架内物料'!$A:$I,2,0))),"")</f>
        <v/>
      </c>
      <c r="G194" s="87" t="str">
        <f>IF(AND('2.报价结算清单'!$P297&gt;0,'2.报价结算清单'!$B297&lt;&gt;0,'2.报价结算清单'!H297&lt;&gt;0),'2.报价结算清单'!H297,"")</f>
        <v/>
      </c>
      <c r="H194" s="122" t="str">
        <f>IF(AND('2.报价结算清单'!$P297&gt;0,'2.报价结算清单'!$B297&lt;&gt;0,'2.报价结算清单'!$F297&lt;&gt;0),'2.报价结算清单'!J297,"")</f>
        <v/>
      </c>
      <c r="I194" s="105" t="str">
        <f>IF(AND('2.报价结算清单'!$P297&gt;0,'2.报价结算清单'!$B297&lt;&gt;0,'2.报价结算清单'!$F297&lt;&gt;0),'2.报价结算清单'!L297,"")</f>
        <v/>
      </c>
      <c r="J194" s="105" t="str">
        <f>IF(AND('2.报价结算清单'!$P297&gt;0,'2.报价结算清单'!$B297&lt;&gt;0,'2.报价结算清单'!I297&lt;&gt;0),'2.报价结算清单'!I297,"")</f>
        <v/>
      </c>
      <c r="K194" s="105" t="str">
        <f>IF(AND('2.报价结算清单'!$P297&gt;0,'2.报价结算清单'!$B297&lt;&gt;0,'2.报价结算清单'!$F297&lt;&gt;0),'2.报价结算清单'!N297,"")</f>
        <v/>
      </c>
      <c r="L194" s="105" t="str">
        <f>IF(AND('2.报价结算清单'!$P297&gt;0,'2.报价结算清单'!$B297&lt;&gt;0,'2.报价结算清单'!I297&lt;&gt;0),"天","")</f>
        <v/>
      </c>
      <c r="M194" s="80" t="str">
        <f t="shared" si="8"/>
        <v/>
      </c>
      <c r="N194" s="78" t="str">
        <f t="shared" si="9"/>
        <v/>
      </c>
      <c r="O194" s="78" t="str">
        <f>IF(AND('2.报价结算清单'!$P297&gt;0,'2.报价结算清单'!$B297&lt;&gt;0,'2.报价结算清单'!S297&lt;&gt;0),'2.报价结算清单'!S297,"")</f>
        <v/>
      </c>
      <c r="P194" s="78" t="str">
        <f>IF(AND('2.报价结算清单'!$P297&gt;0,'2.报价结算清单'!$B297&lt;&gt;0,'2.报价结算清单'!T297&lt;&gt;0),'2.报价结算清单'!T297,"")</f>
        <v/>
      </c>
      <c r="Q194" s="78" t="str">
        <f>IF(F194="",J194,VLOOKUP(F194,框架条目清单!A:K,4,FALSE))</f>
        <v/>
      </c>
      <c r="R194" s="106" t="str">
        <f>IF($A194="","",'2.报价结算清单'!$K$183)</f>
        <v/>
      </c>
      <c r="S194" s="80" t="str">
        <f>IF($A194="","",'2.报价结算清单'!$E$183)</f>
        <v/>
      </c>
      <c r="T194" s="78" t="str">
        <f>IF(F194="","",VLOOKUP(F194,框架条目清单!A:K,7,FALSE))</f>
        <v/>
      </c>
      <c r="U194" s="78" t="str">
        <f>IF(F194="","",VLOOKUP(F194,框架条目清单!A:K,8,FALSE))</f>
        <v/>
      </c>
      <c r="V194" s="78" t="str">
        <f>IF(F194="","",VLOOKUP(F194,框架条目清单!A:K,9,FALSE))</f>
        <v/>
      </c>
    </row>
    <row r="195" spans="1:22">
      <c r="A195" s="78" t="str">
        <f>IF(AND('2.报价结算清单'!$P298&gt;0,'2.报价结算清单'!$B298&lt;&gt;0,'2.报价结算清单'!$F298&lt;&gt;0),'2.报价结算清单'!$F298,"")</f>
        <v/>
      </c>
      <c r="B195" s="78" t="str">
        <f>_xlfn.IFNA(VLOOKUP(A195,'3.框架内物料'!$A:$I,3,0),A195)</f>
        <v/>
      </c>
      <c r="C195" s="78" t="str">
        <f>IF(AND('2.报价结算清单'!$P298&gt;0,'2.报价结算清单'!$B298&lt;&gt;0,'2.报价结算清单'!C298&lt;&gt;0),'2.报价结算清单'!C298,"")</f>
        <v/>
      </c>
      <c r="D195" s="78" t="str">
        <f>IF(AND('2.报价结算清单'!$P298&gt;0,'2.报价结算清单'!$B298&lt;&gt;0,'2.报价结算清单'!D298&lt;&gt;0),'2.报价结算清单'!D298,"")</f>
        <v/>
      </c>
      <c r="E195" s="78" t="str">
        <f>IF(AND('2.报价结算清单'!$P298&gt;0,'2.报价结算清单'!$B298&lt;&gt;0,'2.报价结算清单'!E298&lt;&gt;0),'2.报价结算清单'!E298,"")</f>
        <v/>
      </c>
      <c r="F195" s="105" t="str">
        <f>_xlfn.IFNA(IF($A195="","",IF(VLOOKUP($A195,'3.框架内物料'!$A:$I,2,0)="","",VLOOKUP($A195,'3.框架内物料'!$A:$I,2,0))),"")</f>
        <v/>
      </c>
      <c r="G195" s="87" t="str">
        <f>IF(AND('2.报价结算清单'!$P298&gt;0,'2.报价结算清单'!$B298&lt;&gt;0,'2.报价结算清单'!H298&lt;&gt;0),'2.报价结算清单'!H298,"")</f>
        <v/>
      </c>
      <c r="H195" s="122" t="str">
        <f>IF(AND('2.报价结算清单'!$P298&gt;0,'2.报价结算清单'!$B298&lt;&gt;0,'2.报价结算清单'!$F298&lt;&gt;0),'2.报价结算清单'!J298,"")</f>
        <v/>
      </c>
      <c r="I195" s="105" t="str">
        <f>IF(AND('2.报价结算清单'!$P298&gt;0,'2.报价结算清单'!$B298&lt;&gt;0,'2.报价结算清单'!$F298&lt;&gt;0),'2.报价结算清单'!L298,"")</f>
        <v/>
      </c>
      <c r="J195" s="105" t="str">
        <f>IF(AND('2.报价结算清单'!$P298&gt;0,'2.报价结算清单'!$B298&lt;&gt;0,'2.报价结算清单'!I298&lt;&gt;0),'2.报价结算清单'!I298,"")</f>
        <v/>
      </c>
      <c r="K195" s="105" t="str">
        <f>IF(AND('2.报价结算清单'!$P298&gt;0,'2.报价结算清单'!$B298&lt;&gt;0,'2.报价结算清单'!$F298&lt;&gt;0),'2.报价结算清单'!N298,"")</f>
        <v/>
      </c>
      <c r="L195" s="105" t="str">
        <f>IF(AND('2.报价结算清单'!$P298&gt;0,'2.报价结算清单'!$B298&lt;&gt;0,'2.报价结算清单'!I298&lt;&gt;0),"天","")</f>
        <v/>
      </c>
      <c r="M195" s="80" t="str">
        <f t="shared" si="8"/>
        <v/>
      </c>
      <c r="N195" s="78" t="str">
        <f t="shared" si="9"/>
        <v/>
      </c>
      <c r="O195" s="78" t="str">
        <f>IF(AND('2.报价结算清单'!$P298&gt;0,'2.报价结算清单'!$B298&lt;&gt;0,'2.报价结算清单'!S298&lt;&gt;0),'2.报价结算清单'!S298,"")</f>
        <v/>
      </c>
      <c r="P195" s="78" t="str">
        <f>IF(AND('2.报价结算清单'!$P298&gt;0,'2.报价结算清单'!$B298&lt;&gt;0,'2.报价结算清单'!T298&lt;&gt;0),'2.报价结算清单'!T298,"")</f>
        <v/>
      </c>
      <c r="Q195" s="78" t="str">
        <f>IF(F195="",J195,VLOOKUP(F195,框架条目清单!A:K,4,FALSE))</f>
        <v/>
      </c>
      <c r="R195" s="106" t="str">
        <f>IF($A195="","",'2.报价结算清单'!$K$183)</f>
        <v/>
      </c>
      <c r="S195" s="80" t="str">
        <f>IF($A195="","",'2.报价结算清单'!$E$183)</f>
        <v/>
      </c>
      <c r="T195" s="78" t="str">
        <f>IF(F195="","",VLOOKUP(F195,框架条目清单!A:K,7,FALSE))</f>
        <v/>
      </c>
      <c r="U195" s="78" t="str">
        <f>IF(F195="","",VLOOKUP(F195,框架条目清单!A:K,8,FALSE))</f>
        <v/>
      </c>
      <c r="V195" s="78" t="str">
        <f>IF(F195="","",VLOOKUP(F195,框架条目清单!A:K,9,FALSE))</f>
        <v/>
      </c>
    </row>
    <row r="196" spans="1:22">
      <c r="A196" s="78" t="str">
        <f>IF(AND('2.报价结算清单'!$P299&gt;0,'2.报价结算清单'!$B299&lt;&gt;0,'2.报价结算清单'!$F299&lt;&gt;0),'2.报价结算清单'!$F299,"")</f>
        <v/>
      </c>
      <c r="B196" s="78" t="str">
        <f>_xlfn.IFNA(VLOOKUP(A196,'3.框架内物料'!$A:$I,3,0),A196)</f>
        <v/>
      </c>
      <c r="C196" s="78" t="str">
        <f>IF(AND('2.报价结算清单'!$P299&gt;0,'2.报价结算清单'!$B299&lt;&gt;0,'2.报价结算清单'!C299&lt;&gt;0),'2.报价结算清单'!C299,"")</f>
        <v/>
      </c>
      <c r="D196" s="78" t="str">
        <f>IF(AND('2.报价结算清单'!$P299&gt;0,'2.报价结算清单'!$B299&lt;&gt;0,'2.报价结算清单'!D299&lt;&gt;0),'2.报价结算清单'!D299,"")</f>
        <v/>
      </c>
      <c r="E196" s="78" t="str">
        <f>IF(AND('2.报价结算清单'!$P299&gt;0,'2.报价结算清单'!$B299&lt;&gt;0,'2.报价结算清单'!E299&lt;&gt;0),'2.报价结算清单'!E299,"")</f>
        <v/>
      </c>
      <c r="F196" s="105" t="str">
        <f>_xlfn.IFNA(IF($A196="","",IF(VLOOKUP($A196,'3.框架内物料'!$A:$I,2,0)="","",VLOOKUP($A196,'3.框架内物料'!$A:$I,2,0))),"")</f>
        <v/>
      </c>
      <c r="G196" s="87" t="str">
        <f>IF(AND('2.报价结算清单'!$P299&gt;0,'2.报价结算清单'!$B299&lt;&gt;0,'2.报价结算清单'!H299&lt;&gt;0),'2.报价结算清单'!H299,"")</f>
        <v/>
      </c>
      <c r="H196" s="122" t="str">
        <f>IF(AND('2.报价结算清单'!$P299&gt;0,'2.报价结算清单'!$B299&lt;&gt;0,'2.报价结算清单'!$F299&lt;&gt;0),'2.报价结算清单'!J299,"")</f>
        <v/>
      </c>
      <c r="I196" s="105" t="str">
        <f>IF(AND('2.报价结算清单'!$P299&gt;0,'2.报价结算清单'!$B299&lt;&gt;0,'2.报价结算清单'!$F299&lt;&gt;0),'2.报价结算清单'!L299,"")</f>
        <v/>
      </c>
      <c r="J196" s="105" t="str">
        <f>IF(AND('2.报价结算清单'!$P299&gt;0,'2.报价结算清单'!$B299&lt;&gt;0,'2.报价结算清单'!I299&lt;&gt;0),'2.报价结算清单'!I299,"")</f>
        <v/>
      </c>
      <c r="K196" s="105" t="str">
        <f>IF(AND('2.报价结算清单'!$P299&gt;0,'2.报价结算清单'!$B299&lt;&gt;0,'2.报价结算清单'!$F299&lt;&gt;0),'2.报价结算清单'!N299,"")</f>
        <v/>
      </c>
      <c r="L196" s="105" t="str">
        <f>IF(AND('2.报价结算清单'!$P299&gt;0,'2.报价结算清单'!$B299&lt;&gt;0,'2.报价结算清单'!I299&lt;&gt;0),"天","")</f>
        <v/>
      </c>
      <c r="M196" s="80" t="str">
        <f t="shared" si="8"/>
        <v/>
      </c>
      <c r="N196" s="78" t="str">
        <f t="shared" si="9"/>
        <v/>
      </c>
      <c r="O196" s="78" t="str">
        <f>IF(AND('2.报价结算清单'!$P299&gt;0,'2.报价结算清单'!$B299&lt;&gt;0,'2.报价结算清单'!S299&lt;&gt;0),'2.报价结算清单'!S299,"")</f>
        <v/>
      </c>
      <c r="P196" s="78" t="str">
        <f>IF(AND('2.报价结算清单'!$P299&gt;0,'2.报价结算清单'!$B299&lt;&gt;0,'2.报价结算清单'!T299&lt;&gt;0),'2.报价结算清单'!T299,"")</f>
        <v/>
      </c>
      <c r="Q196" s="78" t="str">
        <f>IF(F196="",J196,VLOOKUP(F196,框架条目清单!A:K,4,FALSE))</f>
        <v/>
      </c>
      <c r="R196" s="106" t="str">
        <f>IF($A196="","",'2.报价结算清单'!$K$183)</f>
        <v/>
      </c>
      <c r="S196" s="80" t="str">
        <f>IF($A196="","",'2.报价结算清单'!$E$183)</f>
        <v/>
      </c>
      <c r="T196" s="78" t="str">
        <f>IF(F196="","",VLOOKUP(F196,框架条目清单!A:K,7,FALSE))</f>
        <v/>
      </c>
      <c r="U196" s="78" t="str">
        <f>IF(F196="","",VLOOKUP(F196,框架条目清单!A:K,8,FALSE))</f>
        <v/>
      </c>
      <c r="V196" s="78" t="str">
        <f>IF(F196="","",VLOOKUP(F196,框架条目清单!A:K,9,FALSE))</f>
        <v/>
      </c>
    </row>
    <row r="197" spans="1:22">
      <c r="A197" s="78" t="str">
        <f>IF(AND('2.报价结算清单'!$P300&gt;0,'2.报价结算清单'!$B300&lt;&gt;0,'2.报价结算清单'!$F300&lt;&gt;0),'2.报价结算清单'!$F300,"")</f>
        <v/>
      </c>
      <c r="B197" s="78" t="str">
        <f>_xlfn.IFNA(VLOOKUP(A197,'3.框架内物料'!$A:$I,3,0),A197)</f>
        <v/>
      </c>
      <c r="C197" s="78" t="str">
        <f>IF(AND('2.报价结算清单'!$P300&gt;0,'2.报价结算清单'!$B300&lt;&gt;0,'2.报价结算清单'!C300&lt;&gt;0),'2.报价结算清单'!C300,"")</f>
        <v/>
      </c>
      <c r="D197" s="78" t="str">
        <f>IF(AND('2.报价结算清单'!$P300&gt;0,'2.报价结算清单'!$B300&lt;&gt;0,'2.报价结算清单'!D300&lt;&gt;0),'2.报价结算清单'!D300,"")</f>
        <v/>
      </c>
      <c r="E197" s="78" t="str">
        <f>IF(AND('2.报价结算清单'!$P300&gt;0,'2.报价结算清单'!$B300&lt;&gt;0,'2.报价结算清单'!E300&lt;&gt;0),'2.报价结算清单'!E300,"")</f>
        <v/>
      </c>
      <c r="F197" s="105" t="str">
        <f>_xlfn.IFNA(IF($A197="","",IF(VLOOKUP($A197,'3.框架内物料'!$A:$I,2,0)="","",VLOOKUP($A197,'3.框架内物料'!$A:$I,2,0))),"")</f>
        <v/>
      </c>
      <c r="G197" s="87" t="str">
        <f>IF(AND('2.报价结算清单'!$P300&gt;0,'2.报价结算清单'!$B300&lt;&gt;0,'2.报价结算清单'!H300&lt;&gt;0),'2.报价结算清单'!H300,"")</f>
        <v/>
      </c>
      <c r="H197" s="122" t="str">
        <f>IF(AND('2.报价结算清单'!$P300&gt;0,'2.报价结算清单'!$B300&lt;&gt;0,'2.报价结算清单'!$F300&lt;&gt;0),'2.报价结算清单'!J300,"")</f>
        <v/>
      </c>
      <c r="I197" s="105" t="str">
        <f>IF(AND('2.报价结算清单'!$P300&gt;0,'2.报价结算清单'!$B300&lt;&gt;0,'2.报价结算清单'!$F300&lt;&gt;0),'2.报价结算清单'!L300,"")</f>
        <v/>
      </c>
      <c r="J197" s="105" t="str">
        <f>IF(AND('2.报价结算清单'!$P300&gt;0,'2.报价结算清单'!$B300&lt;&gt;0,'2.报价结算清单'!I300&lt;&gt;0),'2.报价结算清单'!I300,"")</f>
        <v/>
      </c>
      <c r="K197" s="105" t="str">
        <f>IF(AND('2.报价结算清单'!$P300&gt;0,'2.报价结算清单'!$B300&lt;&gt;0,'2.报价结算清单'!$F300&lt;&gt;0),'2.报价结算清单'!N300,"")</f>
        <v/>
      </c>
      <c r="L197" s="105" t="str">
        <f>IF(AND('2.报价结算清单'!$P300&gt;0,'2.报价结算清单'!$B300&lt;&gt;0,'2.报价结算清单'!I300&lt;&gt;0),"天","")</f>
        <v/>
      </c>
      <c r="M197" s="80" t="str">
        <f t="shared" si="8"/>
        <v/>
      </c>
      <c r="N197" s="78" t="str">
        <f t="shared" si="9"/>
        <v/>
      </c>
      <c r="O197" s="78" t="str">
        <f>IF(AND('2.报价结算清单'!$P300&gt;0,'2.报价结算清单'!$B300&lt;&gt;0,'2.报价结算清单'!S300&lt;&gt;0),'2.报价结算清单'!S300,"")</f>
        <v/>
      </c>
      <c r="P197" s="78" t="str">
        <f>IF(AND('2.报价结算清单'!$P300&gt;0,'2.报价结算清单'!$B300&lt;&gt;0,'2.报价结算清单'!T300&lt;&gt;0),'2.报价结算清单'!T300,"")</f>
        <v/>
      </c>
      <c r="Q197" s="78" t="str">
        <f>IF(F197="",J197,VLOOKUP(F197,框架条目清单!A:K,4,FALSE))</f>
        <v/>
      </c>
      <c r="R197" s="106" t="str">
        <f>IF($A197="","",'2.报价结算清单'!$K$183)</f>
        <v/>
      </c>
      <c r="S197" s="80" t="str">
        <f>IF($A197="","",'2.报价结算清单'!$E$183)</f>
        <v/>
      </c>
      <c r="T197" s="78" t="str">
        <f>IF(F197="","",VLOOKUP(F197,框架条目清单!A:K,7,FALSE))</f>
        <v/>
      </c>
      <c r="U197" s="78" t="str">
        <f>IF(F197="","",VLOOKUP(F197,框架条目清单!A:K,8,FALSE))</f>
        <v/>
      </c>
      <c r="V197" s="78" t="str">
        <f>IF(F197="","",VLOOKUP(F197,框架条目清单!A:K,9,FALSE))</f>
        <v/>
      </c>
    </row>
    <row r="198" spans="1:22">
      <c r="A198" s="78" t="str">
        <f>IF(AND('2.报价结算清单'!$P301&gt;0,'2.报价结算清单'!$B301&lt;&gt;0,'2.报价结算清单'!$F301&lt;&gt;0),'2.报价结算清单'!$F301,"")</f>
        <v/>
      </c>
      <c r="B198" s="78" t="str">
        <f>_xlfn.IFNA(VLOOKUP(A198,'3.框架内物料'!$A:$I,3,0),A198)</f>
        <v/>
      </c>
      <c r="C198" s="78" t="str">
        <f>IF(AND('2.报价结算清单'!$P301&gt;0,'2.报价结算清单'!$B301&lt;&gt;0,'2.报价结算清单'!C301&lt;&gt;0),'2.报价结算清单'!C301,"")</f>
        <v/>
      </c>
      <c r="D198" s="78" t="str">
        <f>IF(AND('2.报价结算清单'!$P301&gt;0,'2.报价结算清单'!$B301&lt;&gt;0,'2.报价结算清单'!D301&lt;&gt;0),'2.报价结算清单'!D301,"")</f>
        <v/>
      </c>
      <c r="E198" s="78" t="str">
        <f>IF(AND('2.报价结算清单'!$P301&gt;0,'2.报价结算清单'!$B301&lt;&gt;0,'2.报价结算清单'!E301&lt;&gt;0),'2.报价结算清单'!E301,"")</f>
        <v/>
      </c>
      <c r="F198" s="105" t="str">
        <f>_xlfn.IFNA(IF($A198="","",IF(VLOOKUP($A198,'3.框架内物料'!$A:$I,2,0)="","",VLOOKUP($A198,'3.框架内物料'!$A:$I,2,0))),"")</f>
        <v/>
      </c>
      <c r="G198" s="87" t="str">
        <f>IF(AND('2.报价结算清单'!$P301&gt;0,'2.报价结算清单'!$B301&lt;&gt;0,'2.报价结算清单'!H301&lt;&gt;0),'2.报价结算清单'!H301,"")</f>
        <v/>
      </c>
      <c r="H198" s="122" t="str">
        <f>IF(AND('2.报价结算清单'!$P301&gt;0,'2.报价结算清单'!$B301&lt;&gt;0,'2.报价结算清单'!$F301&lt;&gt;0),'2.报价结算清单'!J301,"")</f>
        <v/>
      </c>
      <c r="I198" s="105" t="str">
        <f>IF(AND('2.报价结算清单'!$P301&gt;0,'2.报价结算清单'!$B301&lt;&gt;0,'2.报价结算清单'!$F301&lt;&gt;0),'2.报价结算清单'!L301,"")</f>
        <v/>
      </c>
      <c r="J198" s="105" t="str">
        <f>IF(AND('2.报价结算清单'!$P301&gt;0,'2.报价结算清单'!$B301&lt;&gt;0,'2.报价结算清单'!I301&lt;&gt;0),'2.报价结算清单'!I301,"")</f>
        <v/>
      </c>
      <c r="K198" s="105" t="str">
        <f>IF(AND('2.报价结算清单'!$P301&gt;0,'2.报价结算清单'!$B301&lt;&gt;0,'2.报价结算清单'!$F301&lt;&gt;0),'2.报价结算清单'!N301,"")</f>
        <v/>
      </c>
      <c r="L198" s="105" t="str">
        <f>IF(AND('2.报价结算清单'!$P301&gt;0,'2.报价结算清单'!$B301&lt;&gt;0,'2.报价结算清单'!I301&lt;&gt;0),"天","")</f>
        <v/>
      </c>
      <c r="M198" s="80" t="str">
        <f t="shared" si="8"/>
        <v/>
      </c>
      <c r="N198" s="78" t="str">
        <f t="shared" si="9"/>
        <v/>
      </c>
      <c r="O198" s="78" t="str">
        <f>IF(AND('2.报价结算清单'!$P301&gt;0,'2.报价结算清单'!$B301&lt;&gt;0,'2.报价结算清单'!S301&lt;&gt;0),'2.报价结算清单'!S301,"")</f>
        <v/>
      </c>
      <c r="P198" s="78" t="str">
        <f>IF(AND('2.报价结算清单'!$P301&gt;0,'2.报价结算清单'!$B301&lt;&gt;0,'2.报价结算清单'!T301&lt;&gt;0),'2.报价结算清单'!T301,"")</f>
        <v/>
      </c>
      <c r="Q198" s="78" t="str">
        <f>IF(F198="",J198,VLOOKUP(F198,框架条目清单!A:K,4,FALSE))</f>
        <v/>
      </c>
      <c r="R198" s="106" t="str">
        <f>IF($A198="","",'2.报价结算清单'!$K$183)</f>
        <v/>
      </c>
      <c r="S198" s="80" t="str">
        <f>IF($A198="","",'2.报价结算清单'!$E$183)</f>
        <v/>
      </c>
      <c r="T198" s="78" t="str">
        <f>IF(F198="","",VLOOKUP(F198,框架条目清单!A:K,7,FALSE))</f>
        <v/>
      </c>
      <c r="U198" s="78" t="str">
        <f>IF(F198="","",VLOOKUP(F198,框架条目清单!A:K,8,FALSE))</f>
        <v/>
      </c>
      <c r="V198" s="78" t="str">
        <f>IF(F198="","",VLOOKUP(F198,框架条目清单!A:K,9,FALSE))</f>
        <v/>
      </c>
    </row>
    <row r="199" spans="1:22">
      <c r="A199" s="78" t="str">
        <f>IF(AND('2.报价结算清单'!$P302&gt;0,'2.报价结算清单'!$B302&lt;&gt;0,'2.报价结算清单'!$F302&lt;&gt;0),'2.报价结算清单'!$F302,"")</f>
        <v/>
      </c>
      <c r="B199" s="78" t="str">
        <f>_xlfn.IFNA(VLOOKUP(A199,'3.框架内物料'!$A:$I,3,0),A199)</f>
        <v/>
      </c>
      <c r="C199" s="78" t="str">
        <f>IF(AND('2.报价结算清单'!$P302&gt;0,'2.报价结算清单'!$B302&lt;&gt;0,'2.报价结算清单'!C302&lt;&gt;0),'2.报价结算清单'!C302,"")</f>
        <v/>
      </c>
      <c r="D199" s="78" t="str">
        <f>IF(AND('2.报价结算清单'!$P302&gt;0,'2.报价结算清单'!$B302&lt;&gt;0,'2.报价结算清单'!D302&lt;&gt;0),'2.报价结算清单'!D302,"")</f>
        <v/>
      </c>
      <c r="E199" s="78" t="str">
        <f>IF(AND('2.报价结算清单'!$P302&gt;0,'2.报价结算清单'!$B302&lt;&gt;0,'2.报价结算清单'!E302&lt;&gt;0),'2.报价结算清单'!E302,"")</f>
        <v/>
      </c>
      <c r="F199" s="105" t="str">
        <f>_xlfn.IFNA(IF($A199="","",IF(VLOOKUP($A199,'3.框架内物料'!$A:$I,2,0)="","",VLOOKUP($A199,'3.框架内物料'!$A:$I,2,0))),"")</f>
        <v/>
      </c>
      <c r="G199" s="87" t="str">
        <f>IF(AND('2.报价结算清单'!$P302&gt;0,'2.报价结算清单'!$B302&lt;&gt;0,'2.报价结算清单'!H302&lt;&gt;0),'2.报价结算清单'!H302,"")</f>
        <v/>
      </c>
      <c r="H199" s="122" t="str">
        <f>IF(AND('2.报价结算清单'!$P302&gt;0,'2.报价结算清单'!$B302&lt;&gt;0,'2.报价结算清单'!$F302&lt;&gt;0),'2.报价结算清单'!J302,"")</f>
        <v/>
      </c>
      <c r="I199" s="105" t="str">
        <f>IF(AND('2.报价结算清单'!$P302&gt;0,'2.报价结算清单'!$B302&lt;&gt;0,'2.报价结算清单'!$F302&lt;&gt;0),'2.报价结算清单'!L302,"")</f>
        <v/>
      </c>
      <c r="J199" s="105" t="str">
        <f>IF(AND('2.报价结算清单'!$P302&gt;0,'2.报价结算清单'!$B302&lt;&gt;0,'2.报价结算清单'!I302&lt;&gt;0),'2.报价结算清单'!I302,"")</f>
        <v/>
      </c>
      <c r="K199" s="105" t="str">
        <f>IF(AND('2.报价结算清单'!$P302&gt;0,'2.报价结算清单'!$B302&lt;&gt;0,'2.报价结算清单'!$F302&lt;&gt;0),'2.报价结算清单'!N302,"")</f>
        <v/>
      </c>
      <c r="L199" s="105" t="str">
        <f>IF(AND('2.报价结算清单'!$P302&gt;0,'2.报价结算清单'!$B302&lt;&gt;0,'2.报价结算清单'!I302&lt;&gt;0),"天","")</f>
        <v/>
      </c>
      <c r="M199" s="80" t="str">
        <f t="shared" si="8"/>
        <v/>
      </c>
      <c r="N199" s="78" t="str">
        <f t="shared" si="9"/>
        <v/>
      </c>
      <c r="O199" s="78" t="str">
        <f>IF(AND('2.报价结算清单'!$P302&gt;0,'2.报价结算清单'!$B302&lt;&gt;0,'2.报价结算清单'!S302&lt;&gt;0),'2.报价结算清单'!S302,"")</f>
        <v/>
      </c>
      <c r="P199" s="78" t="str">
        <f>IF(AND('2.报价结算清单'!$P302&gt;0,'2.报价结算清单'!$B302&lt;&gt;0,'2.报价结算清单'!T302&lt;&gt;0),'2.报价结算清单'!T302,"")</f>
        <v/>
      </c>
      <c r="Q199" s="78" t="str">
        <f>IF(F199="",J199,VLOOKUP(F199,框架条目清单!A:K,4,FALSE))</f>
        <v/>
      </c>
      <c r="R199" s="106" t="str">
        <f>IF($A199="","",'2.报价结算清单'!$K$183)</f>
        <v/>
      </c>
      <c r="S199" s="80" t="str">
        <f>IF($A199="","",'2.报价结算清单'!$E$183)</f>
        <v/>
      </c>
      <c r="T199" s="78" t="str">
        <f>IF(F199="","",VLOOKUP(F199,框架条目清单!A:K,7,FALSE))</f>
        <v/>
      </c>
      <c r="U199" s="78" t="str">
        <f>IF(F199="","",VLOOKUP(F199,框架条目清单!A:K,8,FALSE))</f>
        <v/>
      </c>
      <c r="V199" s="78" t="str">
        <f>IF(F199="","",VLOOKUP(F199,框架条目清单!A:K,9,FALSE))</f>
        <v/>
      </c>
    </row>
    <row r="200" spans="1:22">
      <c r="A200" s="78" t="str">
        <f>IF(AND('2.报价结算清单'!$P303&gt;0,'2.报价结算清单'!$B303&lt;&gt;0,'2.报价结算清单'!$F303&lt;&gt;0),'2.报价结算清单'!$F303,"")</f>
        <v/>
      </c>
      <c r="B200" s="78" t="str">
        <f>_xlfn.IFNA(VLOOKUP(A200,'3.框架内物料'!$A:$I,3,0),A200)</f>
        <v/>
      </c>
      <c r="C200" s="78" t="str">
        <f>IF(AND('2.报价结算清单'!$P303&gt;0,'2.报价结算清单'!$B303&lt;&gt;0,'2.报价结算清单'!C303&lt;&gt;0),'2.报价结算清单'!C303,"")</f>
        <v/>
      </c>
      <c r="D200" s="78" t="str">
        <f>IF(AND('2.报价结算清单'!$P303&gt;0,'2.报价结算清单'!$B303&lt;&gt;0,'2.报价结算清单'!D303&lt;&gt;0),'2.报价结算清单'!D303,"")</f>
        <v/>
      </c>
      <c r="E200" s="78" t="str">
        <f>IF(AND('2.报价结算清单'!$P303&gt;0,'2.报价结算清单'!$B303&lt;&gt;0,'2.报价结算清单'!E303&lt;&gt;0),'2.报价结算清单'!E303,"")</f>
        <v/>
      </c>
      <c r="F200" s="105" t="str">
        <f>_xlfn.IFNA(IF($A200="","",IF(VLOOKUP($A200,'3.框架内物料'!$A:$I,2,0)="","",VLOOKUP($A200,'3.框架内物料'!$A:$I,2,0))),"")</f>
        <v/>
      </c>
      <c r="G200" s="87" t="str">
        <f>IF(AND('2.报价结算清单'!$P303&gt;0,'2.报价结算清单'!$B303&lt;&gt;0,'2.报价结算清单'!H303&lt;&gt;0),'2.报价结算清单'!H303,"")</f>
        <v/>
      </c>
      <c r="H200" s="122" t="str">
        <f>IF(AND('2.报价结算清单'!$P303&gt;0,'2.报价结算清单'!$B303&lt;&gt;0,'2.报价结算清单'!$F303&lt;&gt;0),'2.报价结算清单'!J303,"")</f>
        <v/>
      </c>
      <c r="I200" s="105" t="str">
        <f>IF(AND('2.报价结算清单'!$P303&gt;0,'2.报价结算清单'!$B303&lt;&gt;0,'2.报价结算清单'!$F303&lt;&gt;0),'2.报价结算清单'!L303,"")</f>
        <v/>
      </c>
      <c r="J200" s="105" t="str">
        <f>IF(AND('2.报价结算清单'!$P303&gt;0,'2.报价结算清单'!$B303&lt;&gt;0,'2.报价结算清单'!I303&lt;&gt;0),'2.报价结算清单'!I303,"")</f>
        <v/>
      </c>
      <c r="K200" s="105" t="str">
        <f>IF(AND('2.报价结算清单'!$P303&gt;0,'2.报价结算清单'!$B303&lt;&gt;0,'2.报价结算清单'!$F303&lt;&gt;0),'2.报价结算清单'!N303,"")</f>
        <v/>
      </c>
      <c r="L200" s="105" t="str">
        <f>IF(AND('2.报价结算清单'!$P303&gt;0,'2.报价结算清单'!$B303&lt;&gt;0,'2.报价结算清单'!I303&lt;&gt;0),"天","")</f>
        <v/>
      </c>
      <c r="M200" s="80" t="str">
        <f t="shared" ref="M200:M263" si="10">IF(A200="框架外物料","框架外",IF(A200="据实结算","据实结算",IF(A200="","","框架内")))</f>
        <v/>
      </c>
      <c r="N200" s="78" t="str">
        <f t="shared" ref="N200:N263" si="11">IFERROR(IF(H200*I200*K200=0,"",H200*I200*K200),"")</f>
        <v/>
      </c>
      <c r="O200" s="78" t="str">
        <f>IF(AND('2.报价结算清单'!$P303&gt;0,'2.报价结算清单'!$B303&lt;&gt;0,'2.报价结算清单'!S303&lt;&gt;0),'2.报价结算清单'!S303,"")</f>
        <v/>
      </c>
      <c r="P200" s="78" t="str">
        <f>IF(AND('2.报价结算清单'!$P303&gt;0,'2.报价结算清单'!$B303&lt;&gt;0,'2.报价结算清单'!T303&lt;&gt;0),'2.报价结算清单'!T303,"")</f>
        <v/>
      </c>
      <c r="Q200" s="78" t="str">
        <f>IF(F200="",J200,VLOOKUP(F200,框架条目清单!A:K,4,FALSE))</f>
        <v/>
      </c>
      <c r="R200" s="106" t="str">
        <f>IF($A200="","",'2.报价结算清单'!$K$183)</f>
        <v/>
      </c>
      <c r="S200" s="80" t="str">
        <f>IF($A200="","",'2.报价结算清单'!$E$183)</f>
        <v/>
      </c>
      <c r="T200" s="78" t="str">
        <f>IF(F200="","",VLOOKUP(F200,框架条目清单!A:K,7,FALSE))</f>
        <v/>
      </c>
      <c r="U200" s="78" t="str">
        <f>IF(F200="","",VLOOKUP(F200,框架条目清单!A:K,8,FALSE))</f>
        <v/>
      </c>
      <c r="V200" s="78" t="str">
        <f>IF(F200="","",VLOOKUP(F200,框架条目清单!A:K,9,FALSE))</f>
        <v/>
      </c>
    </row>
    <row r="201" spans="1:22">
      <c r="A201" s="78" t="str">
        <f>IF(AND('2.报价结算清单'!$P304&gt;0,'2.报价结算清单'!$B304&lt;&gt;0,'2.报价结算清单'!$F304&lt;&gt;0),'2.报价结算清单'!$F304,"")</f>
        <v/>
      </c>
      <c r="B201" s="78" t="str">
        <f>_xlfn.IFNA(VLOOKUP(A201,'3.框架内物料'!$A:$I,3,0),A201)</f>
        <v/>
      </c>
      <c r="C201" s="78" t="str">
        <f>IF(AND('2.报价结算清单'!$P304&gt;0,'2.报价结算清单'!$B304&lt;&gt;0,'2.报价结算清单'!C304&lt;&gt;0),'2.报价结算清单'!C304,"")</f>
        <v/>
      </c>
      <c r="D201" s="78" t="str">
        <f>IF(AND('2.报价结算清单'!$P304&gt;0,'2.报价结算清单'!$B304&lt;&gt;0,'2.报价结算清单'!D304&lt;&gt;0),'2.报价结算清单'!D304,"")</f>
        <v/>
      </c>
      <c r="E201" s="78" t="str">
        <f>IF(AND('2.报价结算清单'!$P304&gt;0,'2.报价结算清单'!$B304&lt;&gt;0,'2.报价结算清单'!E304&lt;&gt;0),'2.报价结算清单'!E304,"")</f>
        <v/>
      </c>
      <c r="F201" s="105" t="str">
        <f>_xlfn.IFNA(IF($A201="","",IF(VLOOKUP($A201,'3.框架内物料'!$A:$I,2,0)="","",VLOOKUP($A201,'3.框架内物料'!$A:$I,2,0))),"")</f>
        <v/>
      </c>
      <c r="G201" s="87" t="str">
        <f>IF(AND('2.报价结算清单'!$P304&gt;0,'2.报价结算清单'!$B304&lt;&gt;0,'2.报价结算清单'!H304&lt;&gt;0),'2.报价结算清单'!H304,"")</f>
        <v/>
      </c>
      <c r="H201" s="122" t="str">
        <f>IF(AND('2.报价结算清单'!$P304&gt;0,'2.报价结算清单'!$B304&lt;&gt;0,'2.报价结算清单'!$F304&lt;&gt;0),'2.报价结算清单'!J304,"")</f>
        <v/>
      </c>
      <c r="I201" s="105" t="str">
        <f>IF(AND('2.报价结算清单'!$P304&gt;0,'2.报价结算清单'!$B304&lt;&gt;0,'2.报价结算清单'!$F304&lt;&gt;0),'2.报价结算清单'!L304,"")</f>
        <v/>
      </c>
      <c r="J201" s="105" t="str">
        <f>IF(AND('2.报价结算清单'!$P304&gt;0,'2.报价结算清单'!$B304&lt;&gt;0,'2.报价结算清单'!I304&lt;&gt;0),'2.报价结算清单'!I304,"")</f>
        <v/>
      </c>
      <c r="K201" s="105" t="str">
        <f>IF(AND('2.报价结算清单'!$P304&gt;0,'2.报价结算清单'!$B304&lt;&gt;0,'2.报价结算清单'!$F304&lt;&gt;0),'2.报价结算清单'!N304,"")</f>
        <v/>
      </c>
      <c r="L201" s="105" t="str">
        <f>IF(AND('2.报价结算清单'!$P304&gt;0,'2.报价结算清单'!$B304&lt;&gt;0,'2.报价结算清单'!I304&lt;&gt;0),"天","")</f>
        <v/>
      </c>
      <c r="M201" s="80" t="str">
        <f t="shared" si="10"/>
        <v/>
      </c>
      <c r="N201" s="78" t="str">
        <f t="shared" si="11"/>
        <v/>
      </c>
      <c r="O201" s="78" t="str">
        <f>IF(AND('2.报价结算清单'!$P304&gt;0,'2.报价结算清单'!$B304&lt;&gt;0,'2.报价结算清单'!S304&lt;&gt;0),'2.报价结算清单'!S304,"")</f>
        <v/>
      </c>
      <c r="P201" s="78" t="str">
        <f>IF(AND('2.报价结算清单'!$P304&gt;0,'2.报价结算清单'!$B304&lt;&gt;0,'2.报价结算清单'!T304&lt;&gt;0),'2.报价结算清单'!T304,"")</f>
        <v/>
      </c>
      <c r="Q201" s="78" t="str">
        <f>IF(F201="",J201,VLOOKUP(F201,框架条目清单!A:K,4,FALSE))</f>
        <v/>
      </c>
      <c r="R201" s="106" t="str">
        <f>IF($A201="","",'2.报价结算清单'!$K$183)</f>
        <v/>
      </c>
      <c r="S201" s="80" t="str">
        <f>IF($A201="","",'2.报价结算清单'!$E$183)</f>
        <v/>
      </c>
      <c r="T201" s="78" t="str">
        <f>IF(F201="","",VLOOKUP(F201,框架条目清单!A:K,7,FALSE))</f>
        <v/>
      </c>
      <c r="U201" s="78" t="str">
        <f>IF(F201="","",VLOOKUP(F201,框架条目清单!A:K,8,FALSE))</f>
        <v/>
      </c>
      <c r="V201" s="78" t="str">
        <f>IF(F201="","",VLOOKUP(F201,框架条目清单!A:K,9,FALSE))</f>
        <v/>
      </c>
    </row>
    <row r="202" spans="1:22">
      <c r="A202" s="78" t="str">
        <f>IF(AND('2.报价结算清单'!$P305&gt;0,'2.报价结算清单'!$B305&lt;&gt;0,'2.报价结算清单'!$F305&lt;&gt;0),'2.报价结算清单'!$F305,"")</f>
        <v/>
      </c>
      <c r="B202" s="78" t="str">
        <f>_xlfn.IFNA(VLOOKUP(A202,'3.框架内物料'!$A:$I,3,0),A202)</f>
        <v/>
      </c>
      <c r="C202" s="78" t="str">
        <f>IF(AND('2.报价结算清单'!$P305&gt;0,'2.报价结算清单'!$B305&lt;&gt;0,'2.报价结算清单'!C305&lt;&gt;0),'2.报价结算清单'!C305,"")</f>
        <v/>
      </c>
      <c r="D202" s="78" t="str">
        <f>IF(AND('2.报价结算清单'!$P305&gt;0,'2.报价结算清单'!$B305&lt;&gt;0,'2.报价结算清单'!D305&lt;&gt;0),'2.报价结算清单'!D305,"")</f>
        <v/>
      </c>
      <c r="E202" s="78" t="str">
        <f>IF(AND('2.报价结算清单'!$P305&gt;0,'2.报价结算清单'!$B305&lt;&gt;0,'2.报价结算清单'!E305&lt;&gt;0),'2.报价结算清单'!E305,"")</f>
        <v/>
      </c>
      <c r="F202" s="105" t="str">
        <f>_xlfn.IFNA(IF($A202="","",IF(VLOOKUP($A202,'3.框架内物料'!$A:$I,2,0)="","",VLOOKUP($A202,'3.框架内物料'!$A:$I,2,0))),"")</f>
        <v/>
      </c>
      <c r="G202" s="87" t="str">
        <f>IF(AND('2.报价结算清单'!$P305&gt;0,'2.报价结算清单'!$B305&lt;&gt;0,'2.报价结算清单'!H305&lt;&gt;0),'2.报价结算清单'!H305,"")</f>
        <v/>
      </c>
      <c r="H202" s="122" t="str">
        <f>IF(AND('2.报价结算清单'!$P305&gt;0,'2.报价结算清单'!$B305&lt;&gt;0,'2.报价结算清单'!$F305&lt;&gt;0),'2.报价结算清单'!J305,"")</f>
        <v/>
      </c>
      <c r="I202" s="105" t="str">
        <f>IF(AND('2.报价结算清单'!$P305&gt;0,'2.报价结算清单'!$B305&lt;&gt;0,'2.报价结算清单'!$F305&lt;&gt;0),'2.报价结算清单'!L305,"")</f>
        <v/>
      </c>
      <c r="J202" s="105" t="str">
        <f>IF(AND('2.报价结算清单'!$P305&gt;0,'2.报价结算清单'!$B305&lt;&gt;0,'2.报价结算清单'!I305&lt;&gt;0),'2.报价结算清单'!I305,"")</f>
        <v/>
      </c>
      <c r="K202" s="105" t="str">
        <f>IF(AND('2.报价结算清单'!$P305&gt;0,'2.报价结算清单'!$B305&lt;&gt;0,'2.报价结算清单'!$F305&lt;&gt;0),'2.报价结算清单'!N305,"")</f>
        <v/>
      </c>
      <c r="L202" s="105" t="str">
        <f>IF(AND('2.报价结算清单'!$P305&gt;0,'2.报价结算清单'!$B305&lt;&gt;0,'2.报价结算清单'!I305&lt;&gt;0),"天","")</f>
        <v/>
      </c>
      <c r="M202" s="80" t="str">
        <f t="shared" si="10"/>
        <v/>
      </c>
      <c r="N202" s="78" t="str">
        <f t="shared" si="11"/>
        <v/>
      </c>
      <c r="O202" s="78" t="str">
        <f>IF(AND('2.报价结算清单'!$P305&gt;0,'2.报价结算清单'!$B305&lt;&gt;0,'2.报价结算清单'!S305&lt;&gt;0),'2.报价结算清单'!S305,"")</f>
        <v/>
      </c>
      <c r="P202" s="78" t="str">
        <f>IF(AND('2.报价结算清单'!$P305&gt;0,'2.报价结算清单'!$B305&lt;&gt;0,'2.报价结算清单'!T305&lt;&gt;0),'2.报价结算清单'!T305,"")</f>
        <v/>
      </c>
      <c r="Q202" s="78" t="str">
        <f>IF(F202="",J202,VLOOKUP(F202,框架条目清单!A:K,4,FALSE))</f>
        <v/>
      </c>
      <c r="R202" s="106" t="str">
        <f>IF($A202="","",'2.报价结算清单'!$K$183)</f>
        <v/>
      </c>
      <c r="S202" s="80" t="str">
        <f>IF($A202="","",'2.报价结算清单'!$E$183)</f>
        <v/>
      </c>
      <c r="T202" s="78" t="str">
        <f>IF(F202="","",VLOOKUP(F202,框架条目清单!A:K,7,FALSE))</f>
        <v/>
      </c>
      <c r="U202" s="78" t="str">
        <f>IF(F202="","",VLOOKUP(F202,框架条目清单!A:K,8,FALSE))</f>
        <v/>
      </c>
      <c r="V202" s="78" t="str">
        <f>IF(F202="","",VLOOKUP(F202,框架条目清单!A:K,9,FALSE))</f>
        <v/>
      </c>
    </row>
    <row r="203" spans="1:22">
      <c r="A203" s="78" t="str">
        <f>IF(AND('2.报价结算清单'!$P306&gt;0,'2.报价结算清单'!$B306&lt;&gt;0,'2.报价结算清单'!$F306&lt;&gt;0),'2.报价结算清单'!$F306,"")</f>
        <v/>
      </c>
      <c r="B203" s="78" t="str">
        <f>_xlfn.IFNA(VLOOKUP(A203,'3.框架内物料'!$A:$I,3,0),A203)</f>
        <v/>
      </c>
      <c r="C203" s="78" t="str">
        <f>IF(AND('2.报价结算清单'!$P306&gt;0,'2.报价结算清单'!$B306&lt;&gt;0,'2.报价结算清单'!C306&lt;&gt;0),'2.报价结算清单'!C306,"")</f>
        <v/>
      </c>
      <c r="D203" s="78" t="str">
        <f>IF(AND('2.报价结算清单'!$P306&gt;0,'2.报价结算清单'!$B306&lt;&gt;0,'2.报价结算清单'!D306&lt;&gt;0),'2.报价结算清单'!D306,"")</f>
        <v/>
      </c>
      <c r="E203" s="78" t="str">
        <f>IF(AND('2.报价结算清单'!$P306&gt;0,'2.报价结算清单'!$B306&lt;&gt;0,'2.报价结算清单'!E306&lt;&gt;0),'2.报价结算清单'!E306,"")</f>
        <v/>
      </c>
      <c r="F203" s="105" t="str">
        <f>_xlfn.IFNA(IF($A203="","",IF(VLOOKUP($A203,'3.框架内物料'!$A:$I,2,0)="","",VLOOKUP($A203,'3.框架内物料'!$A:$I,2,0))),"")</f>
        <v/>
      </c>
      <c r="G203" s="87" t="str">
        <f>IF(AND('2.报价结算清单'!$P306&gt;0,'2.报价结算清单'!$B306&lt;&gt;0,'2.报价结算清单'!H306&lt;&gt;0),'2.报价结算清单'!H306,"")</f>
        <v/>
      </c>
      <c r="H203" s="122" t="str">
        <f>IF(AND('2.报价结算清单'!$P306&gt;0,'2.报价结算清单'!$B306&lt;&gt;0,'2.报价结算清单'!$F306&lt;&gt;0),'2.报价结算清单'!J306,"")</f>
        <v/>
      </c>
      <c r="I203" s="105" t="str">
        <f>IF(AND('2.报价结算清单'!$P306&gt;0,'2.报价结算清单'!$B306&lt;&gt;0,'2.报价结算清单'!$F306&lt;&gt;0),'2.报价结算清单'!L306,"")</f>
        <v/>
      </c>
      <c r="J203" s="105" t="str">
        <f>IF(AND('2.报价结算清单'!$P306&gt;0,'2.报价结算清单'!$B306&lt;&gt;0,'2.报价结算清单'!I306&lt;&gt;0),'2.报价结算清单'!I306,"")</f>
        <v/>
      </c>
      <c r="K203" s="105" t="str">
        <f>IF(AND('2.报价结算清单'!$P306&gt;0,'2.报价结算清单'!$B306&lt;&gt;0,'2.报价结算清单'!$F306&lt;&gt;0),'2.报价结算清单'!N306,"")</f>
        <v/>
      </c>
      <c r="L203" s="105" t="str">
        <f>IF(AND('2.报价结算清单'!$P306&gt;0,'2.报价结算清单'!$B306&lt;&gt;0,'2.报价结算清单'!I306&lt;&gt;0),"天","")</f>
        <v/>
      </c>
      <c r="M203" s="80" t="str">
        <f t="shared" si="10"/>
        <v/>
      </c>
      <c r="N203" s="78" t="str">
        <f t="shared" si="11"/>
        <v/>
      </c>
      <c r="O203" s="78" t="str">
        <f>IF(AND('2.报价结算清单'!$P306&gt;0,'2.报价结算清单'!$B306&lt;&gt;0,'2.报价结算清单'!S306&lt;&gt;0),'2.报价结算清单'!S306,"")</f>
        <v/>
      </c>
      <c r="P203" s="78" t="str">
        <f>IF(AND('2.报价结算清单'!$P306&gt;0,'2.报价结算清单'!$B306&lt;&gt;0,'2.报价结算清单'!T306&lt;&gt;0),'2.报价结算清单'!T306,"")</f>
        <v/>
      </c>
      <c r="Q203" s="78" t="str">
        <f>IF(F203="",J203,VLOOKUP(F203,框架条目清单!A:K,4,FALSE))</f>
        <v/>
      </c>
      <c r="R203" s="106" t="str">
        <f>IF($A203="","",'2.报价结算清单'!$K$183)</f>
        <v/>
      </c>
      <c r="S203" s="80" t="str">
        <f>IF($A203="","",'2.报价结算清单'!$E$183)</f>
        <v/>
      </c>
      <c r="T203" s="78" t="str">
        <f>IF(F203="","",VLOOKUP(F203,框架条目清单!A:K,7,FALSE))</f>
        <v/>
      </c>
      <c r="U203" s="78" t="str">
        <f>IF(F203="","",VLOOKUP(F203,框架条目清单!A:K,8,FALSE))</f>
        <v/>
      </c>
      <c r="V203" s="78" t="str">
        <f>IF(F203="","",VLOOKUP(F203,框架条目清单!A:K,9,FALSE))</f>
        <v/>
      </c>
    </row>
    <row r="204" spans="1:22">
      <c r="A204" s="78" t="str">
        <f>IF(AND('2.报价结算清单'!$P307&gt;0,'2.报价结算清单'!$B307&lt;&gt;0,'2.报价结算清单'!$F307&lt;&gt;0),'2.报价结算清单'!$F307,"")</f>
        <v/>
      </c>
      <c r="B204" s="78" t="str">
        <f>_xlfn.IFNA(VLOOKUP(A204,'3.框架内物料'!$A:$I,3,0),A204)</f>
        <v/>
      </c>
      <c r="C204" s="78" t="str">
        <f>IF(AND('2.报价结算清单'!$P307&gt;0,'2.报价结算清单'!$B307&lt;&gt;0,'2.报价结算清单'!C307&lt;&gt;0),'2.报价结算清单'!C307,"")</f>
        <v/>
      </c>
      <c r="D204" s="78" t="str">
        <f>IF(AND('2.报价结算清单'!$P307&gt;0,'2.报价结算清单'!$B307&lt;&gt;0,'2.报价结算清单'!D307&lt;&gt;0),'2.报价结算清单'!D307,"")</f>
        <v/>
      </c>
      <c r="E204" s="78" t="str">
        <f>IF(AND('2.报价结算清单'!$P307&gt;0,'2.报价结算清单'!$B307&lt;&gt;0,'2.报价结算清单'!E307&lt;&gt;0),'2.报价结算清单'!E307,"")</f>
        <v/>
      </c>
      <c r="F204" s="105" t="str">
        <f>_xlfn.IFNA(IF($A204="","",IF(VLOOKUP($A204,'3.框架内物料'!$A:$I,2,0)="","",VLOOKUP($A204,'3.框架内物料'!$A:$I,2,0))),"")</f>
        <v/>
      </c>
      <c r="G204" s="87" t="str">
        <f>IF(AND('2.报价结算清单'!$P307&gt;0,'2.报价结算清单'!$B307&lt;&gt;0,'2.报价结算清单'!H307&lt;&gt;0),'2.报价结算清单'!H307,"")</f>
        <v/>
      </c>
      <c r="H204" s="122" t="str">
        <f>IF(AND('2.报价结算清单'!$P307&gt;0,'2.报价结算清单'!$B307&lt;&gt;0,'2.报价结算清单'!$F307&lt;&gt;0),'2.报价结算清单'!J307,"")</f>
        <v/>
      </c>
      <c r="I204" s="105" t="str">
        <f>IF(AND('2.报价结算清单'!$P307&gt;0,'2.报价结算清单'!$B307&lt;&gt;0,'2.报价结算清单'!$F307&lt;&gt;0),'2.报价结算清单'!L307,"")</f>
        <v/>
      </c>
      <c r="J204" s="105" t="str">
        <f>IF(AND('2.报价结算清单'!$P307&gt;0,'2.报价结算清单'!$B307&lt;&gt;0,'2.报价结算清单'!I307&lt;&gt;0),'2.报价结算清单'!I307,"")</f>
        <v/>
      </c>
      <c r="K204" s="105" t="str">
        <f>IF(AND('2.报价结算清单'!$P307&gt;0,'2.报价结算清单'!$B307&lt;&gt;0,'2.报价结算清单'!$F307&lt;&gt;0),'2.报价结算清单'!N307,"")</f>
        <v/>
      </c>
      <c r="L204" s="105" t="str">
        <f>IF(AND('2.报价结算清单'!$P307&gt;0,'2.报价结算清单'!$B307&lt;&gt;0,'2.报价结算清单'!I307&lt;&gt;0),"天","")</f>
        <v/>
      </c>
      <c r="M204" s="80" t="str">
        <f t="shared" si="10"/>
        <v/>
      </c>
      <c r="N204" s="78" t="str">
        <f t="shared" si="11"/>
        <v/>
      </c>
      <c r="O204" s="78" t="str">
        <f>IF(AND('2.报价结算清单'!$P307&gt;0,'2.报价结算清单'!$B307&lt;&gt;0,'2.报价结算清单'!S307&lt;&gt;0),'2.报价结算清单'!S307,"")</f>
        <v/>
      </c>
      <c r="P204" s="78" t="str">
        <f>IF(AND('2.报价结算清单'!$P307&gt;0,'2.报价结算清单'!$B307&lt;&gt;0,'2.报价结算清单'!T307&lt;&gt;0),'2.报价结算清单'!T307,"")</f>
        <v/>
      </c>
      <c r="Q204" s="78" t="str">
        <f>IF(F204="",J204,VLOOKUP(F204,框架条目清单!A:K,4,FALSE))</f>
        <v/>
      </c>
      <c r="R204" s="106" t="str">
        <f>IF($A204="","",'2.报价结算清单'!$K$183)</f>
        <v/>
      </c>
      <c r="S204" s="80" t="str">
        <f>IF($A204="","",'2.报价结算清单'!$E$183)</f>
        <v/>
      </c>
      <c r="T204" s="78" t="str">
        <f>IF(F204="","",VLOOKUP(F204,框架条目清单!A:K,7,FALSE))</f>
        <v/>
      </c>
      <c r="U204" s="78" t="str">
        <f>IF(F204="","",VLOOKUP(F204,框架条目清单!A:K,8,FALSE))</f>
        <v/>
      </c>
      <c r="V204" s="78" t="str">
        <f>IF(F204="","",VLOOKUP(F204,框架条目清单!A:K,9,FALSE))</f>
        <v/>
      </c>
    </row>
    <row r="205" spans="1:22">
      <c r="A205" s="78" t="str">
        <f>IF(AND('2.报价结算清单'!$P308&gt;0,'2.报价结算清单'!$B308&lt;&gt;0,'2.报价结算清单'!$F308&lt;&gt;0),'2.报价结算清单'!$F308,"")</f>
        <v/>
      </c>
      <c r="B205" s="78" t="str">
        <f>_xlfn.IFNA(VLOOKUP(A205,'3.框架内物料'!$A:$I,3,0),A205)</f>
        <v/>
      </c>
      <c r="C205" s="78" t="str">
        <f>IF(AND('2.报价结算清单'!$P308&gt;0,'2.报价结算清单'!$B308&lt;&gt;0,'2.报价结算清单'!C308&lt;&gt;0),'2.报价结算清单'!C308,"")</f>
        <v/>
      </c>
      <c r="D205" s="78" t="str">
        <f>IF(AND('2.报价结算清单'!$P308&gt;0,'2.报价结算清单'!$B308&lt;&gt;0,'2.报价结算清单'!D308&lt;&gt;0),'2.报价结算清单'!D308,"")</f>
        <v/>
      </c>
      <c r="E205" s="78" t="str">
        <f>IF(AND('2.报价结算清单'!$P308&gt;0,'2.报价结算清单'!$B308&lt;&gt;0,'2.报价结算清单'!E308&lt;&gt;0),'2.报价结算清单'!E308,"")</f>
        <v/>
      </c>
      <c r="F205" s="105" t="str">
        <f>_xlfn.IFNA(IF($A205="","",IF(VLOOKUP($A205,'3.框架内物料'!$A:$I,2,0)="","",VLOOKUP($A205,'3.框架内物料'!$A:$I,2,0))),"")</f>
        <v/>
      </c>
      <c r="G205" s="87" t="str">
        <f>IF(AND('2.报价结算清单'!$P308&gt;0,'2.报价结算清单'!$B308&lt;&gt;0,'2.报价结算清单'!H308&lt;&gt;0),'2.报价结算清单'!H308,"")</f>
        <v/>
      </c>
      <c r="H205" s="122" t="str">
        <f>IF(AND('2.报价结算清单'!$P308&gt;0,'2.报价结算清单'!$B308&lt;&gt;0,'2.报价结算清单'!$F308&lt;&gt;0),'2.报价结算清单'!J308,"")</f>
        <v/>
      </c>
      <c r="I205" s="105" t="str">
        <f>IF(AND('2.报价结算清单'!$P308&gt;0,'2.报价结算清单'!$B308&lt;&gt;0,'2.报价结算清单'!$F308&lt;&gt;0),'2.报价结算清单'!L308,"")</f>
        <v/>
      </c>
      <c r="J205" s="105" t="str">
        <f>IF(AND('2.报价结算清单'!$P308&gt;0,'2.报价结算清单'!$B308&lt;&gt;0,'2.报价结算清单'!I308&lt;&gt;0),'2.报价结算清单'!I308,"")</f>
        <v/>
      </c>
      <c r="K205" s="105" t="str">
        <f>IF(AND('2.报价结算清单'!$P308&gt;0,'2.报价结算清单'!$B308&lt;&gt;0,'2.报价结算清单'!$F308&lt;&gt;0),'2.报价结算清单'!N308,"")</f>
        <v/>
      </c>
      <c r="L205" s="105" t="str">
        <f>IF(AND('2.报价结算清单'!$P308&gt;0,'2.报价结算清单'!$B308&lt;&gt;0,'2.报价结算清单'!I308&lt;&gt;0),"天","")</f>
        <v/>
      </c>
      <c r="M205" s="80" t="str">
        <f t="shared" si="10"/>
        <v/>
      </c>
      <c r="N205" s="78" t="str">
        <f t="shared" si="11"/>
        <v/>
      </c>
      <c r="O205" s="78" t="str">
        <f>IF(AND('2.报价结算清单'!$P308&gt;0,'2.报价结算清单'!$B308&lt;&gt;0,'2.报价结算清单'!S308&lt;&gt;0),'2.报价结算清单'!S308,"")</f>
        <v/>
      </c>
      <c r="P205" s="78" t="str">
        <f>IF(AND('2.报价结算清单'!$P308&gt;0,'2.报价结算清单'!$B308&lt;&gt;0,'2.报价结算清单'!T308&lt;&gt;0),'2.报价结算清单'!T308,"")</f>
        <v/>
      </c>
      <c r="Q205" s="78" t="str">
        <f>IF(F205="",J205,VLOOKUP(F205,框架条目清单!A:K,4,FALSE))</f>
        <v/>
      </c>
      <c r="R205" s="106" t="str">
        <f>IF($A205="","",'2.报价结算清单'!$K$183)</f>
        <v/>
      </c>
      <c r="S205" s="80" t="str">
        <f>IF($A205="","",'2.报价结算清单'!$E$183)</f>
        <v/>
      </c>
      <c r="T205" s="78" t="str">
        <f>IF(F205="","",VLOOKUP(F205,框架条目清单!A:K,7,FALSE))</f>
        <v/>
      </c>
      <c r="U205" s="78" t="str">
        <f>IF(F205="","",VLOOKUP(F205,框架条目清单!A:K,8,FALSE))</f>
        <v/>
      </c>
      <c r="V205" s="78" t="str">
        <f>IF(F205="","",VLOOKUP(F205,框架条目清单!A:K,9,FALSE))</f>
        <v/>
      </c>
    </row>
    <row r="206" spans="1:22">
      <c r="A206" s="78" t="str">
        <f>IF(AND('2.报价结算清单'!$P309&gt;0,'2.报价结算清单'!$B309&lt;&gt;0,'2.报价结算清单'!$F309&lt;&gt;0),'2.报价结算清单'!$F309,"")</f>
        <v/>
      </c>
      <c r="B206" s="78" t="str">
        <f>_xlfn.IFNA(VLOOKUP(A206,'3.框架内物料'!$A:$I,3,0),A206)</f>
        <v/>
      </c>
      <c r="C206" s="78" t="str">
        <f>IF(AND('2.报价结算清单'!$P309&gt;0,'2.报价结算清单'!$B309&lt;&gt;0,'2.报价结算清单'!C309&lt;&gt;0),'2.报价结算清单'!C309,"")</f>
        <v/>
      </c>
      <c r="D206" s="78" t="str">
        <f>IF(AND('2.报价结算清单'!$P309&gt;0,'2.报价结算清单'!$B309&lt;&gt;0,'2.报价结算清单'!D309&lt;&gt;0),'2.报价结算清单'!D309,"")</f>
        <v/>
      </c>
      <c r="E206" s="78" t="str">
        <f>IF(AND('2.报价结算清单'!$P309&gt;0,'2.报价结算清单'!$B309&lt;&gt;0,'2.报价结算清单'!E309&lt;&gt;0),'2.报价结算清单'!E309,"")</f>
        <v/>
      </c>
      <c r="F206" s="105" t="str">
        <f>_xlfn.IFNA(IF($A206="","",IF(VLOOKUP($A206,'3.框架内物料'!$A:$I,2,0)="","",VLOOKUP($A206,'3.框架内物料'!$A:$I,2,0))),"")</f>
        <v/>
      </c>
      <c r="G206" s="87" t="str">
        <f>IF(AND('2.报价结算清单'!$P309&gt;0,'2.报价结算清单'!$B309&lt;&gt;0,'2.报价结算清单'!H309&lt;&gt;0),'2.报价结算清单'!H309,"")</f>
        <v/>
      </c>
      <c r="H206" s="122" t="str">
        <f>IF(AND('2.报价结算清单'!$P309&gt;0,'2.报价结算清单'!$B309&lt;&gt;0,'2.报价结算清单'!$F309&lt;&gt;0),'2.报价结算清单'!J309,"")</f>
        <v/>
      </c>
      <c r="I206" s="105" t="str">
        <f>IF(AND('2.报价结算清单'!$P309&gt;0,'2.报价结算清单'!$B309&lt;&gt;0,'2.报价结算清单'!$F309&lt;&gt;0),'2.报价结算清单'!L309,"")</f>
        <v/>
      </c>
      <c r="J206" s="105" t="str">
        <f>IF(AND('2.报价结算清单'!$P309&gt;0,'2.报价结算清单'!$B309&lt;&gt;0,'2.报价结算清单'!I309&lt;&gt;0),'2.报价结算清单'!I309,"")</f>
        <v/>
      </c>
      <c r="K206" s="105" t="str">
        <f>IF(AND('2.报价结算清单'!$P309&gt;0,'2.报价结算清单'!$B309&lt;&gt;0,'2.报价结算清单'!$F309&lt;&gt;0),'2.报价结算清单'!N309,"")</f>
        <v/>
      </c>
      <c r="L206" s="105" t="str">
        <f>IF(AND('2.报价结算清单'!$P309&gt;0,'2.报价结算清单'!$B309&lt;&gt;0,'2.报价结算清单'!I309&lt;&gt;0),"天","")</f>
        <v/>
      </c>
      <c r="M206" s="80" t="str">
        <f t="shared" si="10"/>
        <v/>
      </c>
      <c r="N206" s="78" t="str">
        <f t="shared" si="11"/>
        <v/>
      </c>
      <c r="O206" s="78" t="str">
        <f>IF(AND('2.报价结算清单'!$P309&gt;0,'2.报价结算清单'!$B309&lt;&gt;0,'2.报价结算清单'!S309&lt;&gt;0),'2.报价结算清单'!S309,"")</f>
        <v/>
      </c>
      <c r="P206" s="78" t="str">
        <f>IF(AND('2.报价结算清单'!$P309&gt;0,'2.报价结算清单'!$B309&lt;&gt;0,'2.报价结算清单'!T309&lt;&gt;0),'2.报价结算清单'!T309,"")</f>
        <v/>
      </c>
      <c r="Q206" s="78" t="str">
        <f>IF(F206="",J206,VLOOKUP(F206,框架条目清单!A:K,4,FALSE))</f>
        <v/>
      </c>
      <c r="R206" s="106" t="str">
        <f>IF($A206="","",'2.报价结算清单'!$K$183)</f>
        <v/>
      </c>
      <c r="S206" s="80" t="str">
        <f>IF($A206="","",'2.报价结算清单'!$E$183)</f>
        <v/>
      </c>
      <c r="T206" s="78" t="str">
        <f>IF(F206="","",VLOOKUP(F206,框架条目清单!A:K,7,FALSE))</f>
        <v/>
      </c>
      <c r="U206" s="78" t="str">
        <f>IF(F206="","",VLOOKUP(F206,框架条目清单!A:K,8,FALSE))</f>
        <v/>
      </c>
      <c r="V206" s="78" t="str">
        <f>IF(F206="","",VLOOKUP(F206,框架条目清单!A:K,9,FALSE))</f>
        <v/>
      </c>
    </row>
    <row r="207" spans="1:22">
      <c r="A207" s="78" t="str">
        <f>IF(AND('2.报价结算清单'!$P310&gt;0,'2.报价结算清单'!$B310&lt;&gt;0,'2.报价结算清单'!$F310&lt;&gt;0),'2.报价结算清单'!$F310,"")</f>
        <v/>
      </c>
      <c r="B207" s="78" t="str">
        <f>_xlfn.IFNA(VLOOKUP(A207,'3.框架内物料'!$A:$I,3,0),A207)</f>
        <v/>
      </c>
      <c r="C207" s="78" t="str">
        <f>IF(AND('2.报价结算清单'!$P310&gt;0,'2.报价结算清单'!$B310&lt;&gt;0,'2.报价结算清单'!C310&lt;&gt;0),'2.报价结算清单'!C310,"")</f>
        <v/>
      </c>
      <c r="D207" s="78" t="str">
        <f>IF(AND('2.报价结算清单'!$P310&gt;0,'2.报价结算清单'!$B310&lt;&gt;0,'2.报价结算清单'!D310&lt;&gt;0),'2.报价结算清单'!D310,"")</f>
        <v/>
      </c>
      <c r="E207" s="78" t="str">
        <f>IF(AND('2.报价结算清单'!$P310&gt;0,'2.报价结算清单'!$B310&lt;&gt;0,'2.报价结算清单'!E310&lt;&gt;0),'2.报价结算清单'!E310,"")</f>
        <v/>
      </c>
      <c r="F207" s="105" t="str">
        <f>_xlfn.IFNA(IF($A207="","",IF(VLOOKUP($A207,'3.框架内物料'!$A:$I,2,0)="","",VLOOKUP($A207,'3.框架内物料'!$A:$I,2,0))),"")</f>
        <v/>
      </c>
      <c r="G207" s="87" t="str">
        <f>IF(AND('2.报价结算清单'!$P310&gt;0,'2.报价结算清单'!$B310&lt;&gt;0,'2.报价结算清单'!H310&lt;&gt;0),'2.报价结算清单'!H310,"")</f>
        <v/>
      </c>
      <c r="H207" s="122" t="str">
        <f>IF(AND('2.报价结算清单'!$P310&gt;0,'2.报价结算清单'!$B310&lt;&gt;0,'2.报价结算清单'!$F310&lt;&gt;0),'2.报价结算清单'!J310,"")</f>
        <v/>
      </c>
      <c r="I207" s="105" t="str">
        <f>IF(AND('2.报价结算清单'!$P310&gt;0,'2.报价结算清单'!$B310&lt;&gt;0,'2.报价结算清单'!$F310&lt;&gt;0),'2.报价结算清单'!L310,"")</f>
        <v/>
      </c>
      <c r="J207" s="105" t="str">
        <f>IF(AND('2.报价结算清单'!$P310&gt;0,'2.报价结算清单'!$B310&lt;&gt;0,'2.报价结算清单'!I310&lt;&gt;0),'2.报价结算清单'!I310,"")</f>
        <v/>
      </c>
      <c r="K207" s="105" t="str">
        <f>IF(AND('2.报价结算清单'!$P310&gt;0,'2.报价结算清单'!$B310&lt;&gt;0,'2.报价结算清单'!$F310&lt;&gt;0),'2.报价结算清单'!N310,"")</f>
        <v/>
      </c>
      <c r="L207" s="105" t="str">
        <f>IF(AND('2.报价结算清单'!$P310&gt;0,'2.报价结算清单'!$B310&lt;&gt;0,'2.报价结算清单'!I310&lt;&gt;0),"天","")</f>
        <v/>
      </c>
      <c r="M207" s="80" t="str">
        <f t="shared" si="10"/>
        <v/>
      </c>
      <c r="N207" s="78" t="str">
        <f t="shared" si="11"/>
        <v/>
      </c>
      <c r="O207" s="78" t="str">
        <f>IF(AND('2.报价结算清单'!$P310&gt;0,'2.报价结算清单'!$B310&lt;&gt;0,'2.报价结算清单'!S310&lt;&gt;0),'2.报价结算清单'!S310,"")</f>
        <v/>
      </c>
      <c r="P207" s="78" t="str">
        <f>IF(AND('2.报价结算清单'!$P310&gt;0,'2.报价结算清单'!$B310&lt;&gt;0,'2.报价结算清单'!T310&lt;&gt;0),'2.报价结算清单'!T310,"")</f>
        <v/>
      </c>
      <c r="Q207" s="78" t="str">
        <f>IF(F207="",J207,VLOOKUP(F207,框架条目清单!A:K,4,FALSE))</f>
        <v/>
      </c>
      <c r="R207" s="106" t="str">
        <f>IF($A207="","",'2.报价结算清单'!$K$183)</f>
        <v/>
      </c>
      <c r="S207" s="80" t="str">
        <f>IF($A207="","",'2.报价结算清单'!$E$183)</f>
        <v/>
      </c>
      <c r="T207" s="78" t="str">
        <f>IF(F207="","",VLOOKUP(F207,框架条目清单!A:K,7,FALSE))</f>
        <v/>
      </c>
      <c r="U207" s="78" t="str">
        <f>IF(F207="","",VLOOKUP(F207,框架条目清单!A:K,8,FALSE))</f>
        <v/>
      </c>
      <c r="V207" s="78" t="str">
        <f>IF(F207="","",VLOOKUP(F207,框架条目清单!A:K,9,FALSE))</f>
        <v/>
      </c>
    </row>
    <row r="208" spans="1:22">
      <c r="A208" s="78" t="str">
        <f>IF(AND('2.报价结算清单'!$P311&gt;0,'2.报价结算清单'!$B311&lt;&gt;0,'2.报价结算清单'!$F311&lt;&gt;0),'2.报价结算清单'!$F311,"")</f>
        <v/>
      </c>
      <c r="B208" s="78" t="str">
        <f>_xlfn.IFNA(VLOOKUP(A208,'3.框架内物料'!$A:$I,3,0),A208)</f>
        <v/>
      </c>
      <c r="C208" s="78" t="str">
        <f>IF(AND('2.报价结算清单'!$P311&gt;0,'2.报价结算清单'!$B311&lt;&gt;0,'2.报价结算清单'!C311&lt;&gt;0),'2.报价结算清单'!C311,"")</f>
        <v/>
      </c>
      <c r="D208" s="78" t="str">
        <f>IF(AND('2.报价结算清单'!$P311&gt;0,'2.报价结算清单'!$B311&lt;&gt;0,'2.报价结算清单'!D311&lt;&gt;0),'2.报价结算清单'!D311,"")</f>
        <v/>
      </c>
      <c r="E208" s="78" t="str">
        <f>IF(AND('2.报价结算清单'!$P311&gt;0,'2.报价结算清单'!$B311&lt;&gt;0,'2.报价结算清单'!E311&lt;&gt;0),'2.报价结算清单'!E311,"")</f>
        <v/>
      </c>
      <c r="F208" s="105" t="str">
        <f>_xlfn.IFNA(IF($A208="","",IF(VLOOKUP($A208,'3.框架内物料'!$A:$I,2,0)="","",VLOOKUP($A208,'3.框架内物料'!$A:$I,2,0))),"")</f>
        <v/>
      </c>
      <c r="G208" s="87" t="str">
        <f>IF(AND('2.报价结算清单'!$P311&gt;0,'2.报价结算清单'!$B311&lt;&gt;0,'2.报价结算清单'!H311&lt;&gt;0),'2.报价结算清单'!H311,"")</f>
        <v/>
      </c>
      <c r="H208" s="122" t="str">
        <f>IF(AND('2.报价结算清单'!$P311&gt;0,'2.报价结算清单'!$B311&lt;&gt;0,'2.报价结算清单'!$F311&lt;&gt;0),'2.报价结算清单'!J311,"")</f>
        <v/>
      </c>
      <c r="I208" s="105" t="str">
        <f>IF(AND('2.报价结算清单'!$P311&gt;0,'2.报价结算清单'!$B311&lt;&gt;0,'2.报价结算清单'!$F311&lt;&gt;0),'2.报价结算清单'!L311,"")</f>
        <v/>
      </c>
      <c r="J208" s="105" t="str">
        <f>IF(AND('2.报价结算清单'!$P311&gt;0,'2.报价结算清单'!$B311&lt;&gt;0,'2.报价结算清单'!I311&lt;&gt;0),'2.报价结算清单'!I311,"")</f>
        <v/>
      </c>
      <c r="K208" s="105" t="str">
        <f>IF(AND('2.报价结算清单'!$P311&gt;0,'2.报价结算清单'!$B311&lt;&gt;0,'2.报价结算清单'!$F311&lt;&gt;0),'2.报价结算清单'!N311,"")</f>
        <v/>
      </c>
      <c r="L208" s="105" t="str">
        <f>IF(AND('2.报价结算清单'!$P311&gt;0,'2.报价结算清单'!$B311&lt;&gt;0,'2.报价结算清单'!I311&lt;&gt;0),"天","")</f>
        <v/>
      </c>
      <c r="M208" s="80" t="str">
        <f t="shared" si="10"/>
        <v/>
      </c>
      <c r="N208" s="78" t="str">
        <f t="shared" si="11"/>
        <v/>
      </c>
      <c r="O208" s="78" t="str">
        <f>IF(AND('2.报价结算清单'!$P311&gt;0,'2.报价结算清单'!$B311&lt;&gt;0,'2.报价结算清单'!S311&lt;&gt;0),'2.报价结算清单'!S311,"")</f>
        <v/>
      </c>
      <c r="P208" s="78" t="str">
        <f>IF(AND('2.报价结算清单'!$P311&gt;0,'2.报价结算清单'!$B311&lt;&gt;0,'2.报价结算清单'!T311&lt;&gt;0),'2.报价结算清单'!T311,"")</f>
        <v/>
      </c>
      <c r="Q208" s="78" t="str">
        <f>IF(F208="",J208,VLOOKUP(F208,框架条目清单!A:K,4,FALSE))</f>
        <v/>
      </c>
      <c r="R208" s="106" t="str">
        <f>IF($A208="","",'2.报价结算清单'!$K$183)</f>
        <v/>
      </c>
      <c r="S208" s="80" t="str">
        <f>IF($A208="","",'2.报价结算清单'!$E$183)</f>
        <v/>
      </c>
      <c r="T208" s="78" t="str">
        <f>IF(F208="","",VLOOKUP(F208,框架条目清单!A:K,7,FALSE))</f>
        <v/>
      </c>
      <c r="U208" s="78" t="str">
        <f>IF(F208="","",VLOOKUP(F208,框架条目清单!A:K,8,FALSE))</f>
        <v/>
      </c>
      <c r="V208" s="78" t="str">
        <f>IF(F208="","",VLOOKUP(F208,框架条目清单!A:K,9,FALSE))</f>
        <v/>
      </c>
    </row>
    <row r="209" spans="1:22">
      <c r="A209" s="78" t="str">
        <f>IF(AND('2.报价结算清单'!$P312&gt;0,'2.报价结算清单'!$B312&lt;&gt;0,'2.报价结算清单'!$F312&lt;&gt;0),'2.报价结算清单'!$F312,"")</f>
        <v/>
      </c>
      <c r="B209" s="78" t="str">
        <f>_xlfn.IFNA(VLOOKUP(A209,'3.框架内物料'!$A:$I,3,0),A209)</f>
        <v/>
      </c>
      <c r="C209" s="78" t="str">
        <f>IF(AND('2.报价结算清单'!$P312&gt;0,'2.报价结算清单'!$B312&lt;&gt;0,'2.报价结算清单'!C312&lt;&gt;0),'2.报价结算清单'!C312,"")</f>
        <v/>
      </c>
      <c r="D209" s="78" t="str">
        <f>IF(AND('2.报价结算清单'!$P312&gt;0,'2.报价结算清单'!$B312&lt;&gt;0,'2.报价结算清单'!D312&lt;&gt;0),'2.报价结算清单'!D312,"")</f>
        <v/>
      </c>
      <c r="E209" s="78" t="str">
        <f>IF(AND('2.报价结算清单'!$P312&gt;0,'2.报价结算清单'!$B312&lt;&gt;0,'2.报价结算清单'!E312&lt;&gt;0),'2.报价结算清单'!E312,"")</f>
        <v/>
      </c>
      <c r="F209" s="105" t="str">
        <f>_xlfn.IFNA(IF($A209="","",IF(VLOOKUP($A209,'3.框架内物料'!$A:$I,2,0)="","",VLOOKUP($A209,'3.框架内物料'!$A:$I,2,0))),"")</f>
        <v/>
      </c>
      <c r="G209" s="87" t="str">
        <f>IF(AND('2.报价结算清单'!$P312&gt;0,'2.报价结算清单'!$B312&lt;&gt;0,'2.报价结算清单'!H312&lt;&gt;0),'2.报价结算清单'!H312,"")</f>
        <v/>
      </c>
      <c r="H209" s="122" t="str">
        <f>IF(AND('2.报价结算清单'!$P312&gt;0,'2.报价结算清单'!$B312&lt;&gt;0,'2.报价结算清单'!$F312&lt;&gt;0),'2.报价结算清单'!J312,"")</f>
        <v/>
      </c>
      <c r="I209" s="105" t="str">
        <f>IF(AND('2.报价结算清单'!$P312&gt;0,'2.报价结算清单'!$B312&lt;&gt;0,'2.报价结算清单'!$F312&lt;&gt;0),'2.报价结算清单'!L312,"")</f>
        <v/>
      </c>
      <c r="J209" s="105" t="str">
        <f>IF(AND('2.报价结算清单'!$P312&gt;0,'2.报价结算清单'!$B312&lt;&gt;0,'2.报价结算清单'!I312&lt;&gt;0),'2.报价结算清单'!I312,"")</f>
        <v/>
      </c>
      <c r="K209" s="105" t="str">
        <f>IF(AND('2.报价结算清单'!$P312&gt;0,'2.报价结算清单'!$B312&lt;&gt;0,'2.报价结算清单'!$F312&lt;&gt;0),'2.报价结算清单'!N312,"")</f>
        <v/>
      </c>
      <c r="L209" s="105" t="str">
        <f>IF(AND('2.报价结算清单'!$P312&gt;0,'2.报价结算清单'!$B312&lt;&gt;0,'2.报价结算清单'!I312&lt;&gt;0),"天","")</f>
        <v/>
      </c>
      <c r="M209" s="80" t="str">
        <f t="shared" si="10"/>
        <v/>
      </c>
      <c r="N209" s="78" t="str">
        <f t="shared" si="11"/>
        <v/>
      </c>
      <c r="O209" s="78" t="str">
        <f>IF(AND('2.报价结算清单'!$P312&gt;0,'2.报价结算清单'!$B312&lt;&gt;0,'2.报价结算清单'!S312&lt;&gt;0),'2.报价结算清单'!S312,"")</f>
        <v/>
      </c>
      <c r="P209" s="78" t="str">
        <f>IF(AND('2.报价结算清单'!$P312&gt;0,'2.报价结算清单'!$B312&lt;&gt;0,'2.报价结算清单'!T312&lt;&gt;0),'2.报价结算清单'!T312,"")</f>
        <v/>
      </c>
      <c r="Q209" s="78" t="str">
        <f>IF(F209="",J209,VLOOKUP(F209,框架条目清单!A:K,4,FALSE))</f>
        <v/>
      </c>
      <c r="R209" s="106" t="str">
        <f>IF($A209="","",'2.报价结算清单'!$K$183)</f>
        <v/>
      </c>
      <c r="S209" s="80" t="str">
        <f>IF($A209="","",'2.报价结算清单'!$E$183)</f>
        <v/>
      </c>
      <c r="T209" s="78" t="str">
        <f>IF(F209="","",VLOOKUP(F209,框架条目清单!A:K,7,FALSE))</f>
        <v/>
      </c>
      <c r="U209" s="78" t="str">
        <f>IF(F209="","",VLOOKUP(F209,框架条目清单!A:K,8,FALSE))</f>
        <v/>
      </c>
      <c r="V209" s="78" t="str">
        <f>IF(F209="","",VLOOKUP(F209,框架条目清单!A:K,9,FALSE))</f>
        <v/>
      </c>
    </row>
    <row r="210" spans="1:22">
      <c r="A210" s="78" t="str">
        <f>IF(AND('2.报价结算清单'!$P313&gt;0,'2.报价结算清单'!$B313&lt;&gt;0,'2.报价结算清单'!$F313&lt;&gt;0),'2.报价结算清单'!$F313,"")</f>
        <v/>
      </c>
      <c r="B210" s="78" t="str">
        <f>_xlfn.IFNA(VLOOKUP(A210,'3.框架内物料'!$A:$I,3,0),A210)</f>
        <v/>
      </c>
      <c r="C210" s="78" t="str">
        <f>IF(AND('2.报价结算清单'!$P313&gt;0,'2.报价结算清单'!$B313&lt;&gt;0,'2.报价结算清单'!C313&lt;&gt;0),'2.报价结算清单'!C313,"")</f>
        <v/>
      </c>
      <c r="D210" s="78" t="str">
        <f>IF(AND('2.报价结算清单'!$P313&gt;0,'2.报价结算清单'!$B313&lt;&gt;0,'2.报价结算清单'!D313&lt;&gt;0),'2.报价结算清单'!D313,"")</f>
        <v/>
      </c>
      <c r="E210" s="78" t="str">
        <f>IF(AND('2.报价结算清单'!$P313&gt;0,'2.报价结算清单'!$B313&lt;&gt;0,'2.报价结算清单'!E313&lt;&gt;0),'2.报价结算清单'!E313,"")</f>
        <v/>
      </c>
      <c r="F210" s="105" t="str">
        <f>_xlfn.IFNA(IF($A210="","",IF(VLOOKUP($A210,'3.框架内物料'!$A:$I,2,0)="","",VLOOKUP($A210,'3.框架内物料'!$A:$I,2,0))),"")</f>
        <v/>
      </c>
      <c r="G210" s="87" t="str">
        <f>IF(AND('2.报价结算清单'!$P313&gt;0,'2.报价结算清单'!$B313&lt;&gt;0,'2.报价结算清单'!H313&lt;&gt;0),'2.报价结算清单'!H313,"")</f>
        <v/>
      </c>
      <c r="H210" s="122" t="str">
        <f>IF(AND('2.报价结算清单'!$P313&gt;0,'2.报价结算清单'!$B313&lt;&gt;0,'2.报价结算清单'!$F313&lt;&gt;0),'2.报价结算清单'!J313,"")</f>
        <v/>
      </c>
      <c r="I210" s="105" t="str">
        <f>IF(AND('2.报价结算清单'!$P313&gt;0,'2.报价结算清单'!$B313&lt;&gt;0,'2.报价结算清单'!$F313&lt;&gt;0),'2.报价结算清单'!L313,"")</f>
        <v/>
      </c>
      <c r="J210" s="105" t="str">
        <f>IF(AND('2.报价结算清单'!$P313&gt;0,'2.报价结算清单'!$B313&lt;&gt;0,'2.报价结算清单'!I313&lt;&gt;0),'2.报价结算清单'!I313,"")</f>
        <v/>
      </c>
      <c r="K210" s="105" t="str">
        <f>IF(AND('2.报价结算清单'!$P313&gt;0,'2.报价结算清单'!$B313&lt;&gt;0,'2.报价结算清单'!$F313&lt;&gt;0),'2.报价结算清单'!N313,"")</f>
        <v/>
      </c>
      <c r="L210" s="105" t="str">
        <f>IF(AND('2.报价结算清单'!$P313&gt;0,'2.报价结算清单'!$B313&lt;&gt;0,'2.报价结算清单'!I313&lt;&gt;0),"天","")</f>
        <v/>
      </c>
      <c r="M210" s="80" t="str">
        <f t="shared" si="10"/>
        <v/>
      </c>
      <c r="N210" s="78" t="str">
        <f t="shared" si="11"/>
        <v/>
      </c>
      <c r="O210" s="78" t="str">
        <f>IF(AND('2.报价结算清单'!$P313&gt;0,'2.报价结算清单'!$B313&lt;&gt;0,'2.报价结算清单'!S313&lt;&gt;0),'2.报价结算清单'!S313,"")</f>
        <v/>
      </c>
      <c r="P210" s="78" t="str">
        <f>IF(AND('2.报价结算清单'!$P313&gt;0,'2.报价结算清单'!$B313&lt;&gt;0,'2.报价结算清单'!T313&lt;&gt;0),'2.报价结算清单'!T313,"")</f>
        <v/>
      </c>
      <c r="Q210" s="78" t="str">
        <f>IF(F210="",J210,VLOOKUP(F210,框架条目清单!A:K,4,FALSE))</f>
        <v/>
      </c>
      <c r="R210" s="106" t="str">
        <f>IF($A210="","",'2.报价结算清单'!$K$183)</f>
        <v/>
      </c>
      <c r="S210" s="80" t="str">
        <f>IF($A210="","",'2.报价结算清单'!$E$183)</f>
        <v/>
      </c>
      <c r="T210" s="78" t="str">
        <f>IF(F210="","",VLOOKUP(F210,框架条目清单!A:K,7,FALSE))</f>
        <v/>
      </c>
      <c r="U210" s="78" t="str">
        <f>IF(F210="","",VLOOKUP(F210,框架条目清单!A:K,8,FALSE))</f>
        <v/>
      </c>
      <c r="V210" s="78" t="str">
        <f>IF(F210="","",VLOOKUP(F210,框架条目清单!A:K,9,FALSE))</f>
        <v/>
      </c>
    </row>
    <row r="211" spans="1:22">
      <c r="A211" s="78" t="str">
        <f>IF(AND('2.报价结算清单'!$P314&gt;0,'2.报价结算清单'!$B314&lt;&gt;0,'2.报价结算清单'!$F314&lt;&gt;0),'2.报价结算清单'!$F314,"")</f>
        <v/>
      </c>
      <c r="B211" s="78" t="str">
        <f>_xlfn.IFNA(VLOOKUP(A211,'3.框架内物料'!$A:$I,3,0),A211)</f>
        <v/>
      </c>
      <c r="C211" s="78" t="str">
        <f>IF(AND('2.报价结算清单'!$P314&gt;0,'2.报价结算清单'!$B314&lt;&gt;0,'2.报价结算清单'!C314&lt;&gt;0),'2.报价结算清单'!C314,"")</f>
        <v/>
      </c>
      <c r="D211" s="78" t="str">
        <f>IF(AND('2.报价结算清单'!$P314&gt;0,'2.报价结算清单'!$B314&lt;&gt;0,'2.报价结算清单'!D314&lt;&gt;0),'2.报价结算清单'!D314,"")</f>
        <v/>
      </c>
      <c r="E211" s="78" t="str">
        <f>IF(AND('2.报价结算清单'!$P314&gt;0,'2.报价结算清单'!$B314&lt;&gt;0,'2.报价结算清单'!E314&lt;&gt;0),'2.报价结算清单'!E314,"")</f>
        <v/>
      </c>
      <c r="F211" s="105" t="str">
        <f>_xlfn.IFNA(IF($A211="","",IF(VLOOKUP($A211,'3.框架内物料'!$A:$I,2,0)="","",VLOOKUP($A211,'3.框架内物料'!$A:$I,2,0))),"")</f>
        <v/>
      </c>
      <c r="G211" s="87" t="str">
        <f>IF(AND('2.报价结算清单'!$P314&gt;0,'2.报价结算清单'!$B314&lt;&gt;0,'2.报价结算清单'!H314&lt;&gt;0),'2.报价结算清单'!H314,"")</f>
        <v/>
      </c>
      <c r="H211" s="122" t="str">
        <f>IF(AND('2.报价结算清单'!$P314&gt;0,'2.报价结算清单'!$B314&lt;&gt;0,'2.报价结算清单'!$F314&lt;&gt;0),'2.报价结算清单'!J314,"")</f>
        <v/>
      </c>
      <c r="I211" s="105" t="str">
        <f>IF(AND('2.报价结算清单'!$P314&gt;0,'2.报价结算清单'!$B314&lt;&gt;0,'2.报价结算清单'!$F314&lt;&gt;0),'2.报价结算清单'!L314,"")</f>
        <v/>
      </c>
      <c r="J211" s="105" t="str">
        <f>IF(AND('2.报价结算清单'!$P314&gt;0,'2.报价结算清单'!$B314&lt;&gt;0,'2.报价结算清单'!I314&lt;&gt;0),'2.报价结算清单'!I314,"")</f>
        <v/>
      </c>
      <c r="K211" s="105" t="str">
        <f>IF(AND('2.报价结算清单'!$P314&gt;0,'2.报价结算清单'!$B314&lt;&gt;0,'2.报价结算清单'!$F314&lt;&gt;0),'2.报价结算清单'!N314,"")</f>
        <v/>
      </c>
      <c r="L211" s="105" t="str">
        <f>IF(AND('2.报价结算清单'!$P314&gt;0,'2.报价结算清单'!$B314&lt;&gt;0,'2.报价结算清单'!I314&lt;&gt;0),"天","")</f>
        <v/>
      </c>
      <c r="M211" s="80" t="str">
        <f t="shared" si="10"/>
        <v/>
      </c>
      <c r="N211" s="78" t="str">
        <f t="shared" si="11"/>
        <v/>
      </c>
      <c r="O211" s="78" t="str">
        <f>IF(AND('2.报价结算清单'!$P314&gt;0,'2.报价结算清单'!$B314&lt;&gt;0,'2.报价结算清单'!S314&lt;&gt;0),'2.报价结算清单'!S314,"")</f>
        <v/>
      </c>
      <c r="P211" s="78" t="str">
        <f>IF(AND('2.报价结算清单'!$P314&gt;0,'2.报价结算清单'!$B314&lt;&gt;0,'2.报价结算清单'!T314&lt;&gt;0),'2.报价结算清单'!T314,"")</f>
        <v/>
      </c>
      <c r="Q211" s="78" t="str">
        <f>IF(F211="",J211,VLOOKUP(F211,框架条目清单!A:K,4,FALSE))</f>
        <v/>
      </c>
      <c r="R211" s="106" t="str">
        <f>IF($A211="","",'2.报价结算清单'!$K$183)</f>
        <v/>
      </c>
      <c r="S211" s="80" t="str">
        <f>IF($A211="","",'2.报价结算清单'!$E$183)</f>
        <v/>
      </c>
      <c r="T211" s="78" t="str">
        <f>IF(F211="","",VLOOKUP(F211,框架条目清单!A:K,7,FALSE))</f>
        <v/>
      </c>
      <c r="U211" s="78" t="str">
        <f>IF(F211="","",VLOOKUP(F211,框架条目清单!A:K,8,FALSE))</f>
        <v/>
      </c>
      <c r="V211" s="78" t="str">
        <f>IF(F211="","",VLOOKUP(F211,框架条目清单!A:K,9,FALSE))</f>
        <v/>
      </c>
    </row>
    <row r="212" spans="1:22">
      <c r="A212" s="78" t="str">
        <f>IF(AND('2.报价结算清单'!$P315&gt;0,'2.报价结算清单'!$B315&lt;&gt;0,'2.报价结算清单'!$F315&lt;&gt;0),'2.报价结算清单'!$F315,"")</f>
        <v/>
      </c>
      <c r="B212" s="78" t="str">
        <f>_xlfn.IFNA(VLOOKUP(A212,'3.框架内物料'!$A:$I,3,0),A212)</f>
        <v/>
      </c>
      <c r="C212" s="78" t="str">
        <f>IF(AND('2.报价结算清单'!$P315&gt;0,'2.报价结算清单'!$B315&lt;&gt;0,'2.报价结算清单'!C315&lt;&gt;0),'2.报价结算清单'!C315,"")</f>
        <v/>
      </c>
      <c r="D212" s="78" t="str">
        <f>IF(AND('2.报价结算清单'!$P315&gt;0,'2.报价结算清单'!$B315&lt;&gt;0,'2.报价结算清单'!D315&lt;&gt;0),'2.报价结算清单'!D315,"")</f>
        <v/>
      </c>
      <c r="E212" s="78" t="str">
        <f>IF(AND('2.报价结算清单'!$P315&gt;0,'2.报价结算清单'!$B315&lt;&gt;0,'2.报价结算清单'!E315&lt;&gt;0),'2.报价结算清单'!E315,"")</f>
        <v/>
      </c>
      <c r="F212" s="105" t="str">
        <f>_xlfn.IFNA(IF($A212="","",IF(VLOOKUP($A212,'3.框架内物料'!$A:$I,2,0)="","",VLOOKUP($A212,'3.框架内物料'!$A:$I,2,0))),"")</f>
        <v/>
      </c>
      <c r="G212" s="87" t="str">
        <f>IF(AND('2.报价结算清单'!$P315&gt;0,'2.报价结算清单'!$B315&lt;&gt;0,'2.报价结算清单'!H315&lt;&gt;0),'2.报价结算清单'!H315,"")</f>
        <v/>
      </c>
      <c r="H212" s="122" t="str">
        <f>IF(AND('2.报价结算清单'!$P315&gt;0,'2.报价结算清单'!$B315&lt;&gt;0,'2.报价结算清单'!$F315&lt;&gt;0),'2.报价结算清单'!J315,"")</f>
        <v/>
      </c>
      <c r="I212" s="105" t="str">
        <f>IF(AND('2.报价结算清单'!$P315&gt;0,'2.报价结算清单'!$B315&lt;&gt;0,'2.报价结算清单'!$F315&lt;&gt;0),'2.报价结算清单'!L315,"")</f>
        <v/>
      </c>
      <c r="J212" s="105" t="str">
        <f>IF(AND('2.报价结算清单'!$P315&gt;0,'2.报价结算清单'!$B315&lt;&gt;0,'2.报价结算清单'!I315&lt;&gt;0),'2.报价结算清单'!I315,"")</f>
        <v/>
      </c>
      <c r="K212" s="105" t="str">
        <f>IF(AND('2.报价结算清单'!$P315&gt;0,'2.报价结算清单'!$B315&lt;&gt;0,'2.报价结算清单'!$F315&lt;&gt;0),'2.报价结算清单'!N315,"")</f>
        <v/>
      </c>
      <c r="L212" s="105" t="str">
        <f>IF(AND('2.报价结算清单'!$P315&gt;0,'2.报价结算清单'!$B315&lt;&gt;0,'2.报价结算清单'!I315&lt;&gt;0),"天","")</f>
        <v/>
      </c>
      <c r="M212" s="80" t="str">
        <f t="shared" si="10"/>
        <v/>
      </c>
      <c r="N212" s="78" t="str">
        <f t="shared" si="11"/>
        <v/>
      </c>
      <c r="O212" s="78" t="str">
        <f>IF(AND('2.报价结算清单'!$P315&gt;0,'2.报价结算清单'!$B315&lt;&gt;0,'2.报价结算清单'!S315&lt;&gt;0),'2.报价结算清单'!S315,"")</f>
        <v/>
      </c>
      <c r="P212" s="78" t="str">
        <f>IF(AND('2.报价结算清单'!$P315&gt;0,'2.报价结算清单'!$B315&lt;&gt;0,'2.报价结算清单'!T315&lt;&gt;0),'2.报价结算清单'!T315,"")</f>
        <v/>
      </c>
      <c r="Q212" s="78" t="str">
        <f>IF(F212="",J212,VLOOKUP(F212,框架条目清单!A:K,4,FALSE))</f>
        <v/>
      </c>
      <c r="R212" s="106" t="str">
        <f>IF($A212="","",'2.报价结算清单'!$K$183)</f>
        <v/>
      </c>
      <c r="S212" s="80" t="str">
        <f>IF($A212="","",'2.报价结算清单'!$E$183)</f>
        <v/>
      </c>
      <c r="T212" s="78" t="str">
        <f>IF(F212="","",VLOOKUP(F212,框架条目清单!A:K,7,FALSE))</f>
        <v/>
      </c>
      <c r="U212" s="78" t="str">
        <f>IF(F212="","",VLOOKUP(F212,框架条目清单!A:K,8,FALSE))</f>
        <v/>
      </c>
      <c r="V212" s="78" t="str">
        <f>IF(F212="","",VLOOKUP(F212,框架条目清单!A:K,9,FALSE))</f>
        <v/>
      </c>
    </row>
    <row r="213" spans="1:22">
      <c r="A213" s="78" t="str">
        <f>IF(AND('2.报价结算清单'!$P316&gt;0,'2.报价结算清单'!$B316&lt;&gt;0,'2.报价结算清单'!$F316&lt;&gt;0),'2.报价结算清单'!$F316,"")</f>
        <v/>
      </c>
      <c r="B213" s="78" t="str">
        <f>_xlfn.IFNA(VLOOKUP(A213,'3.框架内物料'!$A:$I,3,0),A213)</f>
        <v/>
      </c>
      <c r="C213" s="78" t="str">
        <f>IF(AND('2.报价结算清单'!$P316&gt;0,'2.报价结算清单'!$B316&lt;&gt;0,'2.报价结算清单'!C316&lt;&gt;0),'2.报价结算清单'!C316,"")</f>
        <v/>
      </c>
      <c r="D213" s="78" t="str">
        <f>IF(AND('2.报价结算清单'!$P316&gt;0,'2.报价结算清单'!$B316&lt;&gt;0,'2.报价结算清单'!D316&lt;&gt;0),'2.报价结算清单'!D316,"")</f>
        <v/>
      </c>
      <c r="E213" s="78" t="str">
        <f>IF(AND('2.报价结算清单'!$P316&gt;0,'2.报价结算清单'!$B316&lt;&gt;0,'2.报价结算清单'!E316&lt;&gt;0),'2.报价结算清单'!E316,"")</f>
        <v/>
      </c>
      <c r="F213" s="105" t="str">
        <f>_xlfn.IFNA(IF($A213="","",IF(VLOOKUP($A213,'3.框架内物料'!$A:$I,2,0)="","",VLOOKUP($A213,'3.框架内物料'!$A:$I,2,0))),"")</f>
        <v/>
      </c>
      <c r="G213" s="87" t="str">
        <f>IF(AND('2.报价结算清单'!$P316&gt;0,'2.报价结算清单'!$B316&lt;&gt;0,'2.报价结算清单'!H316&lt;&gt;0),'2.报价结算清单'!H316,"")</f>
        <v/>
      </c>
      <c r="H213" s="122" t="str">
        <f>IF(AND('2.报价结算清单'!$P316&gt;0,'2.报价结算清单'!$B316&lt;&gt;0,'2.报价结算清单'!$F316&lt;&gt;0),'2.报价结算清单'!J316,"")</f>
        <v/>
      </c>
      <c r="I213" s="105" t="str">
        <f>IF(AND('2.报价结算清单'!$P316&gt;0,'2.报价结算清单'!$B316&lt;&gt;0,'2.报价结算清单'!$F316&lt;&gt;0),'2.报价结算清单'!L316,"")</f>
        <v/>
      </c>
      <c r="J213" s="105" t="str">
        <f>IF(AND('2.报价结算清单'!$P316&gt;0,'2.报价结算清单'!$B316&lt;&gt;0,'2.报价结算清单'!I316&lt;&gt;0),'2.报价结算清单'!I316,"")</f>
        <v/>
      </c>
      <c r="K213" s="105" t="str">
        <f>IF(AND('2.报价结算清单'!$P316&gt;0,'2.报价结算清单'!$B316&lt;&gt;0,'2.报价结算清单'!$F316&lt;&gt;0),'2.报价结算清单'!N316,"")</f>
        <v/>
      </c>
      <c r="L213" s="105" t="str">
        <f>IF(AND('2.报价结算清单'!$P316&gt;0,'2.报价结算清单'!$B316&lt;&gt;0,'2.报价结算清单'!I316&lt;&gt;0),"天","")</f>
        <v/>
      </c>
      <c r="M213" s="80" t="str">
        <f t="shared" si="10"/>
        <v/>
      </c>
      <c r="N213" s="78" t="str">
        <f t="shared" si="11"/>
        <v/>
      </c>
      <c r="O213" s="78" t="str">
        <f>IF(AND('2.报价结算清单'!$P316&gt;0,'2.报价结算清单'!$B316&lt;&gt;0,'2.报价结算清单'!S316&lt;&gt;0),'2.报价结算清单'!S316,"")</f>
        <v/>
      </c>
      <c r="P213" s="78" t="str">
        <f>IF(AND('2.报价结算清单'!$P316&gt;0,'2.报价结算清单'!$B316&lt;&gt;0,'2.报价结算清单'!T316&lt;&gt;0),'2.报价结算清单'!T316,"")</f>
        <v/>
      </c>
      <c r="Q213" s="78" t="str">
        <f>IF(F213="",J213,VLOOKUP(F213,框架条目清单!A:K,4,FALSE))</f>
        <v/>
      </c>
      <c r="R213" s="106" t="str">
        <f>IF($A213="","",'2.报价结算清单'!$K$183)</f>
        <v/>
      </c>
      <c r="S213" s="80" t="str">
        <f>IF($A213="","",'2.报价结算清单'!$E$183)</f>
        <v/>
      </c>
      <c r="T213" s="78" t="str">
        <f>IF(F213="","",VLOOKUP(F213,框架条目清单!A:K,7,FALSE))</f>
        <v/>
      </c>
      <c r="U213" s="78" t="str">
        <f>IF(F213="","",VLOOKUP(F213,框架条目清单!A:K,8,FALSE))</f>
        <v/>
      </c>
      <c r="V213" s="78" t="str">
        <f>IF(F213="","",VLOOKUP(F213,框架条目清单!A:K,9,FALSE))</f>
        <v/>
      </c>
    </row>
    <row r="214" spans="1:22">
      <c r="A214" s="78" t="str">
        <f>IF(AND('2.报价结算清单'!$P317&gt;0,'2.报价结算清单'!$B317&lt;&gt;0,'2.报价结算清单'!$F317&lt;&gt;0),'2.报价结算清单'!$F317,"")</f>
        <v/>
      </c>
      <c r="B214" s="78" t="str">
        <f>_xlfn.IFNA(VLOOKUP(A214,'3.框架内物料'!$A:$I,3,0),A214)</f>
        <v/>
      </c>
      <c r="C214" s="78" t="str">
        <f>IF(AND('2.报价结算清单'!$P317&gt;0,'2.报价结算清单'!$B317&lt;&gt;0,'2.报价结算清单'!C317&lt;&gt;0),'2.报价结算清单'!C317,"")</f>
        <v/>
      </c>
      <c r="D214" s="78" t="str">
        <f>IF(AND('2.报价结算清单'!$P317&gt;0,'2.报价结算清单'!$B317&lt;&gt;0,'2.报价结算清单'!D317&lt;&gt;0),'2.报价结算清单'!D317,"")</f>
        <v/>
      </c>
      <c r="E214" s="78" t="str">
        <f>IF(AND('2.报价结算清单'!$P317&gt;0,'2.报价结算清单'!$B317&lt;&gt;0,'2.报价结算清单'!E317&lt;&gt;0),'2.报价结算清单'!E317,"")</f>
        <v/>
      </c>
      <c r="F214" s="105" t="str">
        <f>_xlfn.IFNA(IF($A214="","",IF(VLOOKUP($A214,'3.框架内物料'!$A:$I,2,0)="","",VLOOKUP($A214,'3.框架内物料'!$A:$I,2,0))),"")</f>
        <v/>
      </c>
      <c r="G214" s="87" t="str">
        <f>IF(AND('2.报价结算清单'!$P317&gt;0,'2.报价结算清单'!$B317&lt;&gt;0,'2.报价结算清单'!H317&lt;&gt;0),'2.报价结算清单'!H317,"")</f>
        <v/>
      </c>
      <c r="H214" s="122" t="str">
        <f>IF(AND('2.报价结算清单'!$P317&gt;0,'2.报价结算清单'!$B317&lt;&gt;0,'2.报价结算清单'!$F317&lt;&gt;0),'2.报价结算清单'!J317,"")</f>
        <v/>
      </c>
      <c r="I214" s="105" t="str">
        <f>IF(AND('2.报价结算清单'!$P317&gt;0,'2.报价结算清单'!$B317&lt;&gt;0,'2.报价结算清单'!$F317&lt;&gt;0),'2.报价结算清单'!L317,"")</f>
        <v/>
      </c>
      <c r="J214" s="105" t="str">
        <f>IF(AND('2.报价结算清单'!$P317&gt;0,'2.报价结算清单'!$B317&lt;&gt;0,'2.报价结算清单'!I317&lt;&gt;0),'2.报价结算清单'!I317,"")</f>
        <v/>
      </c>
      <c r="K214" s="105" t="str">
        <f>IF(AND('2.报价结算清单'!$P317&gt;0,'2.报价结算清单'!$B317&lt;&gt;0,'2.报价结算清单'!$F317&lt;&gt;0),'2.报价结算清单'!N317,"")</f>
        <v/>
      </c>
      <c r="L214" s="105" t="str">
        <f>IF(AND('2.报价结算清单'!$P317&gt;0,'2.报价结算清单'!$B317&lt;&gt;0,'2.报价结算清单'!I317&lt;&gt;0),"天","")</f>
        <v/>
      </c>
      <c r="M214" s="80" t="str">
        <f t="shared" si="10"/>
        <v/>
      </c>
      <c r="N214" s="78" t="str">
        <f t="shared" si="11"/>
        <v/>
      </c>
      <c r="O214" s="78" t="str">
        <f>IF(AND('2.报价结算清单'!$P317&gt;0,'2.报价结算清单'!$B317&lt;&gt;0,'2.报价结算清单'!S317&lt;&gt;0),'2.报价结算清单'!S317,"")</f>
        <v/>
      </c>
      <c r="P214" s="78" t="str">
        <f>IF(AND('2.报价结算清单'!$P317&gt;0,'2.报价结算清单'!$B317&lt;&gt;0,'2.报价结算清单'!T317&lt;&gt;0),'2.报价结算清单'!T317,"")</f>
        <v/>
      </c>
      <c r="Q214" s="78" t="str">
        <f>IF(F214="",J214,VLOOKUP(F214,框架条目清单!A:K,4,FALSE))</f>
        <v/>
      </c>
      <c r="R214" s="106" t="str">
        <f>IF($A214="","",'2.报价结算清单'!$K$183)</f>
        <v/>
      </c>
      <c r="S214" s="80" t="str">
        <f>IF($A214="","",'2.报价结算清单'!$E$183)</f>
        <v/>
      </c>
      <c r="T214" s="78" t="str">
        <f>IF(F214="","",VLOOKUP(F214,框架条目清单!A:K,7,FALSE))</f>
        <v/>
      </c>
      <c r="U214" s="78" t="str">
        <f>IF(F214="","",VLOOKUP(F214,框架条目清单!A:K,8,FALSE))</f>
        <v/>
      </c>
      <c r="V214" s="78" t="str">
        <f>IF(F214="","",VLOOKUP(F214,框架条目清单!A:K,9,FALSE))</f>
        <v/>
      </c>
    </row>
    <row r="215" spans="1:22">
      <c r="A215" s="78" t="str">
        <f>IF(AND('2.报价结算清单'!$P318&gt;0,'2.报价结算清单'!$B318&lt;&gt;0,'2.报价结算清单'!$F318&lt;&gt;0),'2.报价结算清单'!$F318,"")</f>
        <v/>
      </c>
      <c r="B215" s="78" t="str">
        <f>_xlfn.IFNA(VLOOKUP(A215,'3.框架内物料'!$A:$I,3,0),A215)</f>
        <v/>
      </c>
      <c r="C215" s="78" t="str">
        <f>IF(AND('2.报价结算清单'!$P318&gt;0,'2.报价结算清单'!$B318&lt;&gt;0,'2.报价结算清单'!C318&lt;&gt;0),'2.报价结算清单'!C318,"")</f>
        <v/>
      </c>
      <c r="D215" s="78" t="str">
        <f>IF(AND('2.报价结算清单'!$P318&gt;0,'2.报价结算清单'!$B318&lt;&gt;0,'2.报价结算清单'!D318&lt;&gt;0),'2.报价结算清单'!D318,"")</f>
        <v/>
      </c>
      <c r="E215" s="78" t="str">
        <f>IF(AND('2.报价结算清单'!$P318&gt;0,'2.报价结算清单'!$B318&lt;&gt;0,'2.报价结算清单'!E318&lt;&gt;0),'2.报价结算清单'!E318,"")</f>
        <v/>
      </c>
      <c r="F215" s="105" t="str">
        <f>_xlfn.IFNA(IF($A215="","",IF(VLOOKUP($A215,'3.框架内物料'!$A:$I,2,0)="","",VLOOKUP($A215,'3.框架内物料'!$A:$I,2,0))),"")</f>
        <v/>
      </c>
      <c r="G215" s="87" t="str">
        <f>IF(AND('2.报价结算清单'!$P318&gt;0,'2.报价结算清单'!$B318&lt;&gt;0,'2.报价结算清单'!H318&lt;&gt;0),'2.报价结算清单'!H318,"")</f>
        <v/>
      </c>
      <c r="H215" s="122" t="str">
        <f>IF(AND('2.报价结算清单'!$P318&gt;0,'2.报价结算清单'!$B318&lt;&gt;0,'2.报价结算清单'!$F318&lt;&gt;0),'2.报价结算清单'!J318,"")</f>
        <v/>
      </c>
      <c r="I215" s="105" t="str">
        <f>IF(AND('2.报价结算清单'!$P318&gt;0,'2.报价结算清单'!$B318&lt;&gt;0,'2.报价结算清单'!$F318&lt;&gt;0),'2.报价结算清单'!L318,"")</f>
        <v/>
      </c>
      <c r="J215" s="105" t="str">
        <f>IF(AND('2.报价结算清单'!$P318&gt;0,'2.报价结算清单'!$B318&lt;&gt;0,'2.报价结算清单'!I318&lt;&gt;0),'2.报价结算清单'!I318,"")</f>
        <v/>
      </c>
      <c r="K215" s="105" t="str">
        <f>IF(AND('2.报价结算清单'!$P318&gt;0,'2.报价结算清单'!$B318&lt;&gt;0,'2.报价结算清单'!$F318&lt;&gt;0),'2.报价结算清单'!N318,"")</f>
        <v/>
      </c>
      <c r="L215" s="105" t="str">
        <f>IF(AND('2.报价结算清单'!$P318&gt;0,'2.报价结算清单'!$B318&lt;&gt;0,'2.报价结算清单'!I318&lt;&gt;0),"天","")</f>
        <v/>
      </c>
      <c r="M215" s="80" t="str">
        <f t="shared" si="10"/>
        <v/>
      </c>
      <c r="N215" s="78" t="str">
        <f t="shared" si="11"/>
        <v/>
      </c>
      <c r="O215" s="78" t="str">
        <f>IF(AND('2.报价结算清单'!$P318&gt;0,'2.报价结算清单'!$B318&lt;&gt;0,'2.报价结算清单'!S318&lt;&gt;0),'2.报价结算清单'!S318,"")</f>
        <v/>
      </c>
      <c r="P215" s="78" t="str">
        <f>IF(AND('2.报价结算清单'!$P318&gt;0,'2.报价结算清单'!$B318&lt;&gt;0,'2.报价结算清单'!T318&lt;&gt;0),'2.报价结算清单'!T318,"")</f>
        <v/>
      </c>
      <c r="Q215" s="78" t="str">
        <f>IF(F215="",J215,VLOOKUP(F215,框架条目清单!A:K,4,FALSE))</f>
        <v/>
      </c>
      <c r="R215" s="106" t="str">
        <f>IF($A215="","",'2.报价结算清单'!$K$183)</f>
        <v/>
      </c>
      <c r="S215" s="80" t="str">
        <f>IF($A215="","",'2.报价结算清单'!$E$183)</f>
        <v/>
      </c>
      <c r="T215" s="78" t="str">
        <f>IF(F215="","",VLOOKUP(F215,框架条目清单!A:K,7,FALSE))</f>
        <v/>
      </c>
      <c r="U215" s="78" t="str">
        <f>IF(F215="","",VLOOKUP(F215,框架条目清单!A:K,8,FALSE))</f>
        <v/>
      </c>
      <c r="V215" s="78" t="str">
        <f>IF(F215="","",VLOOKUP(F215,框架条目清单!A:K,9,FALSE))</f>
        <v/>
      </c>
    </row>
    <row r="216" spans="1:22">
      <c r="A216" s="78" t="str">
        <f>IF(AND('2.报价结算清单'!$P319&gt;0,'2.报价结算清单'!$B319&lt;&gt;0,'2.报价结算清单'!$F319&lt;&gt;0),'2.报价结算清单'!$F319,"")</f>
        <v/>
      </c>
      <c r="B216" s="78" t="str">
        <f>_xlfn.IFNA(VLOOKUP(A216,'3.框架内物料'!$A:$I,3,0),A216)</f>
        <v/>
      </c>
      <c r="C216" s="78" t="str">
        <f>IF(AND('2.报价结算清单'!$P319&gt;0,'2.报价结算清单'!$B319&lt;&gt;0,'2.报价结算清单'!C319&lt;&gt;0),'2.报价结算清单'!C319,"")</f>
        <v/>
      </c>
      <c r="D216" s="78" t="str">
        <f>IF(AND('2.报价结算清单'!$P319&gt;0,'2.报价结算清单'!$B319&lt;&gt;0,'2.报价结算清单'!D319&lt;&gt;0),'2.报价结算清单'!D319,"")</f>
        <v/>
      </c>
      <c r="E216" s="78" t="str">
        <f>IF(AND('2.报价结算清单'!$P319&gt;0,'2.报价结算清单'!$B319&lt;&gt;0,'2.报价结算清单'!E319&lt;&gt;0),'2.报价结算清单'!E319,"")</f>
        <v/>
      </c>
      <c r="F216" s="105" t="str">
        <f>_xlfn.IFNA(IF($A216="","",IF(VLOOKUP($A216,'3.框架内物料'!$A:$I,2,0)="","",VLOOKUP($A216,'3.框架内物料'!$A:$I,2,0))),"")</f>
        <v/>
      </c>
      <c r="G216" s="87" t="str">
        <f>IF(AND('2.报价结算清单'!$P319&gt;0,'2.报价结算清单'!$B319&lt;&gt;0,'2.报价结算清单'!H319&lt;&gt;0),'2.报价结算清单'!H319,"")</f>
        <v/>
      </c>
      <c r="H216" s="122" t="str">
        <f>IF(AND('2.报价结算清单'!$P319&gt;0,'2.报价结算清单'!$B319&lt;&gt;0,'2.报价结算清单'!$F319&lt;&gt;0),'2.报价结算清单'!J319,"")</f>
        <v/>
      </c>
      <c r="I216" s="105" t="str">
        <f>IF(AND('2.报价结算清单'!$P319&gt;0,'2.报价结算清单'!$B319&lt;&gt;0,'2.报价结算清单'!$F319&lt;&gt;0),'2.报价结算清单'!L319,"")</f>
        <v/>
      </c>
      <c r="J216" s="105" t="str">
        <f>IF(AND('2.报价结算清单'!$P319&gt;0,'2.报价结算清单'!$B319&lt;&gt;0,'2.报价结算清单'!I319&lt;&gt;0),'2.报价结算清单'!I319,"")</f>
        <v/>
      </c>
      <c r="K216" s="105" t="str">
        <f>IF(AND('2.报价结算清单'!$P319&gt;0,'2.报价结算清单'!$B319&lt;&gt;0,'2.报价结算清单'!$F319&lt;&gt;0),'2.报价结算清单'!N319,"")</f>
        <v/>
      </c>
      <c r="L216" s="105" t="str">
        <f>IF(AND('2.报价结算清单'!$P319&gt;0,'2.报价结算清单'!$B319&lt;&gt;0,'2.报价结算清单'!I319&lt;&gt;0),"天","")</f>
        <v/>
      </c>
      <c r="M216" s="80" t="str">
        <f t="shared" si="10"/>
        <v/>
      </c>
      <c r="N216" s="78" t="str">
        <f t="shared" si="11"/>
        <v/>
      </c>
      <c r="O216" s="78" t="str">
        <f>IF(AND('2.报价结算清单'!$P319&gt;0,'2.报价结算清单'!$B319&lt;&gt;0,'2.报价结算清单'!S319&lt;&gt;0),'2.报价结算清单'!S319,"")</f>
        <v/>
      </c>
      <c r="P216" s="78" t="str">
        <f>IF(AND('2.报价结算清单'!$P319&gt;0,'2.报价结算清单'!$B319&lt;&gt;0,'2.报价结算清单'!T319&lt;&gt;0),'2.报价结算清单'!T319,"")</f>
        <v/>
      </c>
      <c r="Q216" s="78" t="str">
        <f>IF(F216="",J216,VLOOKUP(F216,框架条目清单!A:K,4,FALSE))</f>
        <v/>
      </c>
      <c r="R216" s="106" t="str">
        <f>IF($A216="","",'2.报价结算清单'!$K$183)</f>
        <v/>
      </c>
      <c r="S216" s="80" t="str">
        <f>IF($A216="","",'2.报价结算清单'!$E$183)</f>
        <v/>
      </c>
      <c r="T216" s="78" t="str">
        <f>IF(F216="","",VLOOKUP(F216,框架条目清单!A:K,7,FALSE))</f>
        <v/>
      </c>
      <c r="U216" s="78" t="str">
        <f>IF(F216="","",VLOOKUP(F216,框架条目清单!A:K,8,FALSE))</f>
        <v/>
      </c>
      <c r="V216" s="78" t="str">
        <f>IF(F216="","",VLOOKUP(F216,框架条目清单!A:K,9,FALSE))</f>
        <v/>
      </c>
    </row>
    <row r="217" spans="1:22">
      <c r="A217" s="78" t="str">
        <f>IF(AND('2.报价结算清单'!$P320&gt;0,'2.报价结算清单'!$B320&lt;&gt;0,'2.报价结算清单'!$F320&lt;&gt;0),'2.报价结算清单'!$F320,"")</f>
        <v/>
      </c>
      <c r="B217" s="78" t="str">
        <f>_xlfn.IFNA(VLOOKUP(A217,'3.框架内物料'!$A:$I,3,0),A217)</f>
        <v/>
      </c>
      <c r="C217" s="78" t="str">
        <f>IF(AND('2.报价结算清单'!$P320&gt;0,'2.报价结算清单'!$B320&lt;&gt;0,'2.报价结算清单'!C320&lt;&gt;0),'2.报价结算清单'!C320,"")</f>
        <v/>
      </c>
      <c r="D217" s="78" t="str">
        <f>IF(AND('2.报价结算清单'!$P320&gt;0,'2.报价结算清单'!$B320&lt;&gt;0,'2.报价结算清单'!D320&lt;&gt;0),'2.报价结算清单'!D320,"")</f>
        <v/>
      </c>
      <c r="E217" s="78" t="str">
        <f>IF(AND('2.报价结算清单'!$P320&gt;0,'2.报价结算清单'!$B320&lt;&gt;0,'2.报价结算清单'!E320&lt;&gt;0),'2.报价结算清单'!E320,"")</f>
        <v/>
      </c>
      <c r="F217" s="105" t="str">
        <f>_xlfn.IFNA(IF($A217="","",IF(VLOOKUP($A217,'3.框架内物料'!$A:$I,2,0)="","",VLOOKUP($A217,'3.框架内物料'!$A:$I,2,0))),"")</f>
        <v/>
      </c>
      <c r="G217" s="87" t="str">
        <f>IF(AND('2.报价结算清单'!$P320&gt;0,'2.报价结算清单'!$B320&lt;&gt;0,'2.报价结算清单'!H320&lt;&gt;0),'2.报价结算清单'!H320,"")</f>
        <v/>
      </c>
      <c r="H217" s="122" t="str">
        <f>IF(AND('2.报价结算清单'!$P320&gt;0,'2.报价结算清单'!$B320&lt;&gt;0,'2.报价结算清单'!$F320&lt;&gt;0),'2.报价结算清单'!J320,"")</f>
        <v/>
      </c>
      <c r="I217" s="105" t="str">
        <f>IF(AND('2.报价结算清单'!$P320&gt;0,'2.报价结算清单'!$B320&lt;&gt;0,'2.报价结算清单'!$F320&lt;&gt;0),'2.报价结算清单'!L320,"")</f>
        <v/>
      </c>
      <c r="J217" s="105" t="str">
        <f>IF(AND('2.报价结算清单'!$P320&gt;0,'2.报价结算清单'!$B320&lt;&gt;0,'2.报价结算清单'!I320&lt;&gt;0),'2.报价结算清单'!I320,"")</f>
        <v/>
      </c>
      <c r="K217" s="105" t="str">
        <f>IF(AND('2.报价结算清单'!$P320&gt;0,'2.报价结算清单'!$B320&lt;&gt;0,'2.报价结算清单'!$F320&lt;&gt;0),'2.报价结算清单'!N320,"")</f>
        <v/>
      </c>
      <c r="L217" s="105" t="str">
        <f>IF(AND('2.报价结算清单'!$P320&gt;0,'2.报价结算清单'!$B320&lt;&gt;0,'2.报价结算清单'!I320&lt;&gt;0),"天","")</f>
        <v/>
      </c>
      <c r="M217" s="80" t="str">
        <f t="shared" si="10"/>
        <v/>
      </c>
      <c r="N217" s="78" t="str">
        <f t="shared" si="11"/>
        <v/>
      </c>
      <c r="O217" s="78" t="str">
        <f>IF(AND('2.报价结算清单'!$P320&gt;0,'2.报价结算清单'!$B320&lt;&gt;0,'2.报价结算清单'!S320&lt;&gt;0),'2.报价结算清单'!S320,"")</f>
        <v/>
      </c>
      <c r="P217" s="78" t="str">
        <f>IF(AND('2.报价结算清单'!$P320&gt;0,'2.报价结算清单'!$B320&lt;&gt;0,'2.报价结算清单'!T320&lt;&gt;0),'2.报价结算清单'!T320,"")</f>
        <v/>
      </c>
      <c r="Q217" s="78" t="str">
        <f>IF(F217="",J217,VLOOKUP(F217,框架条目清单!A:K,4,FALSE))</f>
        <v/>
      </c>
      <c r="R217" s="106" t="str">
        <f>IF($A217="","",'2.报价结算清单'!$K$183)</f>
        <v/>
      </c>
      <c r="S217" s="80" t="str">
        <f>IF($A217="","",'2.报价结算清单'!$E$183)</f>
        <v/>
      </c>
      <c r="T217" s="78" t="str">
        <f>IF(F217="","",VLOOKUP(F217,框架条目清单!A:K,7,FALSE))</f>
        <v/>
      </c>
      <c r="U217" s="78" t="str">
        <f>IF(F217="","",VLOOKUP(F217,框架条目清单!A:K,8,FALSE))</f>
        <v/>
      </c>
      <c r="V217" s="78" t="str">
        <f>IF(F217="","",VLOOKUP(F217,框架条目清单!A:K,9,FALSE))</f>
        <v/>
      </c>
    </row>
    <row r="218" spans="1:22">
      <c r="A218" s="78" t="str">
        <f>IF(AND('2.报价结算清单'!$P321&gt;0,'2.报价结算清单'!$B321&lt;&gt;0,'2.报价结算清单'!$F321&lt;&gt;0),'2.报价结算清单'!$F321,"")</f>
        <v/>
      </c>
      <c r="B218" s="78" t="str">
        <f>_xlfn.IFNA(VLOOKUP(A218,'3.框架内物料'!$A:$I,3,0),A218)</f>
        <v/>
      </c>
      <c r="C218" s="78" t="str">
        <f>IF(AND('2.报价结算清单'!$P321&gt;0,'2.报价结算清单'!$B321&lt;&gt;0,'2.报价结算清单'!C321&lt;&gt;0),'2.报价结算清单'!C321,"")</f>
        <v/>
      </c>
      <c r="D218" s="78" t="str">
        <f>IF(AND('2.报价结算清单'!$P321&gt;0,'2.报价结算清单'!$B321&lt;&gt;0,'2.报价结算清单'!D321&lt;&gt;0),'2.报价结算清单'!D321,"")</f>
        <v/>
      </c>
      <c r="E218" s="78" t="str">
        <f>IF(AND('2.报价结算清单'!$P321&gt;0,'2.报价结算清单'!$B321&lt;&gt;0,'2.报价结算清单'!E321&lt;&gt;0),'2.报价结算清单'!E321,"")</f>
        <v/>
      </c>
      <c r="F218" s="105" t="str">
        <f>_xlfn.IFNA(IF($A218="","",IF(VLOOKUP($A218,'3.框架内物料'!$A:$I,2,0)="","",VLOOKUP($A218,'3.框架内物料'!$A:$I,2,0))),"")</f>
        <v/>
      </c>
      <c r="G218" s="87" t="str">
        <f>IF(AND('2.报价结算清单'!$P321&gt;0,'2.报价结算清单'!$B321&lt;&gt;0,'2.报价结算清单'!H321&lt;&gt;0),'2.报价结算清单'!H321,"")</f>
        <v/>
      </c>
      <c r="H218" s="122" t="str">
        <f>IF(AND('2.报价结算清单'!$P321&gt;0,'2.报价结算清单'!$B321&lt;&gt;0,'2.报价结算清单'!$F321&lt;&gt;0),'2.报价结算清单'!J321,"")</f>
        <v/>
      </c>
      <c r="I218" s="105" t="str">
        <f>IF(AND('2.报价结算清单'!$P321&gt;0,'2.报价结算清单'!$B321&lt;&gt;0,'2.报价结算清单'!$F321&lt;&gt;0),'2.报价结算清单'!L321,"")</f>
        <v/>
      </c>
      <c r="J218" s="105" t="str">
        <f>IF(AND('2.报价结算清单'!$P321&gt;0,'2.报价结算清单'!$B321&lt;&gt;0,'2.报价结算清单'!I321&lt;&gt;0),'2.报价结算清单'!I321,"")</f>
        <v/>
      </c>
      <c r="K218" s="105" t="str">
        <f>IF(AND('2.报价结算清单'!$P321&gt;0,'2.报价结算清单'!$B321&lt;&gt;0,'2.报价结算清单'!$F321&lt;&gt;0),'2.报价结算清单'!N321,"")</f>
        <v/>
      </c>
      <c r="L218" s="105" t="str">
        <f>IF(AND('2.报价结算清单'!$P321&gt;0,'2.报价结算清单'!$B321&lt;&gt;0,'2.报价结算清单'!I321&lt;&gt;0),"天","")</f>
        <v/>
      </c>
      <c r="M218" s="80" t="str">
        <f t="shared" si="10"/>
        <v/>
      </c>
      <c r="N218" s="78" t="str">
        <f t="shared" si="11"/>
        <v/>
      </c>
      <c r="O218" s="78" t="str">
        <f>IF(AND('2.报价结算清单'!$P321&gt;0,'2.报价结算清单'!$B321&lt;&gt;0,'2.报价结算清单'!S321&lt;&gt;0),'2.报价结算清单'!S321,"")</f>
        <v/>
      </c>
      <c r="P218" s="78" t="str">
        <f>IF(AND('2.报价结算清单'!$P321&gt;0,'2.报价结算清单'!$B321&lt;&gt;0,'2.报价结算清单'!T321&lt;&gt;0),'2.报价结算清单'!T321,"")</f>
        <v/>
      </c>
      <c r="Q218" s="78" t="str">
        <f>IF(F218="",J218,VLOOKUP(F218,框架条目清单!A:K,4,FALSE))</f>
        <v/>
      </c>
      <c r="R218" s="106" t="str">
        <f>IF($A218="","",'2.报价结算清单'!$K$183)</f>
        <v/>
      </c>
      <c r="S218" s="80" t="str">
        <f>IF($A218="","",'2.报价结算清单'!$E$183)</f>
        <v/>
      </c>
      <c r="T218" s="78" t="str">
        <f>IF(F218="","",VLOOKUP(F218,框架条目清单!A:K,7,FALSE))</f>
        <v/>
      </c>
      <c r="U218" s="78" t="str">
        <f>IF(F218="","",VLOOKUP(F218,框架条目清单!A:K,8,FALSE))</f>
        <v/>
      </c>
      <c r="V218" s="78" t="str">
        <f>IF(F218="","",VLOOKUP(F218,框架条目清单!A:K,9,FALSE))</f>
        <v/>
      </c>
    </row>
    <row r="219" spans="1:22">
      <c r="A219" s="78" t="str">
        <f>IF(AND('2.报价结算清单'!$P322&gt;0,'2.报价结算清单'!$B322&lt;&gt;0,'2.报价结算清单'!$F322&lt;&gt;0),'2.报价结算清单'!$F322,"")</f>
        <v/>
      </c>
      <c r="B219" s="78" t="str">
        <f>_xlfn.IFNA(VLOOKUP(A219,'3.框架内物料'!$A:$I,3,0),A219)</f>
        <v/>
      </c>
      <c r="C219" s="78" t="str">
        <f>IF(AND('2.报价结算清单'!$P322&gt;0,'2.报价结算清单'!$B322&lt;&gt;0,'2.报价结算清单'!C322&lt;&gt;0),'2.报价结算清单'!C322,"")</f>
        <v/>
      </c>
      <c r="D219" s="78" t="str">
        <f>IF(AND('2.报价结算清单'!$P322&gt;0,'2.报价结算清单'!$B322&lt;&gt;0,'2.报价结算清单'!D322&lt;&gt;0),'2.报价结算清单'!D322,"")</f>
        <v/>
      </c>
      <c r="E219" s="78" t="str">
        <f>IF(AND('2.报价结算清单'!$P322&gt;0,'2.报价结算清单'!$B322&lt;&gt;0,'2.报价结算清单'!E322&lt;&gt;0),'2.报价结算清单'!E322,"")</f>
        <v/>
      </c>
      <c r="F219" s="105" t="str">
        <f>_xlfn.IFNA(IF($A219="","",IF(VLOOKUP($A219,'3.框架内物料'!$A:$I,2,0)="","",VLOOKUP($A219,'3.框架内物料'!$A:$I,2,0))),"")</f>
        <v/>
      </c>
      <c r="G219" s="87" t="str">
        <f>IF(AND('2.报价结算清单'!$P322&gt;0,'2.报价结算清单'!$B322&lt;&gt;0,'2.报价结算清单'!H322&lt;&gt;0),'2.报价结算清单'!H322,"")</f>
        <v/>
      </c>
      <c r="H219" s="122" t="str">
        <f>IF(AND('2.报价结算清单'!$P322&gt;0,'2.报价结算清单'!$B322&lt;&gt;0,'2.报价结算清单'!$F322&lt;&gt;0),'2.报价结算清单'!J322,"")</f>
        <v/>
      </c>
      <c r="I219" s="105" t="str">
        <f>IF(AND('2.报价结算清单'!$P322&gt;0,'2.报价结算清单'!$B322&lt;&gt;0,'2.报价结算清单'!$F322&lt;&gt;0),'2.报价结算清单'!L322,"")</f>
        <v/>
      </c>
      <c r="J219" s="105" t="str">
        <f>IF(AND('2.报价结算清单'!$P322&gt;0,'2.报价结算清单'!$B322&lt;&gt;0,'2.报价结算清单'!I322&lt;&gt;0),'2.报价结算清单'!I322,"")</f>
        <v/>
      </c>
      <c r="K219" s="105" t="str">
        <f>IF(AND('2.报价结算清单'!$P322&gt;0,'2.报价结算清单'!$B322&lt;&gt;0,'2.报价结算清单'!$F322&lt;&gt;0),'2.报价结算清单'!N322,"")</f>
        <v/>
      </c>
      <c r="L219" s="105" t="str">
        <f>IF(AND('2.报价结算清单'!$P322&gt;0,'2.报价结算清单'!$B322&lt;&gt;0,'2.报价结算清单'!I322&lt;&gt;0),"天","")</f>
        <v/>
      </c>
      <c r="M219" s="80" t="str">
        <f t="shared" si="10"/>
        <v/>
      </c>
      <c r="N219" s="78" t="str">
        <f t="shared" si="11"/>
        <v/>
      </c>
      <c r="O219" s="78" t="str">
        <f>IF(AND('2.报价结算清单'!$P322&gt;0,'2.报价结算清单'!$B322&lt;&gt;0,'2.报价结算清单'!S322&lt;&gt;0),'2.报价结算清单'!S322,"")</f>
        <v/>
      </c>
      <c r="P219" s="78" t="str">
        <f>IF(AND('2.报价结算清单'!$P322&gt;0,'2.报价结算清单'!$B322&lt;&gt;0,'2.报价结算清单'!T322&lt;&gt;0),'2.报价结算清单'!T322,"")</f>
        <v/>
      </c>
      <c r="Q219" s="78" t="str">
        <f>IF(F219="",J219,VLOOKUP(F219,框架条目清单!A:K,4,FALSE))</f>
        <v/>
      </c>
      <c r="R219" s="106" t="str">
        <f>IF($A219="","",'2.报价结算清单'!$K$183)</f>
        <v/>
      </c>
      <c r="S219" s="80" t="str">
        <f>IF($A219="","",'2.报价结算清单'!$E$183)</f>
        <v/>
      </c>
      <c r="T219" s="78" t="str">
        <f>IF(F219="","",VLOOKUP(F219,框架条目清单!A:K,7,FALSE))</f>
        <v/>
      </c>
      <c r="U219" s="78" t="str">
        <f>IF(F219="","",VLOOKUP(F219,框架条目清单!A:K,8,FALSE))</f>
        <v/>
      </c>
      <c r="V219" s="78" t="str">
        <f>IF(F219="","",VLOOKUP(F219,框架条目清单!A:K,9,FALSE))</f>
        <v/>
      </c>
    </row>
    <row r="220" spans="1:22">
      <c r="A220" s="78" t="str">
        <f>IF(AND('2.报价结算清单'!$P323&gt;0,'2.报价结算清单'!$B323&lt;&gt;0,'2.报价结算清单'!$F323&lt;&gt;0),'2.报价结算清单'!$F323,"")</f>
        <v/>
      </c>
      <c r="B220" s="78" t="str">
        <f>_xlfn.IFNA(VLOOKUP(A220,'3.框架内物料'!$A:$I,3,0),A220)</f>
        <v/>
      </c>
      <c r="C220" s="78" t="str">
        <f>IF(AND('2.报价结算清单'!$P323&gt;0,'2.报价结算清单'!$B323&lt;&gt;0,'2.报价结算清单'!C323&lt;&gt;0),'2.报价结算清单'!C323,"")</f>
        <v/>
      </c>
      <c r="D220" s="78" t="str">
        <f>IF(AND('2.报价结算清单'!$P323&gt;0,'2.报价结算清单'!$B323&lt;&gt;0,'2.报价结算清单'!D323&lt;&gt;0),'2.报价结算清单'!D323,"")</f>
        <v/>
      </c>
      <c r="E220" s="78" t="str">
        <f>IF(AND('2.报价结算清单'!$P323&gt;0,'2.报价结算清单'!$B323&lt;&gt;0,'2.报价结算清单'!E323&lt;&gt;0),'2.报价结算清单'!E323,"")</f>
        <v/>
      </c>
      <c r="F220" s="105" t="str">
        <f>_xlfn.IFNA(IF($A220="","",IF(VLOOKUP($A220,'3.框架内物料'!$A:$I,2,0)="","",VLOOKUP($A220,'3.框架内物料'!$A:$I,2,0))),"")</f>
        <v/>
      </c>
      <c r="G220" s="87" t="str">
        <f>IF(AND('2.报价结算清单'!$P323&gt;0,'2.报价结算清单'!$B323&lt;&gt;0,'2.报价结算清单'!H323&lt;&gt;0),'2.报价结算清单'!H323,"")</f>
        <v/>
      </c>
      <c r="H220" s="122" t="str">
        <f>IF(AND('2.报价结算清单'!$P323&gt;0,'2.报价结算清单'!$B323&lt;&gt;0,'2.报价结算清单'!$F323&lt;&gt;0),'2.报价结算清单'!J323,"")</f>
        <v/>
      </c>
      <c r="I220" s="105" t="str">
        <f>IF(AND('2.报价结算清单'!$P323&gt;0,'2.报价结算清单'!$B323&lt;&gt;0,'2.报价结算清单'!$F323&lt;&gt;0),'2.报价结算清单'!L323,"")</f>
        <v/>
      </c>
      <c r="J220" s="105" t="str">
        <f>IF(AND('2.报价结算清单'!$P323&gt;0,'2.报价结算清单'!$B323&lt;&gt;0,'2.报价结算清单'!I323&lt;&gt;0),'2.报价结算清单'!I323,"")</f>
        <v/>
      </c>
      <c r="K220" s="105" t="str">
        <f>IF(AND('2.报价结算清单'!$P323&gt;0,'2.报价结算清单'!$B323&lt;&gt;0,'2.报价结算清单'!$F323&lt;&gt;0),'2.报价结算清单'!N323,"")</f>
        <v/>
      </c>
      <c r="L220" s="105" t="str">
        <f>IF(AND('2.报价结算清单'!$P323&gt;0,'2.报价结算清单'!$B323&lt;&gt;0,'2.报价结算清单'!I323&lt;&gt;0),"天","")</f>
        <v/>
      </c>
      <c r="M220" s="80" t="str">
        <f t="shared" si="10"/>
        <v/>
      </c>
      <c r="N220" s="78" t="str">
        <f t="shared" si="11"/>
        <v/>
      </c>
      <c r="O220" s="78" t="str">
        <f>IF(AND('2.报价结算清单'!$P323&gt;0,'2.报价结算清单'!$B323&lt;&gt;0,'2.报价结算清单'!S323&lt;&gt;0),'2.报价结算清单'!S323,"")</f>
        <v/>
      </c>
      <c r="P220" s="78" t="str">
        <f>IF(AND('2.报价结算清单'!$P323&gt;0,'2.报价结算清单'!$B323&lt;&gt;0,'2.报价结算清单'!T323&lt;&gt;0),'2.报价结算清单'!T323,"")</f>
        <v/>
      </c>
      <c r="Q220" s="78" t="str">
        <f>IF(F220="",J220,VLOOKUP(F220,框架条目清单!A:K,4,FALSE))</f>
        <v/>
      </c>
      <c r="R220" s="106" t="str">
        <f>IF($A220="","",'2.报价结算清单'!$K$183)</f>
        <v/>
      </c>
      <c r="S220" s="80" t="str">
        <f>IF($A220="","",'2.报价结算清单'!$E$183)</f>
        <v/>
      </c>
      <c r="T220" s="78" t="str">
        <f>IF(F220="","",VLOOKUP(F220,框架条目清单!A:K,7,FALSE))</f>
        <v/>
      </c>
      <c r="U220" s="78" t="str">
        <f>IF(F220="","",VLOOKUP(F220,框架条目清单!A:K,8,FALSE))</f>
        <v/>
      </c>
      <c r="V220" s="78" t="str">
        <f>IF(F220="","",VLOOKUP(F220,框架条目清单!A:K,9,FALSE))</f>
        <v/>
      </c>
    </row>
    <row r="221" spans="1:22">
      <c r="A221" s="78" t="str">
        <f>IF(AND('2.报价结算清单'!$P324&gt;0,'2.报价结算清单'!$B324&lt;&gt;0,'2.报价结算清单'!$F324&lt;&gt;0),'2.报价结算清单'!$F324,"")</f>
        <v/>
      </c>
      <c r="B221" s="78" t="str">
        <f>_xlfn.IFNA(VLOOKUP(A221,'3.框架内物料'!$A:$I,3,0),A221)</f>
        <v/>
      </c>
      <c r="C221" s="78" t="str">
        <f>IF(AND('2.报价结算清单'!$P324&gt;0,'2.报价结算清单'!$B324&lt;&gt;0,'2.报价结算清单'!C324&lt;&gt;0),'2.报价结算清单'!C324,"")</f>
        <v/>
      </c>
      <c r="D221" s="78" t="str">
        <f>IF(AND('2.报价结算清单'!$P324&gt;0,'2.报价结算清单'!$B324&lt;&gt;0,'2.报价结算清单'!D324&lt;&gt;0),'2.报价结算清单'!D324,"")</f>
        <v/>
      </c>
      <c r="E221" s="78" t="str">
        <f>IF(AND('2.报价结算清单'!$P324&gt;0,'2.报价结算清单'!$B324&lt;&gt;0,'2.报价结算清单'!E324&lt;&gt;0),'2.报价结算清单'!E324,"")</f>
        <v/>
      </c>
      <c r="F221" s="105" t="str">
        <f>_xlfn.IFNA(IF($A221="","",IF(VLOOKUP($A221,'3.框架内物料'!$A:$I,2,0)="","",VLOOKUP($A221,'3.框架内物料'!$A:$I,2,0))),"")</f>
        <v/>
      </c>
      <c r="G221" s="87" t="str">
        <f>IF(AND('2.报价结算清单'!$P324&gt;0,'2.报价结算清单'!$B324&lt;&gt;0,'2.报价结算清单'!H324&lt;&gt;0),'2.报价结算清单'!H324,"")</f>
        <v/>
      </c>
      <c r="H221" s="122" t="str">
        <f>IF(AND('2.报价结算清单'!$P324&gt;0,'2.报价结算清单'!$B324&lt;&gt;0,'2.报价结算清单'!$F324&lt;&gt;0),'2.报价结算清单'!J324,"")</f>
        <v/>
      </c>
      <c r="I221" s="105" t="str">
        <f>IF(AND('2.报价结算清单'!$P324&gt;0,'2.报价结算清单'!$B324&lt;&gt;0,'2.报价结算清单'!$F324&lt;&gt;0),'2.报价结算清单'!L324,"")</f>
        <v/>
      </c>
      <c r="J221" s="105" t="str">
        <f>IF(AND('2.报价结算清单'!$P324&gt;0,'2.报价结算清单'!$B324&lt;&gt;0,'2.报价结算清单'!I324&lt;&gt;0),'2.报价结算清单'!I324,"")</f>
        <v/>
      </c>
      <c r="K221" s="105" t="str">
        <f>IF(AND('2.报价结算清单'!$P324&gt;0,'2.报价结算清单'!$B324&lt;&gt;0,'2.报价结算清单'!$F324&lt;&gt;0),'2.报价结算清单'!N324,"")</f>
        <v/>
      </c>
      <c r="L221" s="105" t="str">
        <f>IF(AND('2.报价结算清单'!$P324&gt;0,'2.报价结算清单'!$B324&lt;&gt;0,'2.报价结算清单'!I324&lt;&gt;0),"天","")</f>
        <v/>
      </c>
      <c r="M221" s="80" t="str">
        <f t="shared" si="10"/>
        <v/>
      </c>
      <c r="N221" s="78" t="str">
        <f t="shared" si="11"/>
        <v/>
      </c>
      <c r="O221" s="78" t="str">
        <f>IF(AND('2.报价结算清单'!$P324&gt;0,'2.报价结算清单'!$B324&lt;&gt;0,'2.报价结算清单'!S324&lt;&gt;0),'2.报价结算清单'!S324,"")</f>
        <v/>
      </c>
      <c r="P221" s="78" t="str">
        <f>IF(AND('2.报价结算清单'!$P324&gt;0,'2.报价结算清单'!$B324&lt;&gt;0,'2.报价结算清单'!T324&lt;&gt;0),'2.报价结算清单'!T324,"")</f>
        <v/>
      </c>
      <c r="Q221" s="78" t="str">
        <f>IF(F221="",J221,VLOOKUP(F221,框架条目清单!A:K,4,FALSE))</f>
        <v/>
      </c>
      <c r="R221" s="106" t="str">
        <f>IF($A221="","",'2.报价结算清单'!$K$183)</f>
        <v/>
      </c>
      <c r="S221" s="80" t="str">
        <f>IF($A221="","",'2.报价结算清单'!$E$183)</f>
        <v/>
      </c>
      <c r="T221" s="78" t="str">
        <f>IF(F221="","",VLOOKUP(F221,框架条目清单!A:K,7,FALSE))</f>
        <v/>
      </c>
      <c r="U221" s="78" t="str">
        <f>IF(F221="","",VLOOKUP(F221,框架条目清单!A:K,8,FALSE))</f>
        <v/>
      </c>
      <c r="V221" s="78" t="str">
        <f>IF(F221="","",VLOOKUP(F221,框架条目清单!A:K,9,FALSE))</f>
        <v/>
      </c>
    </row>
    <row r="222" spans="1:22">
      <c r="A222" s="78" t="str">
        <f>IF(AND('2.报价结算清单'!$P325&gt;0,'2.报价结算清单'!$B325&lt;&gt;0,'2.报价结算清单'!$F325&lt;&gt;0),'2.报价结算清单'!$F325,"")</f>
        <v/>
      </c>
      <c r="B222" s="78" t="str">
        <f>_xlfn.IFNA(VLOOKUP(A222,'3.框架内物料'!$A:$I,3,0),A222)</f>
        <v/>
      </c>
      <c r="C222" s="78" t="str">
        <f>IF(AND('2.报价结算清单'!$P325&gt;0,'2.报价结算清单'!$B325&lt;&gt;0,'2.报价结算清单'!C325&lt;&gt;0),'2.报价结算清单'!C325,"")</f>
        <v/>
      </c>
      <c r="D222" s="78" t="str">
        <f>IF(AND('2.报价结算清单'!$P325&gt;0,'2.报价结算清单'!$B325&lt;&gt;0,'2.报价结算清单'!D325&lt;&gt;0),'2.报价结算清单'!D325,"")</f>
        <v/>
      </c>
      <c r="E222" s="78" t="str">
        <f>IF(AND('2.报价结算清单'!$P325&gt;0,'2.报价结算清单'!$B325&lt;&gt;0,'2.报价结算清单'!E325&lt;&gt;0),'2.报价结算清单'!E325,"")</f>
        <v/>
      </c>
      <c r="F222" s="105" t="str">
        <f>_xlfn.IFNA(IF($A222="","",IF(VLOOKUP($A222,'3.框架内物料'!$A:$I,2,0)="","",VLOOKUP($A222,'3.框架内物料'!$A:$I,2,0))),"")</f>
        <v/>
      </c>
      <c r="G222" s="87" t="str">
        <f>IF(AND('2.报价结算清单'!$P325&gt;0,'2.报价结算清单'!$B325&lt;&gt;0,'2.报价结算清单'!H325&lt;&gt;0),'2.报价结算清单'!H325,"")</f>
        <v/>
      </c>
      <c r="H222" s="122" t="str">
        <f>IF(AND('2.报价结算清单'!$P325&gt;0,'2.报价结算清单'!$B325&lt;&gt;0,'2.报价结算清单'!$F325&lt;&gt;0),'2.报价结算清单'!J325,"")</f>
        <v/>
      </c>
      <c r="I222" s="105" t="str">
        <f>IF(AND('2.报价结算清单'!$P325&gt;0,'2.报价结算清单'!$B325&lt;&gt;0,'2.报价结算清单'!$F325&lt;&gt;0),'2.报价结算清单'!L325,"")</f>
        <v/>
      </c>
      <c r="J222" s="105" t="str">
        <f>IF(AND('2.报价结算清单'!$P325&gt;0,'2.报价结算清单'!$B325&lt;&gt;0,'2.报价结算清单'!I325&lt;&gt;0),'2.报价结算清单'!I325,"")</f>
        <v/>
      </c>
      <c r="K222" s="105" t="str">
        <f>IF(AND('2.报价结算清单'!$P325&gt;0,'2.报价结算清单'!$B325&lt;&gt;0,'2.报价结算清单'!$F325&lt;&gt;0),'2.报价结算清单'!N325,"")</f>
        <v/>
      </c>
      <c r="L222" s="105" t="str">
        <f>IF(AND('2.报价结算清单'!$P325&gt;0,'2.报价结算清单'!$B325&lt;&gt;0,'2.报价结算清单'!I325&lt;&gt;0),"天","")</f>
        <v/>
      </c>
      <c r="M222" s="80" t="str">
        <f t="shared" si="10"/>
        <v/>
      </c>
      <c r="N222" s="78" t="str">
        <f t="shared" si="11"/>
        <v/>
      </c>
      <c r="O222" s="78" t="str">
        <f>IF(AND('2.报价结算清单'!$P325&gt;0,'2.报价结算清单'!$B325&lt;&gt;0,'2.报价结算清单'!S325&lt;&gt;0),'2.报价结算清单'!S325,"")</f>
        <v/>
      </c>
      <c r="P222" s="78" t="str">
        <f>IF(AND('2.报价结算清单'!$P325&gt;0,'2.报价结算清单'!$B325&lt;&gt;0,'2.报价结算清单'!T325&lt;&gt;0),'2.报价结算清单'!T325,"")</f>
        <v/>
      </c>
      <c r="Q222" s="78" t="str">
        <f>IF(F222="",J222,VLOOKUP(F222,框架条目清单!A:K,4,FALSE))</f>
        <v/>
      </c>
      <c r="R222" s="106" t="str">
        <f>IF($A222="","",'2.报价结算清单'!$K$183)</f>
        <v/>
      </c>
      <c r="S222" s="80" t="str">
        <f>IF($A222="","",'2.报价结算清单'!$E$183)</f>
        <v/>
      </c>
      <c r="T222" s="78" t="str">
        <f>IF(F222="","",VLOOKUP(F222,框架条目清单!A:K,7,FALSE))</f>
        <v/>
      </c>
      <c r="U222" s="78" t="str">
        <f>IF(F222="","",VLOOKUP(F222,框架条目清单!A:K,8,FALSE))</f>
        <v/>
      </c>
      <c r="V222" s="78" t="str">
        <f>IF(F222="","",VLOOKUP(F222,框架条目清单!A:K,9,FALSE))</f>
        <v/>
      </c>
    </row>
    <row r="223" spans="1:22">
      <c r="A223" s="78" t="str">
        <f>IF(AND('2.报价结算清单'!$P326&gt;0,'2.报价结算清单'!$B326&lt;&gt;0,'2.报价结算清单'!$F326&lt;&gt;0),'2.报价结算清单'!$F326,"")</f>
        <v/>
      </c>
      <c r="B223" s="78" t="str">
        <f>_xlfn.IFNA(VLOOKUP(A223,'3.框架内物料'!$A:$I,3,0),A223)</f>
        <v/>
      </c>
      <c r="C223" s="78" t="str">
        <f>IF(AND('2.报价结算清单'!$P326&gt;0,'2.报价结算清单'!$B326&lt;&gt;0,'2.报价结算清单'!C326&lt;&gt;0),'2.报价结算清单'!C326,"")</f>
        <v/>
      </c>
      <c r="D223" s="78" t="str">
        <f>IF(AND('2.报价结算清单'!$P326&gt;0,'2.报价结算清单'!$B326&lt;&gt;0,'2.报价结算清单'!D326&lt;&gt;0),'2.报价结算清单'!D326,"")</f>
        <v/>
      </c>
      <c r="E223" s="78" t="str">
        <f>IF(AND('2.报价结算清单'!$P326&gt;0,'2.报价结算清单'!$B326&lt;&gt;0,'2.报价结算清单'!E326&lt;&gt;0),'2.报价结算清单'!E326,"")</f>
        <v/>
      </c>
      <c r="F223" s="105" t="str">
        <f>_xlfn.IFNA(IF($A223="","",IF(VLOOKUP($A223,'3.框架内物料'!$A:$I,2,0)="","",VLOOKUP($A223,'3.框架内物料'!$A:$I,2,0))),"")</f>
        <v/>
      </c>
      <c r="G223" s="87" t="str">
        <f>IF(AND('2.报价结算清单'!$P326&gt;0,'2.报价结算清单'!$B326&lt;&gt;0,'2.报价结算清单'!H326&lt;&gt;0),'2.报价结算清单'!H326,"")</f>
        <v/>
      </c>
      <c r="H223" s="122" t="str">
        <f>IF(AND('2.报价结算清单'!$P326&gt;0,'2.报价结算清单'!$B326&lt;&gt;0,'2.报价结算清单'!$F326&lt;&gt;0),'2.报价结算清单'!J326,"")</f>
        <v/>
      </c>
      <c r="I223" s="105" t="str">
        <f>IF(AND('2.报价结算清单'!$P326&gt;0,'2.报价结算清单'!$B326&lt;&gt;0,'2.报价结算清单'!$F326&lt;&gt;0),'2.报价结算清单'!L326,"")</f>
        <v/>
      </c>
      <c r="J223" s="105" t="str">
        <f>IF(AND('2.报价结算清单'!$P326&gt;0,'2.报价结算清单'!$B326&lt;&gt;0,'2.报价结算清单'!I326&lt;&gt;0),'2.报价结算清单'!I326,"")</f>
        <v/>
      </c>
      <c r="K223" s="105" t="str">
        <f>IF(AND('2.报价结算清单'!$P326&gt;0,'2.报价结算清单'!$B326&lt;&gt;0,'2.报价结算清单'!$F326&lt;&gt;0),'2.报价结算清单'!N326,"")</f>
        <v/>
      </c>
      <c r="L223" s="105" t="str">
        <f>IF(AND('2.报价结算清单'!$P326&gt;0,'2.报价结算清单'!$B326&lt;&gt;0,'2.报价结算清单'!I326&lt;&gt;0),"天","")</f>
        <v/>
      </c>
      <c r="M223" s="80" t="str">
        <f t="shared" si="10"/>
        <v/>
      </c>
      <c r="N223" s="78" t="str">
        <f t="shared" si="11"/>
        <v/>
      </c>
      <c r="O223" s="78" t="str">
        <f>IF(AND('2.报价结算清单'!$P326&gt;0,'2.报价结算清单'!$B326&lt;&gt;0,'2.报价结算清单'!S326&lt;&gt;0),'2.报价结算清单'!S326,"")</f>
        <v/>
      </c>
      <c r="P223" s="78" t="str">
        <f>IF(AND('2.报价结算清单'!$P326&gt;0,'2.报价结算清单'!$B326&lt;&gt;0,'2.报价结算清单'!T326&lt;&gt;0),'2.报价结算清单'!T326,"")</f>
        <v/>
      </c>
      <c r="Q223" s="78" t="str">
        <f>IF(F223="",J223,VLOOKUP(F223,框架条目清单!A:K,4,FALSE))</f>
        <v/>
      </c>
      <c r="R223" s="106" t="str">
        <f>IF($A223="","",'2.报价结算清单'!$K$183)</f>
        <v/>
      </c>
      <c r="S223" s="80" t="str">
        <f>IF($A223="","",'2.报价结算清单'!$E$183)</f>
        <v/>
      </c>
      <c r="T223" s="78" t="str">
        <f>IF(F223="","",VLOOKUP(F223,框架条目清单!A:K,7,FALSE))</f>
        <v/>
      </c>
      <c r="U223" s="78" t="str">
        <f>IF(F223="","",VLOOKUP(F223,框架条目清单!A:K,8,FALSE))</f>
        <v/>
      </c>
      <c r="V223" s="78" t="str">
        <f>IF(F223="","",VLOOKUP(F223,框架条目清单!A:K,9,FALSE))</f>
        <v/>
      </c>
    </row>
    <row r="224" spans="1:22">
      <c r="A224" s="78" t="str">
        <f>IF(AND('2.报价结算清单'!$P327&gt;0,'2.报价结算清单'!$B327&lt;&gt;0,'2.报价结算清单'!$F327&lt;&gt;0),'2.报价结算清单'!$F327,"")</f>
        <v/>
      </c>
      <c r="B224" s="78" t="str">
        <f>_xlfn.IFNA(VLOOKUP(A224,'3.框架内物料'!$A:$I,3,0),A224)</f>
        <v/>
      </c>
      <c r="C224" s="78" t="str">
        <f>IF(AND('2.报价结算清单'!$P327&gt;0,'2.报价结算清单'!$B327&lt;&gt;0,'2.报价结算清单'!C327&lt;&gt;0),'2.报价结算清单'!C327,"")</f>
        <v/>
      </c>
      <c r="D224" s="78" t="str">
        <f>IF(AND('2.报价结算清单'!$P327&gt;0,'2.报价结算清单'!$B327&lt;&gt;0,'2.报价结算清单'!D327&lt;&gt;0),'2.报价结算清单'!D327,"")</f>
        <v/>
      </c>
      <c r="E224" s="78" t="str">
        <f>IF(AND('2.报价结算清单'!$P327&gt;0,'2.报价结算清单'!$B327&lt;&gt;0,'2.报价结算清单'!E327&lt;&gt;0),'2.报价结算清单'!E327,"")</f>
        <v/>
      </c>
      <c r="F224" s="105" t="str">
        <f>_xlfn.IFNA(IF($A224="","",IF(VLOOKUP($A224,'3.框架内物料'!$A:$I,2,0)="","",VLOOKUP($A224,'3.框架内物料'!$A:$I,2,0))),"")</f>
        <v/>
      </c>
      <c r="G224" s="87" t="str">
        <f>IF(AND('2.报价结算清单'!$P327&gt;0,'2.报价结算清单'!$B327&lt;&gt;0,'2.报价结算清单'!H327&lt;&gt;0),'2.报价结算清单'!H327,"")</f>
        <v/>
      </c>
      <c r="H224" s="122" t="str">
        <f>IF(AND('2.报价结算清单'!$P327&gt;0,'2.报价结算清单'!$B327&lt;&gt;0,'2.报价结算清单'!$F327&lt;&gt;0),'2.报价结算清单'!J327,"")</f>
        <v/>
      </c>
      <c r="I224" s="105" t="str">
        <f>IF(AND('2.报价结算清单'!$P327&gt;0,'2.报价结算清单'!$B327&lt;&gt;0,'2.报价结算清单'!$F327&lt;&gt;0),'2.报价结算清单'!L327,"")</f>
        <v/>
      </c>
      <c r="J224" s="105" t="str">
        <f>IF(AND('2.报价结算清单'!$P327&gt;0,'2.报价结算清单'!$B327&lt;&gt;0,'2.报价结算清单'!I327&lt;&gt;0),'2.报价结算清单'!I327,"")</f>
        <v/>
      </c>
      <c r="K224" s="105" t="str">
        <f>IF(AND('2.报价结算清单'!$P327&gt;0,'2.报价结算清单'!$B327&lt;&gt;0,'2.报价结算清单'!$F327&lt;&gt;0),'2.报价结算清单'!N327,"")</f>
        <v/>
      </c>
      <c r="L224" s="105" t="str">
        <f>IF(AND('2.报价结算清单'!$P327&gt;0,'2.报价结算清单'!$B327&lt;&gt;0,'2.报价结算清单'!I327&lt;&gt;0),"天","")</f>
        <v/>
      </c>
      <c r="M224" s="80" t="str">
        <f t="shared" si="10"/>
        <v/>
      </c>
      <c r="N224" s="78" t="str">
        <f t="shared" si="11"/>
        <v/>
      </c>
      <c r="O224" s="78" t="str">
        <f>IF(AND('2.报价结算清单'!$P327&gt;0,'2.报价结算清单'!$B327&lt;&gt;0,'2.报价结算清单'!S327&lt;&gt;0),'2.报价结算清单'!S327,"")</f>
        <v/>
      </c>
      <c r="P224" s="78" t="str">
        <f>IF(AND('2.报价结算清单'!$P327&gt;0,'2.报价结算清单'!$B327&lt;&gt;0,'2.报价结算清单'!T327&lt;&gt;0),'2.报价结算清单'!T327,"")</f>
        <v/>
      </c>
      <c r="Q224" s="78" t="str">
        <f>IF(F224="",J224,VLOOKUP(F224,框架条目清单!A:K,4,FALSE))</f>
        <v/>
      </c>
      <c r="R224" s="106" t="str">
        <f>IF($A224="","",'2.报价结算清单'!$K$183)</f>
        <v/>
      </c>
      <c r="S224" s="80" t="str">
        <f>IF($A224="","",'2.报价结算清单'!$E$183)</f>
        <v/>
      </c>
      <c r="T224" s="78" t="str">
        <f>IF(F224="","",VLOOKUP(F224,框架条目清单!A:K,7,FALSE))</f>
        <v/>
      </c>
      <c r="U224" s="78" t="str">
        <f>IF(F224="","",VLOOKUP(F224,框架条目清单!A:K,8,FALSE))</f>
        <v/>
      </c>
      <c r="V224" s="78" t="str">
        <f>IF(F224="","",VLOOKUP(F224,框架条目清单!A:K,9,FALSE))</f>
        <v/>
      </c>
    </row>
    <row r="225" spans="1:22">
      <c r="A225" s="78" t="str">
        <f>IF(AND('2.报价结算清单'!$P328&gt;0,'2.报价结算清单'!$B328&lt;&gt;0,'2.报价结算清单'!$F328&lt;&gt;0),'2.报价结算清单'!$F328,"")</f>
        <v/>
      </c>
      <c r="B225" s="78" t="str">
        <f>_xlfn.IFNA(VLOOKUP(A225,'3.框架内物料'!$A:$I,3,0),A225)</f>
        <v/>
      </c>
      <c r="C225" s="78" t="str">
        <f>IF(AND('2.报价结算清单'!$P328&gt;0,'2.报价结算清单'!$B328&lt;&gt;0,'2.报价结算清单'!C328&lt;&gt;0),'2.报价结算清单'!C328,"")</f>
        <v/>
      </c>
      <c r="D225" s="78" t="str">
        <f>IF(AND('2.报价结算清单'!$P328&gt;0,'2.报价结算清单'!$B328&lt;&gt;0,'2.报价结算清单'!D328&lt;&gt;0),'2.报价结算清单'!D328,"")</f>
        <v/>
      </c>
      <c r="E225" s="78" t="str">
        <f>IF(AND('2.报价结算清单'!$P328&gt;0,'2.报价结算清单'!$B328&lt;&gt;0,'2.报价结算清单'!E328&lt;&gt;0),'2.报价结算清单'!E328,"")</f>
        <v/>
      </c>
      <c r="F225" s="105" t="str">
        <f>_xlfn.IFNA(IF($A225="","",IF(VLOOKUP($A225,'3.框架内物料'!$A:$I,2,0)="","",VLOOKUP($A225,'3.框架内物料'!$A:$I,2,0))),"")</f>
        <v/>
      </c>
      <c r="G225" s="87" t="str">
        <f>IF(AND('2.报价结算清单'!$P328&gt;0,'2.报价结算清单'!$B328&lt;&gt;0,'2.报价结算清单'!H328&lt;&gt;0),'2.报价结算清单'!H328,"")</f>
        <v/>
      </c>
      <c r="H225" s="122" t="str">
        <f>IF(AND('2.报价结算清单'!$P328&gt;0,'2.报价结算清单'!$B328&lt;&gt;0,'2.报价结算清单'!$F328&lt;&gt;0),'2.报价结算清单'!J328,"")</f>
        <v/>
      </c>
      <c r="I225" s="105" t="str">
        <f>IF(AND('2.报价结算清单'!$P328&gt;0,'2.报价结算清单'!$B328&lt;&gt;0,'2.报价结算清单'!$F328&lt;&gt;0),'2.报价结算清单'!L328,"")</f>
        <v/>
      </c>
      <c r="J225" s="105" t="str">
        <f>IF(AND('2.报价结算清单'!$P328&gt;0,'2.报价结算清单'!$B328&lt;&gt;0,'2.报价结算清单'!I328&lt;&gt;0),'2.报价结算清单'!I328,"")</f>
        <v/>
      </c>
      <c r="K225" s="105" t="str">
        <f>IF(AND('2.报价结算清单'!$P328&gt;0,'2.报价结算清单'!$B328&lt;&gt;0,'2.报价结算清单'!$F328&lt;&gt;0),'2.报价结算清单'!N328,"")</f>
        <v/>
      </c>
      <c r="L225" s="105" t="str">
        <f>IF(AND('2.报价结算清单'!$P328&gt;0,'2.报价结算清单'!$B328&lt;&gt;0,'2.报价结算清单'!I328&lt;&gt;0),"天","")</f>
        <v/>
      </c>
      <c r="M225" s="80" t="str">
        <f t="shared" si="10"/>
        <v/>
      </c>
      <c r="N225" s="78" t="str">
        <f t="shared" si="11"/>
        <v/>
      </c>
      <c r="O225" s="78" t="str">
        <f>IF(AND('2.报价结算清单'!$P328&gt;0,'2.报价结算清单'!$B328&lt;&gt;0,'2.报价结算清单'!S328&lt;&gt;0),'2.报价结算清单'!S328,"")</f>
        <v/>
      </c>
      <c r="P225" s="78" t="str">
        <f>IF(AND('2.报价结算清单'!$P328&gt;0,'2.报价结算清单'!$B328&lt;&gt;0,'2.报价结算清单'!T328&lt;&gt;0),'2.报价结算清单'!T328,"")</f>
        <v/>
      </c>
      <c r="Q225" s="78" t="str">
        <f>IF(F225="",J225,VLOOKUP(F225,框架条目清单!A:K,4,FALSE))</f>
        <v/>
      </c>
      <c r="R225" s="106" t="str">
        <f>IF($A225="","",'2.报价结算清单'!$K$183)</f>
        <v/>
      </c>
      <c r="S225" s="80" t="str">
        <f>IF($A225="","",'2.报价结算清单'!$E$183)</f>
        <v/>
      </c>
      <c r="T225" s="78" t="str">
        <f>IF(F225="","",VLOOKUP(F225,框架条目清单!A:K,7,FALSE))</f>
        <v/>
      </c>
      <c r="U225" s="78" t="str">
        <f>IF(F225="","",VLOOKUP(F225,框架条目清单!A:K,8,FALSE))</f>
        <v/>
      </c>
      <c r="V225" s="78" t="str">
        <f>IF(F225="","",VLOOKUP(F225,框架条目清单!A:K,9,FALSE))</f>
        <v/>
      </c>
    </row>
    <row r="226" spans="1:22">
      <c r="A226" s="78" t="str">
        <f>IF(AND('2.报价结算清单'!$P329&gt;0,'2.报价结算清单'!$B329&lt;&gt;0,'2.报价结算清单'!$F329&lt;&gt;0),'2.报价结算清单'!$F329,"")</f>
        <v/>
      </c>
      <c r="B226" s="78" t="str">
        <f>_xlfn.IFNA(VLOOKUP(A226,'3.框架内物料'!$A:$I,3,0),A226)</f>
        <v/>
      </c>
      <c r="C226" s="78" t="str">
        <f>IF(AND('2.报价结算清单'!$P329&gt;0,'2.报价结算清单'!$B329&lt;&gt;0,'2.报价结算清单'!C329&lt;&gt;0),'2.报价结算清单'!C329,"")</f>
        <v/>
      </c>
      <c r="D226" s="78" t="str">
        <f>IF(AND('2.报价结算清单'!$P329&gt;0,'2.报价结算清单'!$B329&lt;&gt;0,'2.报价结算清单'!D329&lt;&gt;0),'2.报价结算清单'!D329,"")</f>
        <v/>
      </c>
      <c r="E226" s="78" t="str">
        <f>IF(AND('2.报价结算清单'!$P329&gt;0,'2.报价结算清单'!$B329&lt;&gt;0,'2.报价结算清单'!E329&lt;&gt;0),'2.报价结算清单'!E329,"")</f>
        <v/>
      </c>
      <c r="F226" s="105" t="str">
        <f>_xlfn.IFNA(IF($A226="","",IF(VLOOKUP($A226,'3.框架内物料'!$A:$I,2,0)="","",VLOOKUP($A226,'3.框架内物料'!$A:$I,2,0))),"")</f>
        <v/>
      </c>
      <c r="G226" s="87" t="str">
        <f>IF(AND('2.报价结算清单'!$P329&gt;0,'2.报价结算清单'!$B329&lt;&gt;0,'2.报价结算清单'!H329&lt;&gt;0),'2.报价结算清单'!H329,"")</f>
        <v/>
      </c>
      <c r="H226" s="122" t="str">
        <f>IF(AND('2.报价结算清单'!$P329&gt;0,'2.报价结算清单'!$B329&lt;&gt;0,'2.报价结算清单'!$F329&lt;&gt;0),'2.报价结算清单'!J329,"")</f>
        <v/>
      </c>
      <c r="I226" s="105" t="str">
        <f>IF(AND('2.报价结算清单'!$P329&gt;0,'2.报价结算清单'!$B329&lt;&gt;0,'2.报价结算清单'!$F329&lt;&gt;0),'2.报价结算清单'!L329,"")</f>
        <v/>
      </c>
      <c r="J226" s="105" t="str">
        <f>IF(AND('2.报价结算清单'!$P329&gt;0,'2.报价结算清单'!$B329&lt;&gt;0,'2.报价结算清单'!I329&lt;&gt;0),'2.报价结算清单'!I329,"")</f>
        <v/>
      </c>
      <c r="K226" s="105" t="str">
        <f>IF(AND('2.报价结算清单'!$P329&gt;0,'2.报价结算清单'!$B329&lt;&gt;0,'2.报价结算清单'!$F329&lt;&gt;0),'2.报价结算清单'!N329,"")</f>
        <v/>
      </c>
      <c r="L226" s="105" t="str">
        <f>IF(AND('2.报价结算清单'!$P329&gt;0,'2.报价结算清单'!$B329&lt;&gt;0,'2.报价结算清单'!I329&lt;&gt;0),"天","")</f>
        <v/>
      </c>
      <c r="M226" s="80" t="str">
        <f t="shared" si="10"/>
        <v/>
      </c>
      <c r="N226" s="78" t="str">
        <f t="shared" si="11"/>
        <v/>
      </c>
      <c r="O226" s="78" t="str">
        <f>IF(AND('2.报价结算清单'!$P329&gt;0,'2.报价结算清单'!$B329&lt;&gt;0,'2.报价结算清单'!S329&lt;&gt;0),'2.报价结算清单'!S329,"")</f>
        <v/>
      </c>
      <c r="P226" s="78" t="str">
        <f>IF(AND('2.报价结算清单'!$P329&gt;0,'2.报价结算清单'!$B329&lt;&gt;0,'2.报价结算清单'!T329&lt;&gt;0),'2.报价结算清单'!T329,"")</f>
        <v/>
      </c>
      <c r="Q226" s="78" t="str">
        <f>IF(F226="",J226,VLOOKUP(F226,框架条目清单!A:K,4,FALSE))</f>
        <v/>
      </c>
      <c r="R226" s="106" t="str">
        <f>IF($A226="","",'2.报价结算清单'!$K$183)</f>
        <v/>
      </c>
      <c r="S226" s="80" t="str">
        <f>IF($A226="","",'2.报价结算清单'!$E$183)</f>
        <v/>
      </c>
      <c r="T226" s="78" t="str">
        <f>IF(F226="","",VLOOKUP(F226,框架条目清单!A:K,7,FALSE))</f>
        <v/>
      </c>
      <c r="U226" s="78" t="str">
        <f>IF(F226="","",VLOOKUP(F226,框架条目清单!A:K,8,FALSE))</f>
        <v/>
      </c>
      <c r="V226" s="78" t="str">
        <f>IF(F226="","",VLOOKUP(F226,框架条目清单!A:K,9,FALSE))</f>
        <v/>
      </c>
    </row>
    <row r="227" spans="1:22">
      <c r="A227" s="78" t="str">
        <f>IF(AND('2.报价结算清单'!$P330&gt;0,'2.报价结算清单'!$B330&lt;&gt;0,'2.报价结算清单'!$F330&lt;&gt;0),'2.报价结算清单'!$F330,"")</f>
        <v/>
      </c>
      <c r="B227" s="78" t="str">
        <f>_xlfn.IFNA(VLOOKUP(A227,'3.框架内物料'!$A:$I,3,0),A227)</f>
        <v/>
      </c>
      <c r="C227" s="78" t="str">
        <f>IF(AND('2.报价结算清单'!$P330&gt;0,'2.报价结算清单'!$B330&lt;&gt;0,'2.报价结算清单'!C330&lt;&gt;0),'2.报价结算清单'!C330,"")</f>
        <v/>
      </c>
      <c r="D227" s="78" t="str">
        <f>IF(AND('2.报价结算清单'!$P330&gt;0,'2.报价结算清单'!$B330&lt;&gt;0,'2.报价结算清单'!D330&lt;&gt;0),'2.报价结算清单'!D330,"")</f>
        <v/>
      </c>
      <c r="E227" s="78" t="str">
        <f>IF(AND('2.报价结算清单'!$P330&gt;0,'2.报价结算清单'!$B330&lt;&gt;0,'2.报价结算清单'!E330&lt;&gt;0),'2.报价结算清单'!E330,"")</f>
        <v/>
      </c>
      <c r="F227" s="105" t="str">
        <f>_xlfn.IFNA(IF($A227="","",IF(VLOOKUP($A227,'3.框架内物料'!$A:$I,2,0)="","",VLOOKUP($A227,'3.框架内物料'!$A:$I,2,0))),"")</f>
        <v/>
      </c>
      <c r="G227" s="87" t="str">
        <f>IF(AND('2.报价结算清单'!$P330&gt;0,'2.报价结算清单'!$B330&lt;&gt;0,'2.报价结算清单'!H330&lt;&gt;0),'2.报价结算清单'!H330,"")</f>
        <v/>
      </c>
      <c r="H227" s="122" t="str">
        <f>IF(AND('2.报价结算清单'!$P330&gt;0,'2.报价结算清单'!$B330&lt;&gt;0,'2.报价结算清单'!$F330&lt;&gt;0),'2.报价结算清单'!J330,"")</f>
        <v/>
      </c>
      <c r="I227" s="105" t="str">
        <f>IF(AND('2.报价结算清单'!$P330&gt;0,'2.报价结算清单'!$B330&lt;&gt;0,'2.报价结算清单'!$F330&lt;&gt;0),'2.报价结算清单'!L330,"")</f>
        <v/>
      </c>
      <c r="J227" s="105" t="str">
        <f>IF(AND('2.报价结算清单'!$P330&gt;0,'2.报价结算清单'!$B330&lt;&gt;0,'2.报价结算清单'!I330&lt;&gt;0),'2.报价结算清单'!I330,"")</f>
        <v/>
      </c>
      <c r="K227" s="105" t="str">
        <f>IF(AND('2.报价结算清单'!$P330&gt;0,'2.报价结算清单'!$B330&lt;&gt;0,'2.报价结算清单'!$F330&lt;&gt;0),'2.报价结算清单'!N330,"")</f>
        <v/>
      </c>
      <c r="L227" s="105" t="str">
        <f>IF(AND('2.报价结算清单'!$P330&gt;0,'2.报价结算清单'!$B330&lt;&gt;0,'2.报价结算清单'!I330&lt;&gt;0),"天","")</f>
        <v/>
      </c>
      <c r="M227" s="80" t="str">
        <f t="shared" si="10"/>
        <v/>
      </c>
      <c r="N227" s="78" t="str">
        <f t="shared" si="11"/>
        <v/>
      </c>
      <c r="O227" s="78" t="str">
        <f>IF(AND('2.报价结算清单'!$P330&gt;0,'2.报价结算清单'!$B330&lt;&gt;0,'2.报价结算清单'!S330&lt;&gt;0),'2.报价结算清单'!S330,"")</f>
        <v/>
      </c>
      <c r="P227" s="78" t="str">
        <f>IF(AND('2.报价结算清单'!$P330&gt;0,'2.报价结算清单'!$B330&lt;&gt;0,'2.报价结算清单'!T330&lt;&gt;0),'2.报价结算清单'!T330,"")</f>
        <v/>
      </c>
      <c r="Q227" s="78" t="str">
        <f>IF(F227="",J227,VLOOKUP(F227,框架条目清单!A:K,4,FALSE))</f>
        <v/>
      </c>
      <c r="R227" s="106" t="str">
        <f>IF($A227="","",'2.报价结算清单'!$K$183)</f>
        <v/>
      </c>
      <c r="S227" s="80" t="str">
        <f>IF($A227="","",'2.报价结算清单'!$E$183)</f>
        <v/>
      </c>
      <c r="T227" s="78" t="str">
        <f>IF(F227="","",VLOOKUP(F227,框架条目清单!A:K,7,FALSE))</f>
        <v/>
      </c>
      <c r="U227" s="78" t="str">
        <f>IF(F227="","",VLOOKUP(F227,框架条目清单!A:K,8,FALSE))</f>
        <v/>
      </c>
      <c r="V227" s="78" t="str">
        <f>IF(F227="","",VLOOKUP(F227,框架条目清单!A:K,9,FALSE))</f>
        <v/>
      </c>
    </row>
    <row r="228" spans="1:22">
      <c r="A228" s="78" t="str">
        <f>IF(AND('2.报价结算清单'!$P331&gt;0,'2.报价结算清单'!$B331&lt;&gt;0,'2.报价结算清单'!$F331&lt;&gt;0),'2.报价结算清单'!$F331,"")</f>
        <v/>
      </c>
      <c r="B228" s="78" t="str">
        <f>_xlfn.IFNA(VLOOKUP(A228,'3.框架内物料'!$A:$I,3,0),A228)</f>
        <v/>
      </c>
      <c r="C228" s="78" t="str">
        <f>IF(AND('2.报价结算清单'!$P331&gt;0,'2.报价结算清单'!$B331&lt;&gt;0,'2.报价结算清单'!C331&lt;&gt;0),'2.报价结算清单'!C331,"")</f>
        <v/>
      </c>
      <c r="D228" s="78" t="str">
        <f>IF(AND('2.报价结算清单'!$P331&gt;0,'2.报价结算清单'!$B331&lt;&gt;0,'2.报价结算清单'!D331&lt;&gt;0),'2.报价结算清单'!D331,"")</f>
        <v/>
      </c>
      <c r="E228" s="78" t="str">
        <f>IF(AND('2.报价结算清单'!$P331&gt;0,'2.报价结算清单'!$B331&lt;&gt;0,'2.报价结算清单'!E331&lt;&gt;0),'2.报价结算清单'!E331,"")</f>
        <v/>
      </c>
      <c r="F228" s="105" t="str">
        <f>_xlfn.IFNA(IF($A228="","",IF(VLOOKUP($A228,'3.框架内物料'!$A:$I,2,0)="","",VLOOKUP($A228,'3.框架内物料'!$A:$I,2,0))),"")</f>
        <v/>
      </c>
      <c r="G228" s="87" t="str">
        <f>IF(AND('2.报价结算清单'!$P331&gt;0,'2.报价结算清单'!$B331&lt;&gt;0,'2.报价结算清单'!H331&lt;&gt;0),'2.报价结算清单'!H331,"")</f>
        <v/>
      </c>
      <c r="H228" s="122" t="str">
        <f>IF(AND('2.报价结算清单'!$P331&gt;0,'2.报价结算清单'!$B331&lt;&gt;0,'2.报价结算清单'!$F331&lt;&gt;0),'2.报价结算清单'!J331,"")</f>
        <v/>
      </c>
      <c r="I228" s="105" t="str">
        <f>IF(AND('2.报价结算清单'!$P331&gt;0,'2.报价结算清单'!$B331&lt;&gt;0,'2.报价结算清单'!$F331&lt;&gt;0),'2.报价结算清单'!L331,"")</f>
        <v/>
      </c>
      <c r="J228" s="105" t="str">
        <f>IF(AND('2.报价结算清单'!$P331&gt;0,'2.报价结算清单'!$B331&lt;&gt;0,'2.报价结算清单'!I331&lt;&gt;0),'2.报价结算清单'!I331,"")</f>
        <v/>
      </c>
      <c r="K228" s="105" t="str">
        <f>IF(AND('2.报价结算清单'!$P331&gt;0,'2.报价结算清单'!$B331&lt;&gt;0,'2.报价结算清单'!$F331&lt;&gt;0),'2.报价结算清单'!N331,"")</f>
        <v/>
      </c>
      <c r="L228" s="105" t="str">
        <f>IF(AND('2.报价结算清单'!$P331&gt;0,'2.报价结算清单'!$B331&lt;&gt;0,'2.报价结算清单'!I331&lt;&gt;0),"天","")</f>
        <v/>
      </c>
      <c r="M228" s="80" t="str">
        <f t="shared" si="10"/>
        <v/>
      </c>
      <c r="N228" s="78" t="str">
        <f t="shared" si="11"/>
        <v/>
      </c>
      <c r="O228" s="78" t="str">
        <f>IF(AND('2.报价结算清单'!$P331&gt;0,'2.报价结算清单'!$B331&lt;&gt;0,'2.报价结算清单'!S331&lt;&gt;0),'2.报价结算清单'!S331,"")</f>
        <v/>
      </c>
      <c r="P228" s="78" t="str">
        <f>IF(AND('2.报价结算清单'!$P331&gt;0,'2.报价结算清单'!$B331&lt;&gt;0,'2.报价结算清单'!T331&lt;&gt;0),'2.报价结算清单'!T331,"")</f>
        <v/>
      </c>
      <c r="Q228" s="78" t="str">
        <f>IF(F228="",J228,VLOOKUP(F228,框架条目清单!A:K,4,FALSE))</f>
        <v/>
      </c>
      <c r="R228" s="106" t="str">
        <f>IF($A228="","",'2.报价结算清单'!$K$183)</f>
        <v/>
      </c>
      <c r="S228" s="80" t="str">
        <f>IF($A228="","",'2.报价结算清单'!$E$183)</f>
        <v/>
      </c>
      <c r="T228" s="78" t="str">
        <f>IF(F228="","",VLOOKUP(F228,框架条目清单!A:K,7,FALSE))</f>
        <v/>
      </c>
      <c r="U228" s="78" t="str">
        <f>IF(F228="","",VLOOKUP(F228,框架条目清单!A:K,8,FALSE))</f>
        <v/>
      </c>
      <c r="V228" s="78" t="str">
        <f>IF(F228="","",VLOOKUP(F228,框架条目清单!A:K,9,FALSE))</f>
        <v/>
      </c>
    </row>
    <row r="229" spans="1:22">
      <c r="A229" s="78" t="str">
        <f>IF(AND('2.报价结算清单'!$P332&gt;0,'2.报价结算清单'!$B332&lt;&gt;0,'2.报价结算清单'!$F332&lt;&gt;0),'2.报价结算清单'!$F332,"")</f>
        <v/>
      </c>
      <c r="B229" s="78" t="str">
        <f>_xlfn.IFNA(VLOOKUP(A229,'3.框架内物料'!$A:$I,3,0),A229)</f>
        <v/>
      </c>
      <c r="C229" s="78" t="str">
        <f>IF(AND('2.报价结算清单'!$P332&gt;0,'2.报价结算清单'!$B332&lt;&gt;0,'2.报价结算清单'!C332&lt;&gt;0),'2.报价结算清单'!C332,"")</f>
        <v/>
      </c>
      <c r="D229" s="78" t="str">
        <f>IF(AND('2.报价结算清单'!$P332&gt;0,'2.报价结算清单'!$B332&lt;&gt;0,'2.报价结算清单'!D332&lt;&gt;0),'2.报价结算清单'!D332,"")</f>
        <v/>
      </c>
      <c r="E229" s="78" t="str">
        <f>IF(AND('2.报价结算清单'!$P332&gt;0,'2.报价结算清单'!$B332&lt;&gt;0,'2.报价结算清单'!E332&lt;&gt;0),'2.报价结算清单'!E332,"")</f>
        <v/>
      </c>
      <c r="F229" s="105" t="str">
        <f>_xlfn.IFNA(IF($A229="","",IF(VLOOKUP($A229,'3.框架内物料'!$A:$I,2,0)="","",VLOOKUP($A229,'3.框架内物料'!$A:$I,2,0))),"")</f>
        <v/>
      </c>
      <c r="G229" s="87" t="str">
        <f>IF(AND('2.报价结算清单'!$P332&gt;0,'2.报价结算清单'!$B332&lt;&gt;0,'2.报价结算清单'!H332&lt;&gt;0),'2.报价结算清单'!H332,"")</f>
        <v/>
      </c>
      <c r="H229" s="122" t="str">
        <f>IF(AND('2.报价结算清单'!$P332&gt;0,'2.报价结算清单'!$B332&lt;&gt;0,'2.报价结算清单'!$F332&lt;&gt;0),'2.报价结算清单'!J332,"")</f>
        <v/>
      </c>
      <c r="I229" s="105" t="str">
        <f>IF(AND('2.报价结算清单'!$P332&gt;0,'2.报价结算清单'!$B332&lt;&gt;0,'2.报价结算清单'!$F332&lt;&gt;0),'2.报价结算清单'!L332,"")</f>
        <v/>
      </c>
      <c r="J229" s="105" t="str">
        <f>IF(AND('2.报价结算清单'!$P332&gt;0,'2.报价结算清单'!$B332&lt;&gt;0,'2.报价结算清单'!I332&lt;&gt;0),'2.报价结算清单'!I332,"")</f>
        <v/>
      </c>
      <c r="K229" s="105" t="str">
        <f>IF(AND('2.报价结算清单'!$P332&gt;0,'2.报价结算清单'!$B332&lt;&gt;0,'2.报价结算清单'!$F332&lt;&gt;0),'2.报价结算清单'!N332,"")</f>
        <v/>
      </c>
      <c r="L229" s="105" t="str">
        <f>IF(AND('2.报价结算清单'!$P332&gt;0,'2.报价结算清单'!$B332&lt;&gt;0,'2.报价结算清单'!I332&lt;&gt;0),"天","")</f>
        <v/>
      </c>
      <c r="M229" s="80" t="str">
        <f t="shared" si="10"/>
        <v/>
      </c>
      <c r="N229" s="78" t="str">
        <f t="shared" si="11"/>
        <v/>
      </c>
      <c r="O229" s="78" t="str">
        <f>IF(AND('2.报价结算清单'!$P332&gt;0,'2.报价结算清单'!$B332&lt;&gt;0,'2.报价结算清单'!S332&lt;&gt;0),'2.报价结算清单'!S332,"")</f>
        <v/>
      </c>
      <c r="P229" s="78" t="str">
        <f>IF(AND('2.报价结算清单'!$P332&gt;0,'2.报价结算清单'!$B332&lt;&gt;0,'2.报价结算清单'!T332&lt;&gt;0),'2.报价结算清单'!T332,"")</f>
        <v/>
      </c>
      <c r="Q229" s="78" t="str">
        <f>IF(F229="",J229,VLOOKUP(F229,框架条目清单!A:K,4,FALSE))</f>
        <v/>
      </c>
      <c r="R229" s="106" t="str">
        <f>IF($A229="","",'2.报价结算清单'!$K$183)</f>
        <v/>
      </c>
      <c r="S229" s="80" t="str">
        <f>IF($A229="","",'2.报价结算清单'!$E$183)</f>
        <v/>
      </c>
      <c r="T229" s="78" t="str">
        <f>IF(F229="","",VLOOKUP(F229,框架条目清单!A:K,7,FALSE))</f>
        <v/>
      </c>
      <c r="U229" s="78" t="str">
        <f>IF(F229="","",VLOOKUP(F229,框架条目清单!A:K,8,FALSE))</f>
        <v/>
      </c>
      <c r="V229" s="78" t="str">
        <f>IF(F229="","",VLOOKUP(F229,框架条目清单!A:K,9,FALSE))</f>
        <v/>
      </c>
    </row>
    <row r="230" spans="1:22">
      <c r="A230" s="78" t="str">
        <f>IF(AND('2.报价结算清单'!$P333&gt;0,'2.报价结算清单'!$B333&lt;&gt;0,'2.报价结算清单'!$F333&lt;&gt;0),'2.报价结算清单'!$F333,"")</f>
        <v/>
      </c>
      <c r="B230" s="78" t="str">
        <f>_xlfn.IFNA(VLOOKUP(A230,'3.框架内物料'!$A:$I,3,0),A230)</f>
        <v/>
      </c>
      <c r="C230" s="78" t="str">
        <f>IF(AND('2.报价结算清单'!$P333&gt;0,'2.报价结算清单'!$B333&lt;&gt;0,'2.报价结算清单'!C333&lt;&gt;0),'2.报价结算清单'!C333,"")</f>
        <v/>
      </c>
      <c r="D230" s="78" t="str">
        <f>IF(AND('2.报价结算清单'!$P333&gt;0,'2.报价结算清单'!$B333&lt;&gt;0,'2.报价结算清单'!D333&lt;&gt;0),'2.报价结算清单'!D333,"")</f>
        <v/>
      </c>
      <c r="E230" s="78" t="str">
        <f>IF(AND('2.报价结算清单'!$P333&gt;0,'2.报价结算清单'!$B333&lt;&gt;0,'2.报价结算清单'!E333&lt;&gt;0),'2.报价结算清单'!E333,"")</f>
        <v/>
      </c>
      <c r="F230" s="105" t="str">
        <f>_xlfn.IFNA(IF($A230="","",IF(VLOOKUP($A230,'3.框架内物料'!$A:$I,2,0)="","",VLOOKUP($A230,'3.框架内物料'!$A:$I,2,0))),"")</f>
        <v/>
      </c>
      <c r="G230" s="87" t="str">
        <f>IF(AND('2.报价结算清单'!$P333&gt;0,'2.报价结算清单'!$B333&lt;&gt;0,'2.报价结算清单'!H333&lt;&gt;0),'2.报价结算清单'!H333,"")</f>
        <v/>
      </c>
      <c r="H230" s="122" t="str">
        <f>IF(AND('2.报价结算清单'!$P333&gt;0,'2.报价结算清单'!$B333&lt;&gt;0,'2.报价结算清单'!$F333&lt;&gt;0),'2.报价结算清单'!J333,"")</f>
        <v/>
      </c>
      <c r="I230" s="105" t="str">
        <f>IF(AND('2.报价结算清单'!$P333&gt;0,'2.报价结算清单'!$B333&lt;&gt;0,'2.报价结算清单'!$F333&lt;&gt;0),'2.报价结算清单'!L333,"")</f>
        <v/>
      </c>
      <c r="J230" s="105" t="str">
        <f>IF(AND('2.报价结算清单'!$P333&gt;0,'2.报价结算清单'!$B333&lt;&gt;0,'2.报价结算清单'!I333&lt;&gt;0),'2.报价结算清单'!I333,"")</f>
        <v/>
      </c>
      <c r="K230" s="105" t="str">
        <f>IF(AND('2.报价结算清单'!$P333&gt;0,'2.报价结算清单'!$B333&lt;&gt;0,'2.报价结算清单'!$F333&lt;&gt;0),'2.报价结算清单'!N333,"")</f>
        <v/>
      </c>
      <c r="L230" s="105" t="str">
        <f>IF(AND('2.报价结算清单'!$P333&gt;0,'2.报价结算清单'!$B333&lt;&gt;0,'2.报价结算清单'!I333&lt;&gt;0),"天","")</f>
        <v/>
      </c>
      <c r="M230" s="80" t="str">
        <f t="shared" si="10"/>
        <v/>
      </c>
      <c r="N230" s="78" t="str">
        <f t="shared" si="11"/>
        <v/>
      </c>
      <c r="O230" s="78" t="str">
        <f>IF(AND('2.报价结算清单'!$P333&gt;0,'2.报价结算清单'!$B333&lt;&gt;0,'2.报价结算清单'!S333&lt;&gt;0),'2.报价结算清单'!S333,"")</f>
        <v/>
      </c>
      <c r="P230" s="78" t="str">
        <f>IF(AND('2.报价结算清单'!$P333&gt;0,'2.报价结算清单'!$B333&lt;&gt;0,'2.报价结算清单'!T333&lt;&gt;0),'2.报价结算清单'!T333,"")</f>
        <v/>
      </c>
      <c r="Q230" s="78" t="str">
        <f>IF(F230="",J230,VLOOKUP(F230,框架条目清单!A:K,4,FALSE))</f>
        <v/>
      </c>
      <c r="R230" s="106" t="str">
        <f>IF($A230="","",'2.报价结算清单'!$K$183)</f>
        <v/>
      </c>
      <c r="S230" s="80" t="str">
        <f>IF($A230="","",'2.报价结算清单'!$E$183)</f>
        <v/>
      </c>
      <c r="T230" s="78" t="str">
        <f>IF(F230="","",VLOOKUP(F230,框架条目清单!A:K,7,FALSE))</f>
        <v/>
      </c>
      <c r="U230" s="78" t="str">
        <f>IF(F230="","",VLOOKUP(F230,框架条目清单!A:K,8,FALSE))</f>
        <v/>
      </c>
      <c r="V230" s="78" t="str">
        <f>IF(F230="","",VLOOKUP(F230,框架条目清单!A:K,9,FALSE))</f>
        <v/>
      </c>
    </row>
    <row r="231" spans="1:22">
      <c r="A231" s="78" t="str">
        <f>IF(AND('2.报价结算清单'!$P334&gt;0,'2.报价结算清单'!$B334&lt;&gt;0,'2.报价结算清单'!$F334&lt;&gt;0),'2.报价结算清单'!$F334,"")</f>
        <v/>
      </c>
      <c r="B231" s="78" t="str">
        <f>_xlfn.IFNA(VLOOKUP(A231,'3.框架内物料'!$A:$I,3,0),A231)</f>
        <v/>
      </c>
      <c r="C231" s="78" t="str">
        <f>IF(AND('2.报价结算清单'!$P334&gt;0,'2.报价结算清单'!$B334&lt;&gt;0,'2.报价结算清单'!C334&lt;&gt;0),'2.报价结算清单'!C334,"")</f>
        <v/>
      </c>
      <c r="D231" s="78" t="str">
        <f>IF(AND('2.报价结算清单'!$P334&gt;0,'2.报价结算清单'!$B334&lt;&gt;0,'2.报价结算清单'!D334&lt;&gt;0),'2.报价结算清单'!D334,"")</f>
        <v/>
      </c>
      <c r="E231" s="78" t="str">
        <f>IF(AND('2.报价结算清单'!$P334&gt;0,'2.报价结算清单'!$B334&lt;&gt;0,'2.报价结算清单'!E334&lt;&gt;0),'2.报价结算清单'!E334,"")</f>
        <v/>
      </c>
      <c r="F231" s="105" t="str">
        <f>_xlfn.IFNA(IF($A231="","",IF(VLOOKUP($A231,'3.框架内物料'!$A:$I,2,0)="","",VLOOKUP($A231,'3.框架内物料'!$A:$I,2,0))),"")</f>
        <v/>
      </c>
      <c r="G231" s="87" t="str">
        <f>IF(AND('2.报价结算清单'!$P334&gt;0,'2.报价结算清单'!$B334&lt;&gt;0,'2.报价结算清单'!H334&lt;&gt;0),'2.报价结算清单'!H334,"")</f>
        <v/>
      </c>
      <c r="H231" s="122" t="str">
        <f>IF(AND('2.报价结算清单'!$P334&gt;0,'2.报价结算清单'!$B334&lt;&gt;0,'2.报价结算清单'!$F334&lt;&gt;0),'2.报价结算清单'!J334,"")</f>
        <v/>
      </c>
      <c r="I231" s="105" t="str">
        <f>IF(AND('2.报价结算清单'!$P334&gt;0,'2.报价结算清单'!$B334&lt;&gt;0,'2.报价结算清单'!$F334&lt;&gt;0),'2.报价结算清单'!L334,"")</f>
        <v/>
      </c>
      <c r="J231" s="105" t="str">
        <f>IF(AND('2.报价结算清单'!$P334&gt;0,'2.报价结算清单'!$B334&lt;&gt;0,'2.报价结算清单'!I334&lt;&gt;0),'2.报价结算清单'!I334,"")</f>
        <v/>
      </c>
      <c r="K231" s="105" t="str">
        <f>IF(AND('2.报价结算清单'!$P334&gt;0,'2.报价结算清单'!$B334&lt;&gt;0,'2.报价结算清单'!$F334&lt;&gt;0),'2.报价结算清单'!N334,"")</f>
        <v/>
      </c>
      <c r="L231" s="105" t="str">
        <f>IF(AND('2.报价结算清单'!$P334&gt;0,'2.报价结算清单'!$B334&lt;&gt;0,'2.报价结算清单'!I334&lt;&gt;0),"天","")</f>
        <v/>
      </c>
      <c r="M231" s="80" t="str">
        <f t="shared" si="10"/>
        <v/>
      </c>
      <c r="N231" s="78" t="str">
        <f t="shared" si="11"/>
        <v/>
      </c>
      <c r="O231" s="78" t="str">
        <f>IF(AND('2.报价结算清单'!$P334&gt;0,'2.报价结算清单'!$B334&lt;&gt;0,'2.报价结算清单'!S334&lt;&gt;0),'2.报价结算清单'!S334,"")</f>
        <v/>
      </c>
      <c r="P231" s="78" t="str">
        <f>IF(AND('2.报价结算清单'!$P334&gt;0,'2.报价结算清单'!$B334&lt;&gt;0,'2.报价结算清单'!T334&lt;&gt;0),'2.报价结算清单'!T334,"")</f>
        <v/>
      </c>
      <c r="Q231" s="78" t="str">
        <f>IF(F231="",J231,VLOOKUP(F231,框架条目清单!A:K,4,FALSE))</f>
        <v/>
      </c>
      <c r="R231" s="106" t="str">
        <f>IF($A231="","",'2.报价结算清单'!$K$183)</f>
        <v/>
      </c>
      <c r="S231" s="80" t="str">
        <f>IF($A231="","",'2.报价结算清单'!$E$183)</f>
        <v/>
      </c>
      <c r="T231" s="78" t="str">
        <f>IF(F231="","",VLOOKUP(F231,框架条目清单!A:K,7,FALSE))</f>
        <v/>
      </c>
      <c r="U231" s="78" t="str">
        <f>IF(F231="","",VLOOKUP(F231,框架条目清单!A:K,8,FALSE))</f>
        <v/>
      </c>
      <c r="V231" s="78" t="str">
        <f>IF(F231="","",VLOOKUP(F231,框架条目清单!A:K,9,FALSE))</f>
        <v/>
      </c>
    </row>
    <row r="232" spans="1:22">
      <c r="A232" s="78" t="str">
        <f>IF(AND('2.报价结算清单'!$P335&gt;0,'2.报价结算清单'!$B335&lt;&gt;0,'2.报价结算清单'!$F335&lt;&gt;0),'2.报价结算清单'!$F335,"")</f>
        <v/>
      </c>
      <c r="B232" s="78" t="str">
        <f>_xlfn.IFNA(VLOOKUP(A232,'3.框架内物料'!$A:$I,3,0),A232)</f>
        <v/>
      </c>
      <c r="C232" s="78" t="str">
        <f>IF(AND('2.报价结算清单'!$P335&gt;0,'2.报价结算清单'!$B335&lt;&gt;0,'2.报价结算清单'!C335&lt;&gt;0),'2.报价结算清单'!C335,"")</f>
        <v/>
      </c>
      <c r="D232" s="78" t="str">
        <f>IF(AND('2.报价结算清单'!$P335&gt;0,'2.报价结算清单'!$B335&lt;&gt;0,'2.报价结算清单'!D335&lt;&gt;0),'2.报价结算清单'!D335,"")</f>
        <v/>
      </c>
      <c r="E232" s="78" t="str">
        <f>IF(AND('2.报价结算清单'!$P335&gt;0,'2.报价结算清单'!$B335&lt;&gt;0,'2.报价结算清单'!E335&lt;&gt;0),'2.报价结算清单'!E335,"")</f>
        <v/>
      </c>
      <c r="F232" s="105" t="str">
        <f>_xlfn.IFNA(IF($A232="","",IF(VLOOKUP($A232,'3.框架内物料'!$A:$I,2,0)="","",VLOOKUP($A232,'3.框架内物料'!$A:$I,2,0))),"")</f>
        <v/>
      </c>
      <c r="G232" s="87" t="str">
        <f>IF(AND('2.报价结算清单'!$P335&gt;0,'2.报价结算清单'!$B335&lt;&gt;0,'2.报价结算清单'!H335&lt;&gt;0),'2.报价结算清单'!H335,"")</f>
        <v/>
      </c>
      <c r="H232" s="122" t="str">
        <f>IF(AND('2.报价结算清单'!$P335&gt;0,'2.报价结算清单'!$B335&lt;&gt;0,'2.报价结算清单'!$F335&lt;&gt;0),'2.报价结算清单'!J335,"")</f>
        <v/>
      </c>
      <c r="I232" s="105" t="str">
        <f>IF(AND('2.报价结算清单'!$P335&gt;0,'2.报价结算清单'!$B335&lt;&gt;0,'2.报价结算清单'!$F335&lt;&gt;0),'2.报价结算清单'!L335,"")</f>
        <v/>
      </c>
      <c r="J232" s="105" t="str">
        <f>IF(AND('2.报价结算清单'!$P335&gt;0,'2.报价结算清单'!$B335&lt;&gt;0,'2.报价结算清单'!I335&lt;&gt;0),'2.报价结算清单'!I335,"")</f>
        <v/>
      </c>
      <c r="K232" s="105" t="str">
        <f>IF(AND('2.报价结算清单'!$P335&gt;0,'2.报价结算清单'!$B335&lt;&gt;0,'2.报价结算清单'!$F335&lt;&gt;0),'2.报价结算清单'!N335,"")</f>
        <v/>
      </c>
      <c r="L232" s="105" t="str">
        <f>IF(AND('2.报价结算清单'!$P335&gt;0,'2.报价结算清单'!$B335&lt;&gt;0,'2.报价结算清单'!I335&lt;&gt;0),"天","")</f>
        <v/>
      </c>
      <c r="M232" s="80" t="str">
        <f t="shared" si="10"/>
        <v/>
      </c>
      <c r="N232" s="78" t="str">
        <f t="shared" si="11"/>
        <v/>
      </c>
      <c r="O232" s="78" t="str">
        <f>IF(AND('2.报价结算清单'!$P335&gt;0,'2.报价结算清单'!$B335&lt;&gt;0,'2.报价结算清单'!S335&lt;&gt;0),'2.报价结算清单'!S335,"")</f>
        <v/>
      </c>
      <c r="P232" s="78" t="str">
        <f>IF(AND('2.报价结算清单'!$P335&gt;0,'2.报价结算清单'!$B335&lt;&gt;0,'2.报价结算清单'!T335&lt;&gt;0),'2.报价结算清单'!T335,"")</f>
        <v/>
      </c>
      <c r="Q232" s="78" t="str">
        <f>IF(F232="",J232,VLOOKUP(F232,框架条目清单!A:K,4,FALSE))</f>
        <v/>
      </c>
      <c r="R232" s="106" t="str">
        <f>IF($A232="","",'2.报价结算清单'!$K$183)</f>
        <v/>
      </c>
      <c r="S232" s="80" t="str">
        <f>IF($A232="","",'2.报价结算清单'!$E$183)</f>
        <v/>
      </c>
      <c r="T232" s="78" t="str">
        <f>IF(F232="","",VLOOKUP(F232,框架条目清单!A:K,7,FALSE))</f>
        <v/>
      </c>
      <c r="U232" s="78" t="str">
        <f>IF(F232="","",VLOOKUP(F232,框架条目清单!A:K,8,FALSE))</f>
        <v/>
      </c>
      <c r="V232" s="78" t="str">
        <f>IF(F232="","",VLOOKUP(F232,框架条目清单!A:K,9,FALSE))</f>
        <v/>
      </c>
    </row>
    <row r="233" spans="1:22">
      <c r="A233" s="78" t="str">
        <f>IF(AND('2.报价结算清单'!$P336&gt;0,'2.报价结算清单'!$B336&lt;&gt;0,'2.报价结算清单'!$F336&lt;&gt;0),'2.报价结算清单'!$F336,"")</f>
        <v/>
      </c>
      <c r="B233" s="78" t="str">
        <f>_xlfn.IFNA(VLOOKUP(A233,'3.框架内物料'!$A:$I,3,0),A233)</f>
        <v/>
      </c>
      <c r="C233" s="78" t="str">
        <f>IF(AND('2.报价结算清单'!$P336&gt;0,'2.报价结算清单'!$B336&lt;&gt;0,'2.报价结算清单'!C336&lt;&gt;0),'2.报价结算清单'!C336,"")</f>
        <v/>
      </c>
      <c r="D233" s="78" t="str">
        <f>IF(AND('2.报价结算清单'!$P336&gt;0,'2.报价结算清单'!$B336&lt;&gt;0,'2.报价结算清单'!D336&lt;&gt;0),'2.报价结算清单'!D336,"")</f>
        <v/>
      </c>
      <c r="E233" s="78" t="str">
        <f>IF(AND('2.报价结算清单'!$P336&gt;0,'2.报价结算清单'!$B336&lt;&gt;0,'2.报价结算清单'!E336&lt;&gt;0),'2.报价结算清单'!E336,"")</f>
        <v/>
      </c>
      <c r="F233" s="105" t="str">
        <f>_xlfn.IFNA(IF($A233="","",IF(VLOOKUP($A233,'3.框架内物料'!$A:$I,2,0)="","",VLOOKUP($A233,'3.框架内物料'!$A:$I,2,0))),"")</f>
        <v/>
      </c>
      <c r="G233" s="87" t="str">
        <f>IF(AND('2.报价结算清单'!$P336&gt;0,'2.报价结算清单'!$B336&lt;&gt;0,'2.报价结算清单'!H336&lt;&gt;0),'2.报价结算清单'!H336,"")</f>
        <v/>
      </c>
      <c r="H233" s="122" t="str">
        <f>IF(AND('2.报价结算清单'!$P336&gt;0,'2.报价结算清单'!$B336&lt;&gt;0,'2.报价结算清单'!$F336&lt;&gt;0),'2.报价结算清单'!J336,"")</f>
        <v/>
      </c>
      <c r="I233" s="105" t="str">
        <f>IF(AND('2.报价结算清单'!$P336&gt;0,'2.报价结算清单'!$B336&lt;&gt;0,'2.报价结算清单'!$F336&lt;&gt;0),'2.报价结算清单'!L336,"")</f>
        <v/>
      </c>
      <c r="J233" s="105" t="str">
        <f>IF(AND('2.报价结算清单'!$P336&gt;0,'2.报价结算清单'!$B336&lt;&gt;0,'2.报价结算清单'!I336&lt;&gt;0),'2.报价结算清单'!I336,"")</f>
        <v/>
      </c>
      <c r="K233" s="105" t="str">
        <f>IF(AND('2.报价结算清单'!$P336&gt;0,'2.报价结算清单'!$B336&lt;&gt;0,'2.报价结算清单'!$F336&lt;&gt;0),'2.报价结算清单'!N336,"")</f>
        <v/>
      </c>
      <c r="L233" s="105" t="str">
        <f>IF(AND('2.报价结算清单'!$P336&gt;0,'2.报价结算清单'!$B336&lt;&gt;0,'2.报价结算清单'!I336&lt;&gt;0),"天","")</f>
        <v/>
      </c>
      <c r="M233" s="80" t="str">
        <f t="shared" si="10"/>
        <v/>
      </c>
      <c r="N233" s="78" t="str">
        <f t="shared" si="11"/>
        <v/>
      </c>
      <c r="O233" s="78" t="str">
        <f>IF(AND('2.报价结算清单'!$P336&gt;0,'2.报价结算清单'!$B336&lt;&gt;0,'2.报价结算清单'!S336&lt;&gt;0),'2.报价结算清单'!S336,"")</f>
        <v/>
      </c>
      <c r="P233" s="78" t="str">
        <f>IF(AND('2.报价结算清单'!$P336&gt;0,'2.报价结算清单'!$B336&lt;&gt;0,'2.报价结算清单'!T336&lt;&gt;0),'2.报价结算清单'!T336,"")</f>
        <v/>
      </c>
      <c r="Q233" s="78" t="str">
        <f>IF(F233="",J233,VLOOKUP(F233,框架条目清单!A:K,4,FALSE))</f>
        <v/>
      </c>
      <c r="R233" s="106" t="str">
        <f>IF($A233="","",'2.报价结算清单'!$K$183)</f>
        <v/>
      </c>
      <c r="S233" s="80" t="str">
        <f>IF($A233="","",'2.报价结算清单'!$E$183)</f>
        <v/>
      </c>
      <c r="T233" s="78" t="str">
        <f>IF(F233="","",VLOOKUP(F233,框架条目清单!A:K,7,FALSE))</f>
        <v/>
      </c>
      <c r="U233" s="78" t="str">
        <f>IF(F233="","",VLOOKUP(F233,框架条目清单!A:K,8,FALSE))</f>
        <v/>
      </c>
      <c r="V233" s="78" t="str">
        <f>IF(F233="","",VLOOKUP(F233,框架条目清单!A:K,9,FALSE))</f>
        <v/>
      </c>
    </row>
    <row r="234" spans="1:22">
      <c r="A234" s="78" t="str">
        <f>IF(AND('2.报价结算清单'!$P337&gt;0,'2.报价结算清单'!$B337&lt;&gt;0,'2.报价结算清单'!$F337&lt;&gt;0),'2.报价结算清单'!$F337,"")</f>
        <v/>
      </c>
      <c r="B234" s="78" t="str">
        <f>_xlfn.IFNA(VLOOKUP(A234,'3.框架内物料'!$A:$I,3,0),A234)</f>
        <v/>
      </c>
      <c r="C234" s="78" t="str">
        <f>IF(AND('2.报价结算清单'!$P337&gt;0,'2.报价结算清单'!$B337&lt;&gt;0,'2.报价结算清单'!C337&lt;&gt;0),'2.报价结算清单'!C337,"")</f>
        <v/>
      </c>
      <c r="D234" s="78" t="str">
        <f>IF(AND('2.报价结算清单'!$P337&gt;0,'2.报价结算清单'!$B337&lt;&gt;0,'2.报价结算清单'!D337&lt;&gt;0),'2.报价结算清单'!D337,"")</f>
        <v/>
      </c>
      <c r="E234" s="78" t="str">
        <f>IF(AND('2.报价结算清单'!$P337&gt;0,'2.报价结算清单'!$B337&lt;&gt;0,'2.报价结算清单'!E337&lt;&gt;0),'2.报价结算清单'!E337,"")</f>
        <v/>
      </c>
      <c r="F234" s="105" t="str">
        <f>_xlfn.IFNA(IF($A234="","",IF(VLOOKUP($A234,'3.框架内物料'!$A:$I,2,0)="","",VLOOKUP($A234,'3.框架内物料'!$A:$I,2,0))),"")</f>
        <v/>
      </c>
      <c r="G234" s="87" t="str">
        <f>IF(AND('2.报价结算清单'!$P337&gt;0,'2.报价结算清单'!$B337&lt;&gt;0,'2.报价结算清单'!H337&lt;&gt;0),'2.报价结算清单'!H337,"")</f>
        <v/>
      </c>
      <c r="H234" s="122" t="str">
        <f>IF(AND('2.报价结算清单'!$P337&gt;0,'2.报价结算清单'!$B337&lt;&gt;0,'2.报价结算清单'!$F337&lt;&gt;0),'2.报价结算清单'!J337,"")</f>
        <v/>
      </c>
      <c r="I234" s="105" t="str">
        <f>IF(AND('2.报价结算清单'!$P337&gt;0,'2.报价结算清单'!$B337&lt;&gt;0,'2.报价结算清单'!$F337&lt;&gt;0),'2.报价结算清单'!L337,"")</f>
        <v/>
      </c>
      <c r="J234" s="105" t="str">
        <f>IF(AND('2.报价结算清单'!$P337&gt;0,'2.报价结算清单'!$B337&lt;&gt;0,'2.报价结算清单'!I337&lt;&gt;0),'2.报价结算清单'!I337,"")</f>
        <v/>
      </c>
      <c r="K234" s="105" t="str">
        <f>IF(AND('2.报价结算清单'!$P337&gt;0,'2.报价结算清单'!$B337&lt;&gt;0,'2.报价结算清单'!$F337&lt;&gt;0),'2.报价结算清单'!N337,"")</f>
        <v/>
      </c>
      <c r="L234" s="105" t="str">
        <f>IF(AND('2.报价结算清单'!$P337&gt;0,'2.报价结算清单'!$B337&lt;&gt;0,'2.报价结算清单'!I337&lt;&gt;0),"天","")</f>
        <v/>
      </c>
      <c r="M234" s="80" t="str">
        <f t="shared" si="10"/>
        <v/>
      </c>
      <c r="N234" s="78" t="str">
        <f t="shared" si="11"/>
        <v/>
      </c>
      <c r="O234" s="78" t="str">
        <f>IF(AND('2.报价结算清单'!$P337&gt;0,'2.报价结算清单'!$B337&lt;&gt;0,'2.报价结算清单'!S337&lt;&gt;0),'2.报价结算清单'!S337,"")</f>
        <v/>
      </c>
      <c r="P234" s="78" t="str">
        <f>IF(AND('2.报价结算清单'!$P337&gt;0,'2.报价结算清单'!$B337&lt;&gt;0,'2.报价结算清单'!T337&lt;&gt;0),'2.报价结算清单'!T337,"")</f>
        <v/>
      </c>
      <c r="Q234" s="78" t="str">
        <f>IF(F234="",J234,VLOOKUP(F234,框架条目清单!A:K,4,FALSE))</f>
        <v/>
      </c>
      <c r="R234" s="106" t="str">
        <f>IF($A234="","",'2.报价结算清单'!$K$183)</f>
        <v/>
      </c>
      <c r="S234" s="80" t="str">
        <f>IF($A234="","",'2.报价结算清单'!$E$183)</f>
        <v/>
      </c>
      <c r="T234" s="78" t="str">
        <f>IF(F234="","",VLOOKUP(F234,框架条目清单!A:K,7,FALSE))</f>
        <v/>
      </c>
      <c r="U234" s="78" t="str">
        <f>IF(F234="","",VLOOKUP(F234,框架条目清单!A:K,8,FALSE))</f>
        <v/>
      </c>
      <c r="V234" s="78" t="str">
        <f>IF(F234="","",VLOOKUP(F234,框架条目清单!A:K,9,FALSE))</f>
        <v/>
      </c>
    </row>
    <row r="235" spans="1:22">
      <c r="A235" s="78" t="str">
        <f>IF(AND('2.报价结算清单'!$P338&gt;0,'2.报价结算清单'!$B338&lt;&gt;0,'2.报价结算清单'!$F338&lt;&gt;0),'2.报价结算清单'!$F338,"")</f>
        <v/>
      </c>
      <c r="B235" s="78" t="str">
        <f>_xlfn.IFNA(VLOOKUP(A235,'3.框架内物料'!$A:$I,3,0),A235)</f>
        <v/>
      </c>
      <c r="C235" s="78" t="str">
        <f>IF(AND('2.报价结算清单'!$P338&gt;0,'2.报价结算清单'!$B338&lt;&gt;0,'2.报价结算清单'!C338&lt;&gt;0),'2.报价结算清单'!C338,"")</f>
        <v/>
      </c>
      <c r="D235" s="78" t="str">
        <f>IF(AND('2.报价结算清单'!$P338&gt;0,'2.报价结算清单'!$B338&lt;&gt;0,'2.报价结算清单'!D338&lt;&gt;0),'2.报价结算清单'!D338,"")</f>
        <v/>
      </c>
      <c r="E235" s="78" t="str">
        <f>IF(AND('2.报价结算清单'!$P338&gt;0,'2.报价结算清单'!$B338&lt;&gt;0,'2.报价结算清单'!E338&lt;&gt;0),'2.报价结算清单'!E338,"")</f>
        <v/>
      </c>
      <c r="F235" s="105" t="str">
        <f>_xlfn.IFNA(IF($A235="","",IF(VLOOKUP($A235,'3.框架内物料'!$A:$I,2,0)="","",VLOOKUP($A235,'3.框架内物料'!$A:$I,2,0))),"")</f>
        <v/>
      </c>
      <c r="G235" s="87" t="str">
        <f>IF(AND('2.报价结算清单'!$P338&gt;0,'2.报价结算清单'!$B338&lt;&gt;0,'2.报价结算清单'!H338&lt;&gt;0),'2.报价结算清单'!H338,"")</f>
        <v/>
      </c>
      <c r="H235" s="122" t="str">
        <f>IF(AND('2.报价结算清单'!$P338&gt;0,'2.报价结算清单'!$B338&lt;&gt;0,'2.报价结算清单'!$F338&lt;&gt;0),'2.报价结算清单'!J338,"")</f>
        <v/>
      </c>
      <c r="I235" s="105" t="str">
        <f>IF(AND('2.报价结算清单'!$P338&gt;0,'2.报价结算清单'!$B338&lt;&gt;0,'2.报价结算清单'!$F338&lt;&gt;0),'2.报价结算清单'!L338,"")</f>
        <v/>
      </c>
      <c r="J235" s="105" t="str">
        <f>IF(AND('2.报价结算清单'!$P338&gt;0,'2.报价结算清单'!$B338&lt;&gt;0,'2.报价结算清单'!I338&lt;&gt;0),'2.报价结算清单'!I338,"")</f>
        <v/>
      </c>
      <c r="K235" s="105" t="str">
        <f>IF(AND('2.报价结算清单'!$P338&gt;0,'2.报价结算清单'!$B338&lt;&gt;0,'2.报价结算清单'!$F338&lt;&gt;0),'2.报价结算清单'!N338,"")</f>
        <v/>
      </c>
      <c r="L235" s="105" t="str">
        <f>IF(AND('2.报价结算清单'!$P338&gt;0,'2.报价结算清单'!$B338&lt;&gt;0,'2.报价结算清单'!I338&lt;&gt;0),"天","")</f>
        <v/>
      </c>
      <c r="M235" s="80" t="str">
        <f t="shared" si="10"/>
        <v/>
      </c>
      <c r="N235" s="78" t="str">
        <f t="shared" si="11"/>
        <v/>
      </c>
      <c r="O235" s="78" t="str">
        <f>IF(AND('2.报价结算清单'!$P338&gt;0,'2.报价结算清单'!$B338&lt;&gt;0,'2.报价结算清单'!S338&lt;&gt;0),'2.报价结算清单'!S338,"")</f>
        <v/>
      </c>
      <c r="P235" s="78" t="str">
        <f>IF(AND('2.报价结算清单'!$P338&gt;0,'2.报价结算清单'!$B338&lt;&gt;0,'2.报价结算清单'!T338&lt;&gt;0),'2.报价结算清单'!T338,"")</f>
        <v/>
      </c>
      <c r="Q235" s="78" t="str">
        <f>IF(F235="",J235,VLOOKUP(F235,框架条目清单!A:K,4,FALSE))</f>
        <v/>
      </c>
      <c r="R235" s="106" t="str">
        <f>IF($A235="","",'2.报价结算清单'!$K$183)</f>
        <v/>
      </c>
      <c r="S235" s="80" t="str">
        <f>IF($A235="","",'2.报价结算清单'!$E$183)</f>
        <v/>
      </c>
      <c r="T235" s="78" t="str">
        <f>IF(F235="","",VLOOKUP(F235,框架条目清单!A:K,7,FALSE))</f>
        <v/>
      </c>
      <c r="U235" s="78" t="str">
        <f>IF(F235="","",VLOOKUP(F235,框架条目清单!A:K,8,FALSE))</f>
        <v/>
      </c>
      <c r="V235" s="78" t="str">
        <f>IF(F235="","",VLOOKUP(F235,框架条目清单!A:K,9,FALSE))</f>
        <v/>
      </c>
    </row>
    <row r="236" spans="1:22">
      <c r="A236" s="78" t="str">
        <f>IF(AND('2.报价结算清单'!$P339&gt;0,'2.报价结算清单'!$B339&lt;&gt;0,'2.报价结算清单'!$F339&lt;&gt;0),'2.报价结算清单'!$F339,"")</f>
        <v/>
      </c>
      <c r="B236" s="78" t="str">
        <f>_xlfn.IFNA(VLOOKUP(A236,'3.框架内物料'!$A:$I,3,0),A236)</f>
        <v/>
      </c>
      <c r="C236" s="78" t="str">
        <f>IF(AND('2.报价结算清单'!$P339&gt;0,'2.报价结算清单'!$B339&lt;&gt;0,'2.报价结算清单'!C339&lt;&gt;0),'2.报价结算清单'!C339,"")</f>
        <v/>
      </c>
      <c r="D236" s="78" t="str">
        <f>IF(AND('2.报价结算清单'!$P339&gt;0,'2.报价结算清单'!$B339&lt;&gt;0,'2.报价结算清单'!D339&lt;&gt;0),'2.报价结算清单'!D339,"")</f>
        <v/>
      </c>
      <c r="E236" s="78" t="str">
        <f>IF(AND('2.报价结算清单'!$P339&gt;0,'2.报价结算清单'!$B339&lt;&gt;0,'2.报价结算清单'!E339&lt;&gt;0),'2.报价结算清单'!E339,"")</f>
        <v/>
      </c>
      <c r="F236" s="105" t="str">
        <f>_xlfn.IFNA(IF($A236="","",IF(VLOOKUP($A236,'3.框架内物料'!$A:$I,2,0)="","",VLOOKUP($A236,'3.框架内物料'!$A:$I,2,0))),"")</f>
        <v/>
      </c>
      <c r="G236" s="87" t="str">
        <f>IF(AND('2.报价结算清单'!$P339&gt;0,'2.报价结算清单'!$B339&lt;&gt;0,'2.报价结算清单'!H339&lt;&gt;0),'2.报价结算清单'!H339,"")</f>
        <v/>
      </c>
      <c r="H236" s="122" t="str">
        <f>IF(AND('2.报价结算清单'!$P339&gt;0,'2.报价结算清单'!$B339&lt;&gt;0,'2.报价结算清单'!$F339&lt;&gt;0),'2.报价结算清单'!J339,"")</f>
        <v/>
      </c>
      <c r="I236" s="105" t="str">
        <f>IF(AND('2.报价结算清单'!$P339&gt;0,'2.报价结算清单'!$B339&lt;&gt;0,'2.报价结算清单'!$F339&lt;&gt;0),'2.报价结算清单'!L339,"")</f>
        <v/>
      </c>
      <c r="J236" s="105" t="str">
        <f>IF(AND('2.报价结算清单'!$P339&gt;0,'2.报价结算清单'!$B339&lt;&gt;0,'2.报价结算清单'!I339&lt;&gt;0),'2.报价结算清单'!I339,"")</f>
        <v/>
      </c>
      <c r="K236" s="105" t="str">
        <f>IF(AND('2.报价结算清单'!$P339&gt;0,'2.报价结算清单'!$B339&lt;&gt;0,'2.报价结算清单'!$F339&lt;&gt;0),'2.报价结算清单'!N339,"")</f>
        <v/>
      </c>
      <c r="L236" s="105" t="str">
        <f>IF(AND('2.报价结算清单'!$P339&gt;0,'2.报价结算清单'!$B339&lt;&gt;0,'2.报价结算清单'!I339&lt;&gt;0),"天","")</f>
        <v/>
      </c>
      <c r="M236" s="80" t="str">
        <f t="shared" si="10"/>
        <v/>
      </c>
      <c r="N236" s="78" t="str">
        <f t="shared" si="11"/>
        <v/>
      </c>
      <c r="O236" s="78" t="str">
        <f>IF(AND('2.报价结算清单'!$P339&gt;0,'2.报价结算清单'!$B339&lt;&gt;0,'2.报价结算清单'!S339&lt;&gt;0),'2.报价结算清单'!S339,"")</f>
        <v/>
      </c>
      <c r="P236" s="78" t="str">
        <f>IF(AND('2.报价结算清单'!$P339&gt;0,'2.报价结算清单'!$B339&lt;&gt;0,'2.报价结算清单'!T339&lt;&gt;0),'2.报价结算清单'!T339,"")</f>
        <v/>
      </c>
      <c r="Q236" s="78" t="str">
        <f>IF(F236="",J236,VLOOKUP(F236,框架条目清单!A:K,4,FALSE))</f>
        <v/>
      </c>
      <c r="R236" s="106" t="str">
        <f>IF($A236="","",'2.报价结算清单'!$K$183)</f>
        <v/>
      </c>
      <c r="S236" s="80" t="str">
        <f>IF($A236="","",'2.报价结算清单'!$E$183)</f>
        <v/>
      </c>
      <c r="T236" s="78" t="str">
        <f>IF(F236="","",VLOOKUP(F236,框架条目清单!A:K,7,FALSE))</f>
        <v/>
      </c>
      <c r="U236" s="78" t="str">
        <f>IF(F236="","",VLOOKUP(F236,框架条目清单!A:K,8,FALSE))</f>
        <v/>
      </c>
      <c r="V236" s="78" t="str">
        <f>IF(F236="","",VLOOKUP(F236,框架条目清单!A:K,9,FALSE))</f>
        <v/>
      </c>
    </row>
    <row r="237" spans="1:22">
      <c r="A237" s="78" t="str">
        <f>IF(AND('2.报价结算清单'!$P340&gt;0,'2.报价结算清单'!$B340&lt;&gt;0,'2.报价结算清单'!$F340&lt;&gt;0),'2.报价结算清单'!$F340,"")</f>
        <v/>
      </c>
      <c r="B237" s="78" t="str">
        <f>_xlfn.IFNA(VLOOKUP(A237,'3.框架内物料'!$A:$I,3,0),A237)</f>
        <v/>
      </c>
      <c r="C237" s="78" t="str">
        <f>IF(AND('2.报价结算清单'!$P340&gt;0,'2.报价结算清单'!$B340&lt;&gt;0,'2.报价结算清单'!C340&lt;&gt;0),'2.报价结算清单'!C340,"")</f>
        <v/>
      </c>
      <c r="D237" s="78" t="str">
        <f>IF(AND('2.报价结算清单'!$P340&gt;0,'2.报价结算清单'!$B340&lt;&gt;0,'2.报价结算清单'!D340&lt;&gt;0),'2.报价结算清单'!D340,"")</f>
        <v/>
      </c>
      <c r="E237" s="78" t="str">
        <f>IF(AND('2.报价结算清单'!$P340&gt;0,'2.报价结算清单'!$B340&lt;&gt;0,'2.报价结算清单'!E340&lt;&gt;0),'2.报价结算清单'!E340,"")</f>
        <v/>
      </c>
      <c r="F237" s="105" t="str">
        <f>_xlfn.IFNA(IF($A237="","",IF(VLOOKUP($A237,'3.框架内物料'!$A:$I,2,0)="","",VLOOKUP($A237,'3.框架内物料'!$A:$I,2,0))),"")</f>
        <v/>
      </c>
      <c r="G237" s="87" t="str">
        <f>IF(AND('2.报价结算清单'!$P340&gt;0,'2.报价结算清单'!$B340&lt;&gt;0,'2.报价结算清单'!H340&lt;&gt;0),'2.报价结算清单'!H340,"")</f>
        <v/>
      </c>
      <c r="H237" s="122" t="str">
        <f>IF(AND('2.报价结算清单'!$P340&gt;0,'2.报价结算清单'!$B340&lt;&gt;0,'2.报价结算清单'!$F340&lt;&gt;0),'2.报价结算清单'!J340,"")</f>
        <v/>
      </c>
      <c r="I237" s="105" t="str">
        <f>IF(AND('2.报价结算清单'!$P340&gt;0,'2.报价结算清单'!$B340&lt;&gt;0,'2.报价结算清单'!$F340&lt;&gt;0),'2.报价结算清单'!L340,"")</f>
        <v/>
      </c>
      <c r="J237" s="105" t="str">
        <f>IF(AND('2.报价结算清单'!$P340&gt;0,'2.报价结算清单'!$B340&lt;&gt;0,'2.报价结算清单'!I340&lt;&gt;0),'2.报价结算清单'!I340,"")</f>
        <v/>
      </c>
      <c r="K237" s="105" t="str">
        <f>IF(AND('2.报价结算清单'!$P340&gt;0,'2.报价结算清单'!$B340&lt;&gt;0,'2.报价结算清单'!$F340&lt;&gt;0),'2.报价结算清单'!N340,"")</f>
        <v/>
      </c>
      <c r="L237" s="105" t="str">
        <f>IF(AND('2.报价结算清单'!$P340&gt;0,'2.报价结算清单'!$B340&lt;&gt;0,'2.报价结算清单'!I340&lt;&gt;0),"天","")</f>
        <v/>
      </c>
      <c r="M237" s="80" t="str">
        <f t="shared" si="10"/>
        <v/>
      </c>
      <c r="N237" s="78" t="str">
        <f t="shared" si="11"/>
        <v/>
      </c>
      <c r="O237" s="78" t="str">
        <f>IF(AND('2.报价结算清单'!$P340&gt;0,'2.报价结算清单'!$B340&lt;&gt;0,'2.报价结算清单'!S340&lt;&gt;0),'2.报价结算清单'!S340,"")</f>
        <v/>
      </c>
      <c r="P237" s="78" t="str">
        <f>IF(AND('2.报价结算清单'!$P340&gt;0,'2.报价结算清单'!$B340&lt;&gt;0,'2.报价结算清单'!T340&lt;&gt;0),'2.报价结算清单'!T340,"")</f>
        <v/>
      </c>
      <c r="Q237" s="78" t="str">
        <f>IF(F237="",J237,VLOOKUP(F237,框架条目清单!A:K,4,FALSE))</f>
        <v/>
      </c>
      <c r="R237" s="106" t="str">
        <f>IF($A237="","",'2.报价结算清单'!$K$183)</f>
        <v/>
      </c>
      <c r="S237" s="80" t="str">
        <f>IF($A237="","",'2.报价结算清单'!$E$183)</f>
        <v/>
      </c>
      <c r="T237" s="78" t="str">
        <f>IF(F237="","",VLOOKUP(F237,框架条目清单!A:K,7,FALSE))</f>
        <v/>
      </c>
      <c r="U237" s="78" t="str">
        <f>IF(F237="","",VLOOKUP(F237,框架条目清单!A:K,8,FALSE))</f>
        <v/>
      </c>
      <c r="V237" s="78" t="str">
        <f>IF(F237="","",VLOOKUP(F237,框架条目清单!A:K,9,FALSE))</f>
        <v/>
      </c>
    </row>
    <row r="238" spans="1:22">
      <c r="A238" s="78" t="str">
        <f>IF(AND('2.报价结算清单'!$P341&gt;0,'2.报价结算清单'!$B341&lt;&gt;0,'2.报价结算清单'!$F341&lt;&gt;0),'2.报价结算清单'!$F341,"")</f>
        <v/>
      </c>
      <c r="B238" s="78" t="str">
        <f>_xlfn.IFNA(VLOOKUP(A238,'3.框架内物料'!$A:$I,3,0),A238)</f>
        <v/>
      </c>
      <c r="C238" s="78" t="str">
        <f>IF(AND('2.报价结算清单'!$P341&gt;0,'2.报价结算清单'!$B341&lt;&gt;0,'2.报价结算清单'!C341&lt;&gt;0),'2.报价结算清单'!C341,"")</f>
        <v/>
      </c>
      <c r="D238" s="78" t="str">
        <f>IF(AND('2.报价结算清单'!$P341&gt;0,'2.报价结算清单'!$B341&lt;&gt;0,'2.报价结算清单'!D341&lt;&gt;0),'2.报价结算清单'!D341,"")</f>
        <v/>
      </c>
      <c r="E238" s="78" t="str">
        <f>IF(AND('2.报价结算清单'!$P341&gt;0,'2.报价结算清单'!$B341&lt;&gt;0,'2.报价结算清单'!E341&lt;&gt;0),'2.报价结算清单'!E341,"")</f>
        <v/>
      </c>
      <c r="F238" s="105" t="str">
        <f>_xlfn.IFNA(IF($A238="","",IF(VLOOKUP($A238,'3.框架内物料'!$A:$I,2,0)="","",VLOOKUP($A238,'3.框架内物料'!$A:$I,2,0))),"")</f>
        <v/>
      </c>
      <c r="G238" s="87" t="str">
        <f>IF(AND('2.报价结算清单'!$P341&gt;0,'2.报价结算清单'!$B341&lt;&gt;0,'2.报价结算清单'!H341&lt;&gt;0),'2.报价结算清单'!H341,"")</f>
        <v/>
      </c>
      <c r="H238" s="122" t="str">
        <f>IF(AND('2.报价结算清单'!$P341&gt;0,'2.报价结算清单'!$B341&lt;&gt;0,'2.报价结算清单'!$F341&lt;&gt;0),'2.报价结算清单'!J341,"")</f>
        <v/>
      </c>
      <c r="I238" s="105" t="str">
        <f>IF(AND('2.报价结算清单'!$P341&gt;0,'2.报价结算清单'!$B341&lt;&gt;0,'2.报价结算清单'!$F341&lt;&gt;0),'2.报价结算清单'!L341,"")</f>
        <v/>
      </c>
      <c r="J238" s="105" t="str">
        <f>IF(AND('2.报价结算清单'!$P341&gt;0,'2.报价结算清单'!$B341&lt;&gt;0,'2.报价结算清单'!I341&lt;&gt;0),'2.报价结算清单'!I341,"")</f>
        <v/>
      </c>
      <c r="K238" s="105" t="str">
        <f>IF(AND('2.报价结算清单'!$P341&gt;0,'2.报价结算清单'!$B341&lt;&gt;0,'2.报价结算清单'!$F341&lt;&gt;0),'2.报价结算清单'!N341,"")</f>
        <v/>
      </c>
      <c r="L238" s="105" t="str">
        <f>IF(AND('2.报价结算清单'!$P341&gt;0,'2.报价结算清单'!$B341&lt;&gt;0,'2.报价结算清单'!I341&lt;&gt;0),"天","")</f>
        <v/>
      </c>
      <c r="M238" s="80" t="str">
        <f t="shared" si="10"/>
        <v/>
      </c>
      <c r="N238" s="78" t="str">
        <f t="shared" si="11"/>
        <v/>
      </c>
      <c r="O238" s="78" t="str">
        <f>IF(AND('2.报价结算清单'!$P341&gt;0,'2.报价结算清单'!$B341&lt;&gt;0,'2.报价结算清单'!S341&lt;&gt;0),'2.报价结算清单'!S341,"")</f>
        <v/>
      </c>
      <c r="P238" s="78" t="str">
        <f>IF(AND('2.报价结算清单'!$P341&gt;0,'2.报价结算清单'!$B341&lt;&gt;0,'2.报价结算清单'!T341&lt;&gt;0),'2.报价结算清单'!T341,"")</f>
        <v/>
      </c>
      <c r="Q238" s="78" t="str">
        <f>IF(F238="",J238,VLOOKUP(F238,框架条目清单!A:K,4,FALSE))</f>
        <v/>
      </c>
      <c r="R238" s="106" t="str">
        <f>IF($A238="","",'2.报价结算清单'!$K$183)</f>
        <v/>
      </c>
      <c r="S238" s="80" t="str">
        <f>IF($A238="","",'2.报价结算清单'!$E$183)</f>
        <v/>
      </c>
      <c r="T238" s="78" t="str">
        <f>IF(F238="","",VLOOKUP(F238,框架条目清单!A:K,7,FALSE))</f>
        <v/>
      </c>
      <c r="U238" s="78" t="str">
        <f>IF(F238="","",VLOOKUP(F238,框架条目清单!A:K,8,FALSE))</f>
        <v/>
      </c>
      <c r="V238" s="78" t="str">
        <f>IF(F238="","",VLOOKUP(F238,框架条目清单!A:K,9,FALSE))</f>
        <v/>
      </c>
    </row>
    <row r="239" spans="1:22">
      <c r="A239" s="78" t="str">
        <f>IF(AND('2.报价结算清单'!$P342&gt;0,'2.报价结算清单'!$B342&lt;&gt;0,'2.报价结算清单'!$F342&lt;&gt;0),'2.报价结算清单'!$F342,"")</f>
        <v/>
      </c>
      <c r="B239" s="78" t="str">
        <f>_xlfn.IFNA(VLOOKUP(A239,'3.框架内物料'!$A:$I,3,0),A239)</f>
        <v/>
      </c>
      <c r="C239" s="78" t="str">
        <f>IF(AND('2.报价结算清单'!$P342&gt;0,'2.报价结算清单'!$B342&lt;&gt;0,'2.报价结算清单'!C342&lt;&gt;0),'2.报价结算清单'!C342,"")</f>
        <v/>
      </c>
      <c r="D239" s="78" t="str">
        <f>IF(AND('2.报价结算清单'!$P342&gt;0,'2.报价结算清单'!$B342&lt;&gt;0,'2.报价结算清单'!D342&lt;&gt;0),'2.报价结算清单'!D342,"")</f>
        <v/>
      </c>
      <c r="E239" s="78" t="str">
        <f>IF(AND('2.报价结算清单'!$P342&gt;0,'2.报价结算清单'!$B342&lt;&gt;0,'2.报价结算清单'!E342&lt;&gt;0),'2.报价结算清单'!E342,"")</f>
        <v/>
      </c>
      <c r="F239" s="105" t="str">
        <f>_xlfn.IFNA(IF($A239="","",IF(VLOOKUP($A239,'3.框架内物料'!$A:$I,2,0)="","",VLOOKUP($A239,'3.框架内物料'!$A:$I,2,0))),"")</f>
        <v/>
      </c>
      <c r="G239" s="87" t="str">
        <f>IF(AND('2.报价结算清单'!$P342&gt;0,'2.报价结算清单'!$B342&lt;&gt;0,'2.报价结算清单'!H342&lt;&gt;0),'2.报价结算清单'!H342,"")</f>
        <v/>
      </c>
      <c r="H239" s="122" t="str">
        <f>IF(AND('2.报价结算清单'!$P342&gt;0,'2.报价结算清单'!$B342&lt;&gt;0,'2.报价结算清单'!$F342&lt;&gt;0),'2.报价结算清单'!J342,"")</f>
        <v/>
      </c>
      <c r="I239" s="105" t="str">
        <f>IF(AND('2.报价结算清单'!$P342&gt;0,'2.报价结算清单'!$B342&lt;&gt;0,'2.报价结算清单'!$F342&lt;&gt;0),'2.报价结算清单'!L342,"")</f>
        <v/>
      </c>
      <c r="J239" s="105" t="str">
        <f>IF(AND('2.报价结算清单'!$P342&gt;0,'2.报价结算清单'!$B342&lt;&gt;0,'2.报价结算清单'!I342&lt;&gt;0),'2.报价结算清单'!I342,"")</f>
        <v/>
      </c>
      <c r="K239" s="105" t="str">
        <f>IF(AND('2.报价结算清单'!$P342&gt;0,'2.报价结算清单'!$B342&lt;&gt;0,'2.报价结算清单'!$F342&lt;&gt;0),'2.报价结算清单'!N342,"")</f>
        <v/>
      </c>
      <c r="L239" s="105" t="str">
        <f>IF(AND('2.报价结算清单'!$P342&gt;0,'2.报价结算清单'!$B342&lt;&gt;0,'2.报价结算清单'!I342&lt;&gt;0),"天","")</f>
        <v/>
      </c>
      <c r="M239" s="80" t="str">
        <f t="shared" si="10"/>
        <v/>
      </c>
      <c r="N239" s="78" t="str">
        <f t="shared" si="11"/>
        <v/>
      </c>
      <c r="O239" s="78" t="str">
        <f>IF(AND('2.报价结算清单'!$P342&gt;0,'2.报价结算清单'!$B342&lt;&gt;0,'2.报价结算清单'!S342&lt;&gt;0),'2.报价结算清单'!S342,"")</f>
        <v/>
      </c>
      <c r="P239" s="78" t="str">
        <f>IF(AND('2.报价结算清单'!$P342&gt;0,'2.报价结算清单'!$B342&lt;&gt;0,'2.报价结算清单'!T342&lt;&gt;0),'2.报价结算清单'!T342,"")</f>
        <v/>
      </c>
      <c r="Q239" s="78" t="str">
        <f>IF(F239="",J239,VLOOKUP(F239,框架条目清单!A:K,4,FALSE))</f>
        <v/>
      </c>
      <c r="R239" s="106" t="str">
        <f>IF($A239="","",'2.报价结算清单'!$K$183)</f>
        <v/>
      </c>
      <c r="S239" s="80" t="str">
        <f>IF($A239="","",'2.报价结算清单'!$E$183)</f>
        <v/>
      </c>
      <c r="T239" s="78" t="str">
        <f>IF(F239="","",VLOOKUP(F239,框架条目清单!A:K,7,FALSE))</f>
        <v/>
      </c>
      <c r="U239" s="78" t="str">
        <f>IF(F239="","",VLOOKUP(F239,框架条目清单!A:K,8,FALSE))</f>
        <v/>
      </c>
      <c r="V239" s="78" t="str">
        <f>IF(F239="","",VLOOKUP(F239,框架条目清单!A:K,9,FALSE))</f>
        <v/>
      </c>
    </row>
    <row r="240" spans="1:22">
      <c r="A240" s="78" t="str">
        <f>IF(AND('2.报价结算清单'!$P343&gt;0,'2.报价结算清单'!$B343&lt;&gt;0,'2.报价结算清单'!$F343&lt;&gt;0),'2.报价结算清单'!$F343,"")</f>
        <v/>
      </c>
      <c r="B240" s="78" t="str">
        <f>_xlfn.IFNA(VLOOKUP(A240,'3.框架内物料'!$A:$I,3,0),A240)</f>
        <v/>
      </c>
      <c r="C240" s="78" t="str">
        <f>IF(AND('2.报价结算清单'!$P343&gt;0,'2.报价结算清单'!$B343&lt;&gt;0,'2.报价结算清单'!C343&lt;&gt;0),'2.报价结算清单'!C343,"")</f>
        <v/>
      </c>
      <c r="D240" s="78" t="str">
        <f>IF(AND('2.报价结算清单'!$P343&gt;0,'2.报价结算清单'!$B343&lt;&gt;0,'2.报价结算清单'!D343&lt;&gt;0),'2.报价结算清单'!D343,"")</f>
        <v/>
      </c>
      <c r="E240" s="78" t="str">
        <f>IF(AND('2.报价结算清单'!$P343&gt;0,'2.报价结算清单'!$B343&lt;&gt;0,'2.报价结算清单'!E343&lt;&gt;0),'2.报价结算清单'!E343,"")</f>
        <v/>
      </c>
      <c r="F240" s="105" t="str">
        <f>_xlfn.IFNA(IF($A240="","",IF(VLOOKUP($A240,'3.框架内物料'!$A:$I,2,0)="","",VLOOKUP($A240,'3.框架内物料'!$A:$I,2,0))),"")</f>
        <v/>
      </c>
      <c r="G240" s="87" t="str">
        <f>IF(AND('2.报价结算清单'!$P343&gt;0,'2.报价结算清单'!$B343&lt;&gt;0,'2.报价结算清单'!H343&lt;&gt;0),'2.报价结算清单'!H343,"")</f>
        <v/>
      </c>
      <c r="H240" s="122" t="str">
        <f>IF(AND('2.报价结算清单'!$P343&gt;0,'2.报价结算清单'!$B343&lt;&gt;0,'2.报价结算清单'!$F343&lt;&gt;0),'2.报价结算清单'!J343,"")</f>
        <v/>
      </c>
      <c r="I240" s="105" t="str">
        <f>IF(AND('2.报价结算清单'!$P343&gt;0,'2.报价结算清单'!$B343&lt;&gt;0,'2.报价结算清单'!$F343&lt;&gt;0),'2.报价结算清单'!L343,"")</f>
        <v/>
      </c>
      <c r="J240" s="105" t="str">
        <f>IF(AND('2.报价结算清单'!$P343&gt;0,'2.报价结算清单'!$B343&lt;&gt;0,'2.报价结算清单'!I343&lt;&gt;0),'2.报价结算清单'!I343,"")</f>
        <v/>
      </c>
      <c r="K240" s="105" t="str">
        <f>IF(AND('2.报价结算清单'!$P343&gt;0,'2.报价结算清单'!$B343&lt;&gt;0,'2.报价结算清单'!$F343&lt;&gt;0),'2.报价结算清单'!N343,"")</f>
        <v/>
      </c>
      <c r="L240" s="105" t="str">
        <f>IF(AND('2.报价结算清单'!$P343&gt;0,'2.报价结算清单'!$B343&lt;&gt;0,'2.报价结算清单'!I343&lt;&gt;0),"天","")</f>
        <v/>
      </c>
      <c r="M240" s="80" t="str">
        <f t="shared" si="10"/>
        <v/>
      </c>
      <c r="N240" s="78" t="str">
        <f t="shared" si="11"/>
        <v/>
      </c>
      <c r="O240" s="78" t="str">
        <f>IF(AND('2.报价结算清单'!$P343&gt;0,'2.报价结算清单'!$B343&lt;&gt;0,'2.报价结算清单'!S343&lt;&gt;0),'2.报价结算清单'!S343,"")</f>
        <v/>
      </c>
      <c r="P240" s="78" t="str">
        <f>IF(AND('2.报价结算清单'!$P343&gt;0,'2.报价结算清单'!$B343&lt;&gt;0,'2.报价结算清单'!T343&lt;&gt;0),'2.报价结算清单'!T343,"")</f>
        <v/>
      </c>
      <c r="Q240" s="78" t="str">
        <f>IF(F240="",J240,VLOOKUP(F240,框架条目清单!A:K,4,FALSE))</f>
        <v/>
      </c>
      <c r="R240" s="106" t="str">
        <f>IF($A240="","",'2.报价结算清单'!$K$183)</f>
        <v/>
      </c>
      <c r="S240" s="80" t="str">
        <f>IF($A240="","",'2.报价结算清单'!$E$183)</f>
        <v/>
      </c>
      <c r="T240" s="78" t="str">
        <f>IF(F240="","",VLOOKUP(F240,框架条目清单!A:K,7,FALSE))</f>
        <v/>
      </c>
      <c r="U240" s="78" t="str">
        <f>IF(F240="","",VLOOKUP(F240,框架条目清单!A:K,8,FALSE))</f>
        <v/>
      </c>
      <c r="V240" s="78" t="str">
        <f>IF(F240="","",VLOOKUP(F240,框架条目清单!A:K,9,FALSE))</f>
        <v/>
      </c>
    </row>
    <row r="241" spans="1:22">
      <c r="A241" s="78" t="str">
        <f>IF(AND('2.报价结算清单'!$P344&gt;0,'2.报价结算清单'!$B344&lt;&gt;0,'2.报价结算清单'!$F344&lt;&gt;0),'2.报价结算清单'!$F344,"")</f>
        <v/>
      </c>
      <c r="B241" s="78" t="str">
        <f>_xlfn.IFNA(VLOOKUP(A241,'3.框架内物料'!$A:$I,3,0),A241)</f>
        <v/>
      </c>
      <c r="C241" s="78" t="str">
        <f>IF(AND('2.报价结算清单'!$P344&gt;0,'2.报价结算清单'!$B344&lt;&gt;0,'2.报价结算清单'!C344&lt;&gt;0),'2.报价结算清单'!C344,"")</f>
        <v/>
      </c>
      <c r="D241" s="78" t="str">
        <f>IF(AND('2.报价结算清单'!$P344&gt;0,'2.报价结算清单'!$B344&lt;&gt;0,'2.报价结算清单'!D344&lt;&gt;0),'2.报价结算清单'!D344,"")</f>
        <v/>
      </c>
      <c r="E241" s="78" t="str">
        <f>IF(AND('2.报价结算清单'!$P344&gt;0,'2.报价结算清单'!$B344&lt;&gt;0,'2.报价结算清单'!E344&lt;&gt;0),'2.报价结算清单'!E344,"")</f>
        <v/>
      </c>
      <c r="F241" s="105" t="str">
        <f>_xlfn.IFNA(IF($A241="","",IF(VLOOKUP($A241,'3.框架内物料'!$A:$I,2,0)="","",VLOOKUP($A241,'3.框架内物料'!$A:$I,2,0))),"")</f>
        <v/>
      </c>
      <c r="G241" s="87" t="str">
        <f>IF(AND('2.报价结算清单'!$P344&gt;0,'2.报价结算清单'!$B344&lt;&gt;0,'2.报价结算清单'!H344&lt;&gt;0),'2.报价结算清单'!H344,"")</f>
        <v/>
      </c>
      <c r="H241" s="122" t="str">
        <f>IF(AND('2.报价结算清单'!$P344&gt;0,'2.报价结算清单'!$B344&lt;&gt;0,'2.报价结算清单'!$F344&lt;&gt;0),'2.报价结算清单'!J344,"")</f>
        <v/>
      </c>
      <c r="I241" s="105" t="str">
        <f>IF(AND('2.报价结算清单'!$P344&gt;0,'2.报价结算清单'!$B344&lt;&gt;0,'2.报价结算清单'!$F344&lt;&gt;0),'2.报价结算清单'!L344,"")</f>
        <v/>
      </c>
      <c r="J241" s="105" t="str">
        <f>IF(AND('2.报价结算清单'!$P344&gt;0,'2.报价结算清单'!$B344&lt;&gt;0,'2.报价结算清单'!I344&lt;&gt;0),'2.报价结算清单'!I344,"")</f>
        <v/>
      </c>
      <c r="K241" s="105" t="str">
        <f>IF(AND('2.报价结算清单'!$P344&gt;0,'2.报价结算清单'!$B344&lt;&gt;0,'2.报价结算清单'!$F344&lt;&gt;0),'2.报价结算清单'!N344,"")</f>
        <v/>
      </c>
      <c r="L241" s="105" t="str">
        <f>IF(AND('2.报价结算清单'!$P344&gt;0,'2.报价结算清单'!$B344&lt;&gt;0,'2.报价结算清单'!I344&lt;&gt;0),"天","")</f>
        <v/>
      </c>
      <c r="M241" s="80" t="str">
        <f t="shared" si="10"/>
        <v/>
      </c>
      <c r="N241" s="78" t="str">
        <f t="shared" si="11"/>
        <v/>
      </c>
      <c r="O241" s="78" t="str">
        <f>IF(AND('2.报价结算清单'!$P344&gt;0,'2.报价结算清单'!$B344&lt;&gt;0,'2.报价结算清单'!S344&lt;&gt;0),'2.报价结算清单'!S344,"")</f>
        <v/>
      </c>
      <c r="P241" s="78" t="str">
        <f>IF(AND('2.报价结算清单'!$P344&gt;0,'2.报价结算清单'!$B344&lt;&gt;0,'2.报价结算清单'!T344&lt;&gt;0),'2.报价结算清单'!T344,"")</f>
        <v/>
      </c>
      <c r="Q241" s="78" t="str">
        <f>IF(F241="",J241,VLOOKUP(F241,框架条目清单!A:K,4,FALSE))</f>
        <v/>
      </c>
      <c r="R241" s="106" t="str">
        <f>IF($A241="","",'2.报价结算清单'!$K$183)</f>
        <v/>
      </c>
      <c r="S241" s="80" t="str">
        <f>IF($A241="","",'2.报价结算清单'!$E$183)</f>
        <v/>
      </c>
      <c r="T241" s="78" t="str">
        <f>IF(F241="","",VLOOKUP(F241,框架条目清单!A:K,7,FALSE))</f>
        <v/>
      </c>
      <c r="U241" s="78" t="str">
        <f>IF(F241="","",VLOOKUP(F241,框架条目清单!A:K,8,FALSE))</f>
        <v/>
      </c>
      <c r="V241" s="78" t="str">
        <f>IF(F241="","",VLOOKUP(F241,框架条目清单!A:K,9,FALSE))</f>
        <v/>
      </c>
    </row>
    <row r="242" spans="1:22">
      <c r="A242" s="78" t="str">
        <f>IF(AND('2.报价结算清单'!$P345&gt;0,'2.报价结算清单'!$B345&lt;&gt;0,'2.报价结算清单'!$F345&lt;&gt;0),'2.报价结算清单'!$F345,"")</f>
        <v/>
      </c>
      <c r="B242" s="78" t="str">
        <f>_xlfn.IFNA(VLOOKUP(A242,'3.框架内物料'!$A:$I,3,0),A242)</f>
        <v/>
      </c>
      <c r="C242" s="78" t="str">
        <f>IF(AND('2.报价结算清单'!$P345&gt;0,'2.报价结算清单'!$B345&lt;&gt;0,'2.报价结算清单'!C345&lt;&gt;0),'2.报价结算清单'!C345,"")</f>
        <v/>
      </c>
      <c r="D242" s="78" t="str">
        <f>IF(AND('2.报价结算清单'!$P345&gt;0,'2.报价结算清单'!$B345&lt;&gt;0,'2.报价结算清单'!D345&lt;&gt;0),'2.报价结算清单'!D345,"")</f>
        <v/>
      </c>
      <c r="E242" s="78" t="str">
        <f>IF(AND('2.报价结算清单'!$P345&gt;0,'2.报价结算清单'!$B345&lt;&gt;0,'2.报价结算清单'!E345&lt;&gt;0),'2.报价结算清单'!E345,"")</f>
        <v/>
      </c>
      <c r="F242" s="105" t="str">
        <f>_xlfn.IFNA(IF($A242="","",IF(VLOOKUP($A242,'3.框架内物料'!$A:$I,2,0)="","",VLOOKUP($A242,'3.框架内物料'!$A:$I,2,0))),"")</f>
        <v/>
      </c>
      <c r="G242" s="87" t="str">
        <f>IF(AND('2.报价结算清单'!$P345&gt;0,'2.报价结算清单'!$B345&lt;&gt;0,'2.报价结算清单'!H345&lt;&gt;0),'2.报价结算清单'!H345,"")</f>
        <v/>
      </c>
      <c r="H242" s="122" t="str">
        <f>IF(AND('2.报价结算清单'!$P345&gt;0,'2.报价结算清单'!$B345&lt;&gt;0,'2.报价结算清单'!$F345&lt;&gt;0),'2.报价结算清单'!J345,"")</f>
        <v/>
      </c>
      <c r="I242" s="105" t="str">
        <f>IF(AND('2.报价结算清单'!$P345&gt;0,'2.报价结算清单'!$B345&lt;&gt;0,'2.报价结算清单'!$F345&lt;&gt;0),'2.报价结算清单'!L345,"")</f>
        <v/>
      </c>
      <c r="J242" s="105" t="str">
        <f>IF(AND('2.报价结算清单'!$P345&gt;0,'2.报价结算清单'!$B345&lt;&gt;0,'2.报价结算清单'!I345&lt;&gt;0),'2.报价结算清单'!I345,"")</f>
        <v/>
      </c>
      <c r="K242" s="105" t="str">
        <f>IF(AND('2.报价结算清单'!$P345&gt;0,'2.报价结算清单'!$B345&lt;&gt;0,'2.报价结算清单'!$F345&lt;&gt;0),'2.报价结算清单'!N345,"")</f>
        <v/>
      </c>
      <c r="L242" s="105" t="str">
        <f>IF(AND('2.报价结算清单'!$P345&gt;0,'2.报价结算清单'!$B345&lt;&gt;0,'2.报价结算清单'!I345&lt;&gt;0),"天","")</f>
        <v/>
      </c>
      <c r="M242" s="80" t="str">
        <f t="shared" si="10"/>
        <v/>
      </c>
      <c r="N242" s="78" t="str">
        <f t="shared" si="11"/>
        <v/>
      </c>
      <c r="O242" s="78" t="str">
        <f>IF(AND('2.报价结算清单'!$P345&gt;0,'2.报价结算清单'!$B345&lt;&gt;0,'2.报价结算清单'!S345&lt;&gt;0),'2.报价结算清单'!S345,"")</f>
        <v/>
      </c>
      <c r="P242" s="78" t="str">
        <f>IF(AND('2.报价结算清单'!$P345&gt;0,'2.报价结算清单'!$B345&lt;&gt;0,'2.报价结算清单'!T345&lt;&gt;0),'2.报价结算清单'!T345,"")</f>
        <v/>
      </c>
      <c r="Q242" s="78" t="str">
        <f>IF(F242="",J242,VLOOKUP(F242,框架条目清单!A:K,4,FALSE))</f>
        <v/>
      </c>
      <c r="R242" s="106" t="str">
        <f>IF($A242="","",'2.报价结算清单'!$K$183)</f>
        <v/>
      </c>
      <c r="S242" s="80" t="str">
        <f>IF($A242="","",'2.报价结算清单'!$E$183)</f>
        <v/>
      </c>
      <c r="T242" s="78" t="str">
        <f>IF(F242="","",VLOOKUP(F242,框架条目清单!A:K,7,FALSE))</f>
        <v/>
      </c>
      <c r="U242" s="78" t="str">
        <f>IF(F242="","",VLOOKUP(F242,框架条目清单!A:K,8,FALSE))</f>
        <v/>
      </c>
      <c r="V242" s="78" t="str">
        <f>IF(F242="","",VLOOKUP(F242,框架条目清单!A:K,9,FALSE))</f>
        <v/>
      </c>
    </row>
    <row r="243" spans="1:22">
      <c r="A243" s="78" t="str">
        <f>IF(AND('2.报价结算清单'!$P346&gt;0,'2.报价结算清单'!$B346&lt;&gt;0,'2.报价结算清单'!$F346&lt;&gt;0),'2.报价结算清单'!$F346,"")</f>
        <v/>
      </c>
      <c r="B243" s="78" t="str">
        <f>_xlfn.IFNA(VLOOKUP(A243,'3.框架内物料'!$A:$I,3,0),A243)</f>
        <v/>
      </c>
      <c r="C243" s="78" t="str">
        <f>IF(AND('2.报价结算清单'!$P346&gt;0,'2.报价结算清单'!$B346&lt;&gt;0,'2.报价结算清单'!C346&lt;&gt;0),'2.报价结算清单'!C346,"")</f>
        <v/>
      </c>
      <c r="D243" s="78" t="str">
        <f>IF(AND('2.报价结算清单'!$P346&gt;0,'2.报价结算清单'!$B346&lt;&gt;0,'2.报价结算清单'!D346&lt;&gt;0),'2.报价结算清单'!D346,"")</f>
        <v/>
      </c>
      <c r="E243" s="78" t="str">
        <f>IF(AND('2.报价结算清单'!$P346&gt;0,'2.报价结算清单'!$B346&lt;&gt;0,'2.报价结算清单'!E346&lt;&gt;0),'2.报价结算清单'!E346,"")</f>
        <v/>
      </c>
      <c r="F243" s="105" t="str">
        <f>_xlfn.IFNA(IF($A243="","",IF(VLOOKUP($A243,'3.框架内物料'!$A:$I,2,0)="","",VLOOKUP($A243,'3.框架内物料'!$A:$I,2,0))),"")</f>
        <v/>
      </c>
      <c r="G243" s="87" t="str">
        <f>IF(AND('2.报价结算清单'!$P346&gt;0,'2.报价结算清单'!$B346&lt;&gt;0,'2.报价结算清单'!H346&lt;&gt;0),'2.报价结算清单'!H346,"")</f>
        <v/>
      </c>
      <c r="H243" s="122" t="str">
        <f>IF(AND('2.报价结算清单'!$P346&gt;0,'2.报价结算清单'!$B346&lt;&gt;0,'2.报价结算清单'!$F346&lt;&gt;0),'2.报价结算清单'!J346,"")</f>
        <v/>
      </c>
      <c r="I243" s="105" t="str">
        <f>IF(AND('2.报价结算清单'!$P346&gt;0,'2.报价结算清单'!$B346&lt;&gt;0,'2.报价结算清单'!$F346&lt;&gt;0),'2.报价结算清单'!L346,"")</f>
        <v/>
      </c>
      <c r="J243" s="105" t="str">
        <f>IF(AND('2.报价结算清单'!$P346&gt;0,'2.报价结算清单'!$B346&lt;&gt;0,'2.报价结算清单'!I346&lt;&gt;0),'2.报价结算清单'!I346,"")</f>
        <v/>
      </c>
      <c r="K243" s="105" t="str">
        <f>IF(AND('2.报价结算清单'!$P346&gt;0,'2.报价结算清单'!$B346&lt;&gt;0,'2.报价结算清单'!$F346&lt;&gt;0),'2.报价结算清单'!N346,"")</f>
        <v/>
      </c>
      <c r="L243" s="105" t="str">
        <f>IF(AND('2.报价结算清单'!$P346&gt;0,'2.报价结算清单'!$B346&lt;&gt;0,'2.报价结算清单'!I346&lt;&gt;0),"天","")</f>
        <v/>
      </c>
      <c r="M243" s="80" t="str">
        <f t="shared" si="10"/>
        <v/>
      </c>
      <c r="N243" s="78" t="str">
        <f t="shared" si="11"/>
        <v/>
      </c>
      <c r="O243" s="78" t="str">
        <f>IF(AND('2.报价结算清单'!$P346&gt;0,'2.报价结算清单'!$B346&lt;&gt;0,'2.报价结算清单'!S346&lt;&gt;0),'2.报价结算清单'!S346,"")</f>
        <v/>
      </c>
      <c r="P243" s="78" t="str">
        <f>IF(AND('2.报价结算清单'!$P346&gt;0,'2.报价结算清单'!$B346&lt;&gt;0,'2.报价结算清单'!T346&lt;&gt;0),'2.报价结算清单'!T346,"")</f>
        <v/>
      </c>
      <c r="Q243" s="78" t="str">
        <f>IF(F243="",J243,VLOOKUP(F243,框架条目清单!A:K,4,FALSE))</f>
        <v/>
      </c>
      <c r="R243" s="106" t="str">
        <f>IF($A243="","",'2.报价结算清单'!$K$183)</f>
        <v/>
      </c>
      <c r="S243" s="80" t="str">
        <f>IF($A243="","",'2.报价结算清单'!$E$183)</f>
        <v/>
      </c>
      <c r="T243" s="78" t="str">
        <f>IF(F243="","",VLOOKUP(F243,框架条目清单!A:K,7,FALSE))</f>
        <v/>
      </c>
      <c r="U243" s="78" t="str">
        <f>IF(F243="","",VLOOKUP(F243,框架条目清单!A:K,8,FALSE))</f>
        <v/>
      </c>
      <c r="V243" s="78" t="str">
        <f>IF(F243="","",VLOOKUP(F243,框架条目清单!A:K,9,FALSE))</f>
        <v/>
      </c>
    </row>
    <row r="244" spans="1:22">
      <c r="A244" s="78" t="str">
        <f>IF(AND('2.报价结算清单'!$P347&gt;0,'2.报价结算清单'!$B347&lt;&gt;0,'2.报价结算清单'!$F347&lt;&gt;0),'2.报价结算清单'!$F347,"")</f>
        <v/>
      </c>
      <c r="B244" s="78" t="str">
        <f>_xlfn.IFNA(VLOOKUP(A244,'3.框架内物料'!$A:$I,3,0),A244)</f>
        <v/>
      </c>
      <c r="C244" s="78" t="str">
        <f>IF(AND('2.报价结算清单'!$P347&gt;0,'2.报价结算清单'!$B347&lt;&gt;0,'2.报价结算清单'!C347&lt;&gt;0),'2.报价结算清单'!C347,"")</f>
        <v/>
      </c>
      <c r="D244" s="78" t="str">
        <f>IF(AND('2.报价结算清单'!$P347&gt;0,'2.报价结算清单'!$B347&lt;&gt;0,'2.报价结算清单'!D347&lt;&gt;0),'2.报价结算清单'!D347,"")</f>
        <v/>
      </c>
      <c r="E244" s="78" t="str">
        <f>IF(AND('2.报价结算清单'!$P347&gt;0,'2.报价结算清单'!$B347&lt;&gt;0,'2.报价结算清单'!E347&lt;&gt;0),'2.报价结算清单'!E347,"")</f>
        <v/>
      </c>
      <c r="F244" s="105" t="str">
        <f>_xlfn.IFNA(IF($A244="","",IF(VLOOKUP($A244,'3.框架内物料'!$A:$I,2,0)="","",VLOOKUP($A244,'3.框架内物料'!$A:$I,2,0))),"")</f>
        <v/>
      </c>
      <c r="G244" s="87" t="str">
        <f>IF(AND('2.报价结算清单'!$P347&gt;0,'2.报价结算清单'!$B347&lt;&gt;0,'2.报价结算清单'!H347&lt;&gt;0),'2.报价结算清单'!H347,"")</f>
        <v/>
      </c>
      <c r="H244" s="122" t="str">
        <f>IF(AND('2.报价结算清单'!$P347&gt;0,'2.报价结算清单'!$B347&lt;&gt;0,'2.报价结算清单'!$F347&lt;&gt;0),'2.报价结算清单'!J347,"")</f>
        <v/>
      </c>
      <c r="I244" s="105" t="str">
        <f>IF(AND('2.报价结算清单'!$P347&gt;0,'2.报价结算清单'!$B347&lt;&gt;0,'2.报价结算清单'!$F347&lt;&gt;0),'2.报价结算清单'!L347,"")</f>
        <v/>
      </c>
      <c r="J244" s="105" t="str">
        <f>IF(AND('2.报价结算清单'!$P347&gt;0,'2.报价结算清单'!$B347&lt;&gt;0,'2.报价结算清单'!I347&lt;&gt;0),'2.报价结算清单'!I347,"")</f>
        <v/>
      </c>
      <c r="K244" s="105" t="str">
        <f>IF(AND('2.报价结算清单'!$P347&gt;0,'2.报价结算清单'!$B347&lt;&gt;0,'2.报价结算清单'!$F347&lt;&gt;0),'2.报价结算清单'!N347,"")</f>
        <v/>
      </c>
      <c r="L244" s="105" t="str">
        <f>IF(AND('2.报价结算清单'!$P347&gt;0,'2.报价结算清单'!$B347&lt;&gt;0,'2.报价结算清单'!I347&lt;&gt;0),"天","")</f>
        <v/>
      </c>
      <c r="M244" s="80" t="str">
        <f t="shared" si="10"/>
        <v/>
      </c>
      <c r="N244" s="78" t="str">
        <f t="shared" si="11"/>
        <v/>
      </c>
      <c r="O244" s="78" t="str">
        <f>IF(AND('2.报价结算清单'!$P347&gt;0,'2.报价结算清单'!$B347&lt;&gt;0,'2.报价结算清单'!S347&lt;&gt;0),'2.报价结算清单'!S347,"")</f>
        <v/>
      </c>
      <c r="P244" s="78" t="str">
        <f>IF(AND('2.报价结算清单'!$P347&gt;0,'2.报价结算清单'!$B347&lt;&gt;0,'2.报价结算清单'!T347&lt;&gt;0),'2.报价结算清单'!T347,"")</f>
        <v/>
      </c>
      <c r="Q244" s="78" t="str">
        <f>IF(F244="",J244,VLOOKUP(F244,框架条目清单!A:K,4,FALSE))</f>
        <v/>
      </c>
      <c r="R244" s="106" t="str">
        <f>IF($A244="","",'2.报价结算清单'!$K$183)</f>
        <v/>
      </c>
      <c r="S244" s="80" t="str">
        <f>IF($A244="","",'2.报价结算清单'!$E$183)</f>
        <v/>
      </c>
      <c r="T244" s="78" t="str">
        <f>IF(F244="","",VLOOKUP(F244,框架条目清单!A:K,7,FALSE))</f>
        <v/>
      </c>
      <c r="U244" s="78" t="str">
        <f>IF(F244="","",VLOOKUP(F244,框架条目清单!A:K,8,FALSE))</f>
        <v/>
      </c>
      <c r="V244" s="78" t="str">
        <f>IF(F244="","",VLOOKUP(F244,框架条目清单!A:K,9,FALSE))</f>
        <v/>
      </c>
    </row>
    <row r="245" spans="1:22">
      <c r="A245" s="78" t="str">
        <f>IF(AND('2.报价结算清单'!$P348&gt;0,'2.报价结算清单'!$B348&lt;&gt;0,'2.报价结算清单'!$F348&lt;&gt;0),'2.报价结算清单'!$F348,"")</f>
        <v/>
      </c>
      <c r="B245" s="78" t="str">
        <f>_xlfn.IFNA(VLOOKUP(A245,'3.框架内物料'!$A:$I,3,0),A245)</f>
        <v/>
      </c>
      <c r="C245" s="78" t="str">
        <f>IF(AND('2.报价结算清单'!$P348&gt;0,'2.报价结算清单'!$B348&lt;&gt;0,'2.报价结算清单'!C348&lt;&gt;0),'2.报价结算清单'!C348,"")</f>
        <v/>
      </c>
      <c r="D245" s="78" t="str">
        <f>IF(AND('2.报价结算清单'!$P348&gt;0,'2.报价结算清单'!$B348&lt;&gt;0,'2.报价结算清单'!D348&lt;&gt;0),'2.报价结算清单'!D348,"")</f>
        <v/>
      </c>
      <c r="E245" s="78" t="str">
        <f>IF(AND('2.报价结算清单'!$P348&gt;0,'2.报价结算清单'!$B348&lt;&gt;0,'2.报价结算清单'!E348&lt;&gt;0),'2.报价结算清单'!E348,"")</f>
        <v/>
      </c>
      <c r="F245" s="105" t="str">
        <f>_xlfn.IFNA(IF($A245="","",IF(VLOOKUP($A245,'3.框架内物料'!$A:$I,2,0)="","",VLOOKUP($A245,'3.框架内物料'!$A:$I,2,0))),"")</f>
        <v/>
      </c>
      <c r="G245" s="87" t="str">
        <f>IF(AND('2.报价结算清单'!$P348&gt;0,'2.报价结算清单'!$B348&lt;&gt;0,'2.报价结算清单'!H348&lt;&gt;0),'2.报价结算清单'!H348,"")</f>
        <v/>
      </c>
      <c r="H245" s="122" t="str">
        <f>IF(AND('2.报价结算清单'!$P348&gt;0,'2.报价结算清单'!$B348&lt;&gt;0,'2.报价结算清单'!$F348&lt;&gt;0),'2.报价结算清单'!J348,"")</f>
        <v/>
      </c>
      <c r="I245" s="105" t="str">
        <f>IF(AND('2.报价结算清单'!$P348&gt;0,'2.报价结算清单'!$B348&lt;&gt;0,'2.报价结算清单'!$F348&lt;&gt;0),'2.报价结算清单'!L348,"")</f>
        <v/>
      </c>
      <c r="J245" s="105" t="str">
        <f>IF(AND('2.报价结算清单'!$P348&gt;0,'2.报价结算清单'!$B348&lt;&gt;0,'2.报价结算清单'!I348&lt;&gt;0),'2.报价结算清单'!I348,"")</f>
        <v/>
      </c>
      <c r="K245" s="105" t="str">
        <f>IF(AND('2.报价结算清单'!$P348&gt;0,'2.报价结算清单'!$B348&lt;&gt;0,'2.报价结算清单'!$F348&lt;&gt;0),'2.报价结算清单'!N348,"")</f>
        <v/>
      </c>
      <c r="L245" s="105" t="str">
        <f>IF(AND('2.报价结算清单'!$P348&gt;0,'2.报价结算清单'!$B348&lt;&gt;0,'2.报价结算清单'!I348&lt;&gt;0),"天","")</f>
        <v/>
      </c>
      <c r="M245" s="80" t="str">
        <f t="shared" si="10"/>
        <v/>
      </c>
      <c r="N245" s="78" t="str">
        <f t="shared" si="11"/>
        <v/>
      </c>
      <c r="O245" s="78" t="str">
        <f>IF(AND('2.报价结算清单'!$P348&gt;0,'2.报价结算清单'!$B348&lt;&gt;0,'2.报价结算清单'!S348&lt;&gt;0),'2.报价结算清单'!S348,"")</f>
        <v/>
      </c>
      <c r="P245" s="78" t="str">
        <f>IF(AND('2.报价结算清单'!$P348&gt;0,'2.报价结算清单'!$B348&lt;&gt;0,'2.报价结算清单'!T348&lt;&gt;0),'2.报价结算清单'!T348,"")</f>
        <v/>
      </c>
      <c r="Q245" s="78" t="str">
        <f>IF(F245="",J245,VLOOKUP(F245,框架条目清单!A:K,4,FALSE))</f>
        <v/>
      </c>
      <c r="R245" s="106" t="str">
        <f>IF($A245="","",'2.报价结算清单'!$K$183)</f>
        <v/>
      </c>
      <c r="S245" s="80" t="str">
        <f>IF($A245="","",'2.报价结算清单'!$E$183)</f>
        <v/>
      </c>
      <c r="T245" s="78" t="str">
        <f>IF(F245="","",VLOOKUP(F245,框架条目清单!A:K,7,FALSE))</f>
        <v/>
      </c>
      <c r="U245" s="78" t="str">
        <f>IF(F245="","",VLOOKUP(F245,框架条目清单!A:K,8,FALSE))</f>
        <v/>
      </c>
      <c r="V245" s="78" t="str">
        <f>IF(F245="","",VLOOKUP(F245,框架条目清单!A:K,9,FALSE))</f>
        <v/>
      </c>
    </row>
    <row r="246" spans="1:22">
      <c r="A246" s="78" t="str">
        <f>IF(AND('2.报价结算清单'!$P349&gt;0,'2.报价结算清单'!$B349&lt;&gt;0,'2.报价结算清单'!$F349&lt;&gt;0),'2.报价结算清单'!$F349,"")</f>
        <v/>
      </c>
      <c r="B246" s="78" t="str">
        <f>_xlfn.IFNA(VLOOKUP(A246,'3.框架内物料'!$A:$I,3,0),A246)</f>
        <v/>
      </c>
      <c r="C246" s="78" t="str">
        <f>IF(AND('2.报价结算清单'!$P349&gt;0,'2.报价结算清单'!$B349&lt;&gt;0,'2.报价结算清单'!C349&lt;&gt;0),'2.报价结算清单'!C349,"")</f>
        <v/>
      </c>
      <c r="D246" s="78" t="str">
        <f>IF(AND('2.报价结算清单'!$P349&gt;0,'2.报价结算清单'!$B349&lt;&gt;0,'2.报价结算清单'!D349&lt;&gt;0),'2.报价结算清单'!D349,"")</f>
        <v/>
      </c>
      <c r="E246" s="78" t="str">
        <f>IF(AND('2.报价结算清单'!$P349&gt;0,'2.报价结算清单'!$B349&lt;&gt;0,'2.报价结算清单'!E349&lt;&gt;0),'2.报价结算清单'!E349,"")</f>
        <v/>
      </c>
      <c r="F246" s="105" t="str">
        <f>_xlfn.IFNA(IF($A246="","",IF(VLOOKUP($A246,'3.框架内物料'!$A:$I,2,0)="","",VLOOKUP($A246,'3.框架内物料'!$A:$I,2,0))),"")</f>
        <v/>
      </c>
      <c r="G246" s="87" t="str">
        <f>IF(AND('2.报价结算清单'!$P349&gt;0,'2.报价结算清单'!$B349&lt;&gt;0,'2.报价结算清单'!H349&lt;&gt;0),'2.报价结算清单'!H349,"")</f>
        <v/>
      </c>
      <c r="H246" s="122" t="str">
        <f>IF(AND('2.报价结算清单'!$P349&gt;0,'2.报价结算清单'!$B349&lt;&gt;0,'2.报价结算清单'!$F349&lt;&gt;0),'2.报价结算清单'!J349,"")</f>
        <v/>
      </c>
      <c r="I246" s="105" t="str">
        <f>IF(AND('2.报价结算清单'!$P349&gt;0,'2.报价结算清单'!$B349&lt;&gt;0,'2.报价结算清单'!$F349&lt;&gt;0),'2.报价结算清单'!L349,"")</f>
        <v/>
      </c>
      <c r="J246" s="105" t="str">
        <f>IF(AND('2.报价结算清单'!$P349&gt;0,'2.报价结算清单'!$B349&lt;&gt;0,'2.报价结算清单'!I349&lt;&gt;0),'2.报价结算清单'!I349,"")</f>
        <v/>
      </c>
      <c r="K246" s="105" t="str">
        <f>IF(AND('2.报价结算清单'!$P349&gt;0,'2.报价结算清单'!$B349&lt;&gt;0,'2.报价结算清单'!$F349&lt;&gt;0),'2.报价结算清单'!N349,"")</f>
        <v/>
      </c>
      <c r="L246" s="105" t="str">
        <f>IF(AND('2.报价结算清单'!$P349&gt;0,'2.报价结算清单'!$B349&lt;&gt;0,'2.报价结算清单'!I349&lt;&gt;0),"天","")</f>
        <v/>
      </c>
      <c r="M246" s="80" t="str">
        <f t="shared" si="10"/>
        <v/>
      </c>
      <c r="N246" s="78" t="str">
        <f t="shared" si="11"/>
        <v/>
      </c>
      <c r="O246" s="78" t="str">
        <f>IF(AND('2.报价结算清单'!$P349&gt;0,'2.报价结算清单'!$B349&lt;&gt;0,'2.报价结算清单'!S349&lt;&gt;0),'2.报价结算清单'!S349,"")</f>
        <v/>
      </c>
      <c r="P246" s="78" t="str">
        <f>IF(AND('2.报价结算清单'!$P349&gt;0,'2.报价结算清单'!$B349&lt;&gt;0,'2.报价结算清单'!T349&lt;&gt;0),'2.报价结算清单'!T349,"")</f>
        <v/>
      </c>
      <c r="Q246" s="78" t="str">
        <f>IF(F246="",J246,VLOOKUP(F246,框架条目清单!A:K,4,FALSE))</f>
        <v/>
      </c>
      <c r="R246" s="106" t="str">
        <f>IF($A246="","",'2.报价结算清单'!$K$183)</f>
        <v/>
      </c>
      <c r="S246" s="80" t="str">
        <f>IF($A246="","",'2.报价结算清单'!$E$183)</f>
        <v/>
      </c>
      <c r="T246" s="78" t="str">
        <f>IF(F246="","",VLOOKUP(F246,框架条目清单!A:K,7,FALSE))</f>
        <v/>
      </c>
      <c r="U246" s="78" t="str">
        <f>IF(F246="","",VLOOKUP(F246,框架条目清单!A:K,8,FALSE))</f>
        <v/>
      </c>
      <c r="V246" s="78" t="str">
        <f>IF(F246="","",VLOOKUP(F246,框架条目清单!A:K,9,FALSE))</f>
        <v/>
      </c>
    </row>
    <row r="247" spans="1:22">
      <c r="A247" s="78" t="str">
        <f>IF(AND('2.报价结算清单'!$P350&gt;0,'2.报价结算清单'!$B350&lt;&gt;0,'2.报价结算清单'!$F350&lt;&gt;0),'2.报价结算清单'!$F350,"")</f>
        <v/>
      </c>
      <c r="B247" s="78" t="str">
        <f>_xlfn.IFNA(VLOOKUP(A247,'3.框架内物料'!$A:$I,3,0),A247)</f>
        <v/>
      </c>
      <c r="C247" s="78" t="str">
        <f>IF(AND('2.报价结算清单'!$P350&gt;0,'2.报价结算清单'!$B350&lt;&gt;0,'2.报价结算清单'!C350&lt;&gt;0),'2.报价结算清单'!C350,"")</f>
        <v/>
      </c>
      <c r="D247" s="78" t="str">
        <f>IF(AND('2.报价结算清单'!$P350&gt;0,'2.报价结算清单'!$B350&lt;&gt;0,'2.报价结算清单'!D350&lt;&gt;0),'2.报价结算清单'!D350,"")</f>
        <v/>
      </c>
      <c r="E247" s="78" t="str">
        <f>IF(AND('2.报价结算清单'!$P350&gt;0,'2.报价结算清单'!$B350&lt;&gt;0,'2.报价结算清单'!E350&lt;&gt;0),'2.报价结算清单'!E350,"")</f>
        <v/>
      </c>
      <c r="F247" s="105" t="str">
        <f>_xlfn.IFNA(IF($A247="","",IF(VLOOKUP($A247,'3.框架内物料'!$A:$I,2,0)="","",VLOOKUP($A247,'3.框架内物料'!$A:$I,2,0))),"")</f>
        <v/>
      </c>
      <c r="G247" s="87" t="str">
        <f>IF(AND('2.报价结算清单'!$P350&gt;0,'2.报价结算清单'!$B350&lt;&gt;0,'2.报价结算清单'!H350&lt;&gt;0),'2.报价结算清单'!H350,"")</f>
        <v/>
      </c>
      <c r="H247" s="122" t="str">
        <f>IF(AND('2.报价结算清单'!$P350&gt;0,'2.报价结算清单'!$B350&lt;&gt;0,'2.报价结算清单'!$F350&lt;&gt;0),'2.报价结算清单'!J350,"")</f>
        <v/>
      </c>
      <c r="I247" s="105" t="str">
        <f>IF(AND('2.报价结算清单'!$P350&gt;0,'2.报价结算清单'!$B350&lt;&gt;0,'2.报价结算清单'!$F350&lt;&gt;0),'2.报价结算清单'!L350,"")</f>
        <v/>
      </c>
      <c r="J247" s="105" t="str">
        <f>IF(AND('2.报价结算清单'!$P350&gt;0,'2.报价结算清单'!$B350&lt;&gt;0,'2.报价结算清单'!I350&lt;&gt;0),'2.报价结算清单'!I350,"")</f>
        <v/>
      </c>
      <c r="K247" s="105" t="str">
        <f>IF(AND('2.报价结算清单'!$P350&gt;0,'2.报价结算清单'!$B350&lt;&gt;0,'2.报价结算清单'!$F350&lt;&gt;0),'2.报价结算清单'!N350,"")</f>
        <v/>
      </c>
      <c r="L247" s="105" t="str">
        <f>IF(AND('2.报价结算清单'!$P350&gt;0,'2.报价结算清单'!$B350&lt;&gt;0,'2.报价结算清单'!I350&lt;&gt;0),"天","")</f>
        <v/>
      </c>
      <c r="M247" s="80" t="str">
        <f t="shared" si="10"/>
        <v/>
      </c>
      <c r="N247" s="78" t="str">
        <f t="shared" si="11"/>
        <v/>
      </c>
      <c r="O247" s="78" t="str">
        <f>IF(AND('2.报价结算清单'!$P350&gt;0,'2.报价结算清单'!$B350&lt;&gt;0,'2.报价结算清单'!S350&lt;&gt;0),'2.报价结算清单'!S350,"")</f>
        <v/>
      </c>
      <c r="P247" s="78" t="str">
        <f>IF(AND('2.报价结算清单'!$P350&gt;0,'2.报价结算清单'!$B350&lt;&gt;0,'2.报价结算清单'!T350&lt;&gt;0),'2.报价结算清单'!T350,"")</f>
        <v/>
      </c>
      <c r="Q247" s="78" t="str">
        <f>IF(F247="",J247,VLOOKUP(F247,框架条目清单!A:K,4,FALSE))</f>
        <v/>
      </c>
      <c r="R247" s="106" t="str">
        <f>IF($A247="","",'2.报价结算清单'!$K$183)</f>
        <v/>
      </c>
      <c r="S247" s="80" t="str">
        <f>IF($A247="","",'2.报价结算清单'!$E$183)</f>
        <v/>
      </c>
      <c r="T247" s="78" t="str">
        <f>IF(F247="","",VLOOKUP(F247,框架条目清单!A:K,7,FALSE))</f>
        <v/>
      </c>
      <c r="U247" s="78" t="str">
        <f>IF(F247="","",VLOOKUP(F247,框架条目清单!A:K,8,FALSE))</f>
        <v/>
      </c>
      <c r="V247" s="78" t="str">
        <f>IF(F247="","",VLOOKUP(F247,框架条目清单!A:K,9,FALSE))</f>
        <v/>
      </c>
    </row>
    <row r="248" spans="1:22">
      <c r="A248" s="78" t="str">
        <f>IF(AND('2.报价结算清单'!$P351&gt;0,'2.报价结算清单'!$B351&lt;&gt;0,'2.报价结算清单'!$F351&lt;&gt;0),'2.报价结算清单'!$F351,"")</f>
        <v/>
      </c>
      <c r="B248" s="78" t="str">
        <f>_xlfn.IFNA(VLOOKUP(A248,'3.框架内物料'!$A:$I,3,0),A248)</f>
        <v/>
      </c>
      <c r="C248" s="78" t="str">
        <f>IF(AND('2.报价结算清单'!$P351&gt;0,'2.报价结算清单'!$B351&lt;&gt;0,'2.报价结算清单'!C351&lt;&gt;0),'2.报价结算清单'!C351,"")</f>
        <v/>
      </c>
      <c r="D248" s="78" t="str">
        <f>IF(AND('2.报价结算清单'!$P351&gt;0,'2.报价结算清单'!$B351&lt;&gt;0,'2.报价结算清单'!D351&lt;&gt;0),'2.报价结算清单'!D351,"")</f>
        <v/>
      </c>
      <c r="E248" s="78" t="str">
        <f>IF(AND('2.报价结算清单'!$P351&gt;0,'2.报价结算清单'!$B351&lt;&gt;0,'2.报价结算清单'!E351&lt;&gt;0),'2.报价结算清单'!E351,"")</f>
        <v/>
      </c>
      <c r="F248" s="105" t="str">
        <f>_xlfn.IFNA(IF($A248="","",IF(VLOOKUP($A248,'3.框架内物料'!$A:$I,2,0)="","",VLOOKUP($A248,'3.框架内物料'!$A:$I,2,0))),"")</f>
        <v/>
      </c>
      <c r="G248" s="87" t="str">
        <f>IF(AND('2.报价结算清单'!$P351&gt;0,'2.报价结算清单'!$B351&lt;&gt;0,'2.报价结算清单'!H351&lt;&gt;0),'2.报价结算清单'!H351,"")</f>
        <v/>
      </c>
      <c r="H248" s="122" t="str">
        <f>IF(AND('2.报价结算清单'!$P351&gt;0,'2.报价结算清单'!$B351&lt;&gt;0,'2.报价结算清单'!$F351&lt;&gt;0),'2.报价结算清单'!J351,"")</f>
        <v/>
      </c>
      <c r="I248" s="105" t="str">
        <f>IF(AND('2.报价结算清单'!$P351&gt;0,'2.报价结算清单'!$B351&lt;&gt;0,'2.报价结算清单'!$F351&lt;&gt;0),'2.报价结算清单'!L351,"")</f>
        <v/>
      </c>
      <c r="J248" s="105" t="str">
        <f>IF(AND('2.报价结算清单'!$P351&gt;0,'2.报价结算清单'!$B351&lt;&gt;0,'2.报价结算清单'!I351&lt;&gt;0),'2.报价结算清单'!I351,"")</f>
        <v/>
      </c>
      <c r="K248" s="105" t="str">
        <f>IF(AND('2.报价结算清单'!$P351&gt;0,'2.报价结算清单'!$B351&lt;&gt;0,'2.报价结算清单'!$F351&lt;&gt;0),'2.报价结算清单'!N351,"")</f>
        <v/>
      </c>
      <c r="L248" s="105" t="str">
        <f>IF(AND('2.报价结算清单'!$P351&gt;0,'2.报价结算清单'!$B351&lt;&gt;0,'2.报价结算清单'!I351&lt;&gt;0),"天","")</f>
        <v/>
      </c>
      <c r="M248" s="80" t="str">
        <f t="shared" si="10"/>
        <v/>
      </c>
      <c r="N248" s="78" t="str">
        <f t="shared" si="11"/>
        <v/>
      </c>
      <c r="O248" s="78" t="str">
        <f>IF(AND('2.报价结算清单'!$P351&gt;0,'2.报价结算清单'!$B351&lt;&gt;0,'2.报价结算清单'!S351&lt;&gt;0),'2.报价结算清单'!S351,"")</f>
        <v/>
      </c>
      <c r="P248" s="78" t="str">
        <f>IF(AND('2.报价结算清单'!$P351&gt;0,'2.报价结算清单'!$B351&lt;&gt;0,'2.报价结算清单'!T351&lt;&gt;0),'2.报价结算清单'!T351,"")</f>
        <v/>
      </c>
      <c r="Q248" s="78" t="str">
        <f>IF(F248="",J248,VLOOKUP(F248,框架条目清单!A:K,4,FALSE))</f>
        <v/>
      </c>
      <c r="R248" s="106" t="str">
        <f>IF($A248="","",'2.报价结算清单'!$K$183)</f>
        <v/>
      </c>
      <c r="S248" s="80" t="str">
        <f>IF($A248="","",'2.报价结算清单'!$E$183)</f>
        <v/>
      </c>
      <c r="T248" s="78" t="str">
        <f>IF(F248="","",VLOOKUP(F248,框架条目清单!A:K,7,FALSE))</f>
        <v/>
      </c>
      <c r="U248" s="78" t="str">
        <f>IF(F248="","",VLOOKUP(F248,框架条目清单!A:K,8,FALSE))</f>
        <v/>
      </c>
      <c r="V248" s="78" t="str">
        <f>IF(F248="","",VLOOKUP(F248,框架条目清单!A:K,9,FALSE))</f>
        <v/>
      </c>
    </row>
    <row r="249" spans="1:22">
      <c r="A249" s="78" t="str">
        <f>IF(AND('2.报价结算清单'!$P352&gt;0,'2.报价结算清单'!$B352&lt;&gt;0,'2.报价结算清单'!$F352&lt;&gt;0),'2.报价结算清单'!$F352,"")</f>
        <v/>
      </c>
      <c r="B249" s="78" t="str">
        <f>_xlfn.IFNA(VLOOKUP(A249,'3.框架内物料'!$A:$I,3,0),A249)</f>
        <v/>
      </c>
      <c r="C249" s="78" t="str">
        <f>IF(AND('2.报价结算清单'!$P352&gt;0,'2.报价结算清单'!$B352&lt;&gt;0,'2.报价结算清单'!C352&lt;&gt;0),'2.报价结算清单'!C352,"")</f>
        <v/>
      </c>
      <c r="D249" s="78" t="str">
        <f>IF(AND('2.报价结算清单'!$P352&gt;0,'2.报价结算清单'!$B352&lt;&gt;0,'2.报价结算清单'!D352&lt;&gt;0),'2.报价结算清单'!D352,"")</f>
        <v/>
      </c>
      <c r="E249" s="78" t="str">
        <f>IF(AND('2.报价结算清单'!$P352&gt;0,'2.报价结算清单'!$B352&lt;&gt;0,'2.报价结算清单'!E352&lt;&gt;0),'2.报价结算清单'!E352,"")</f>
        <v/>
      </c>
      <c r="F249" s="105" t="str">
        <f>_xlfn.IFNA(IF($A249="","",IF(VLOOKUP($A249,'3.框架内物料'!$A:$I,2,0)="","",VLOOKUP($A249,'3.框架内物料'!$A:$I,2,0))),"")</f>
        <v/>
      </c>
      <c r="G249" s="87" t="str">
        <f>IF(AND('2.报价结算清单'!$P352&gt;0,'2.报价结算清单'!$B352&lt;&gt;0,'2.报价结算清单'!H352&lt;&gt;0),'2.报价结算清单'!H352,"")</f>
        <v/>
      </c>
      <c r="H249" s="122" t="str">
        <f>IF(AND('2.报价结算清单'!$P352&gt;0,'2.报价结算清单'!$B352&lt;&gt;0,'2.报价结算清单'!$F352&lt;&gt;0),'2.报价结算清单'!J352,"")</f>
        <v/>
      </c>
      <c r="I249" s="105" t="str">
        <f>IF(AND('2.报价结算清单'!$P352&gt;0,'2.报价结算清单'!$B352&lt;&gt;0,'2.报价结算清单'!$F352&lt;&gt;0),'2.报价结算清单'!L352,"")</f>
        <v/>
      </c>
      <c r="J249" s="105" t="str">
        <f>IF(AND('2.报价结算清单'!$P352&gt;0,'2.报价结算清单'!$B352&lt;&gt;0,'2.报价结算清单'!I352&lt;&gt;0),'2.报价结算清单'!I352,"")</f>
        <v/>
      </c>
      <c r="K249" s="105" t="str">
        <f>IF(AND('2.报价结算清单'!$P352&gt;0,'2.报价结算清单'!$B352&lt;&gt;0,'2.报价结算清单'!$F352&lt;&gt;0),'2.报价结算清单'!N352,"")</f>
        <v/>
      </c>
      <c r="L249" s="105" t="str">
        <f>IF(AND('2.报价结算清单'!$P352&gt;0,'2.报价结算清单'!$B352&lt;&gt;0,'2.报价结算清单'!I352&lt;&gt;0),"天","")</f>
        <v/>
      </c>
      <c r="M249" s="80" t="str">
        <f t="shared" si="10"/>
        <v/>
      </c>
      <c r="N249" s="78" t="str">
        <f t="shared" si="11"/>
        <v/>
      </c>
      <c r="O249" s="78" t="str">
        <f>IF(AND('2.报价结算清单'!$P352&gt;0,'2.报价结算清单'!$B352&lt;&gt;0,'2.报价结算清单'!S352&lt;&gt;0),'2.报价结算清单'!S352,"")</f>
        <v/>
      </c>
      <c r="P249" s="78" t="str">
        <f>IF(AND('2.报价结算清单'!$P352&gt;0,'2.报价结算清单'!$B352&lt;&gt;0,'2.报价结算清单'!T352&lt;&gt;0),'2.报价结算清单'!T352,"")</f>
        <v/>
      </c>
      <c r="Q249" s="78" t="str">
        <f>IF(F249="",J249,VLOOKUP(F249,框架条目清单!A:K,4,FALSE))</f>
        <v/>
      </c>
      <c r="R249" s="106" t="str">
        <f>IF($A249="","",'2.报价结算清单'!$K$183)</f>
        <v/>
      </c>
      <c r="S249" s="80" t="str">
        <f>IF($A249="","",'2.报价结算清单'!$E$183)</f>
        <v/>
      </c>
      <c r="T249" s="78" t="str">
        <f>IF(F249="","",VLOOKUP(F249,框架条目清单!A:K,7,FALSE))</f>
        <v/>
      </c>
      <c r="U249" s="78" t="str">
        <f>IF(F249="","",VLOOKUP(F249,框架条目清单!A:K,8,FALSE))</f>
        <v/>
      </c>
      <c r="V249" s="78" t="str">
        <f>IF(F249="","",VLOOKUP(F249,框架条目清单!A:K,9,FALSE))</f>
        <v/>
      </c>
    </row>
    <row r="250" spans="1:22">
      <c r="A250" s="78" t="str">
        <f>IF(AND('2.报价结算清单'!$P353&gt;0,'2.报价结算清单'!$B353&lt;&gt;0,'2.报价结算清单'!$F353&lt;&gt;0),'2.报价结算清单'!$F353,"")</f>
        <v/>
      </c>
      <c r="B250" s="78" t="str">
        <f>_xlfn.IFNA(VLOOKUP(A250,'3.框架内物料'!$A:$I,3,0),A250)</f>
        <v/>
      </c>
      <c r="C250" s="78" t="str">
        <f>IF(AND('2.报价结算清单'!$P353&gt;0,'2.报价结算清单'!$B353&lt;&gt;0,'2.报价结算清单'!C353&lt;&gt;0),'2.报价结算清单'!C353,"")</f>
        <v/>
      </c>
      <c r="D250" s="78" t="str">
        <f>IF(AND('2.报价结算清单'!$P353&gt;0,'2.报价结算清单'!$B353&lt;&gt;0,'2.报价结算清单'!D353&lt;&gt;0),'2.报价结算清单'!D353,"")</f>
        <v/>
      </c>
      <c r="E250" s="78" t="str">
        <f>IF(AND('2.报价结算清单'!$P353&gt;0,'2.报价结算清单'!$B353&lt;&gt;0,'2.报价结算清单'!E353&lt;&gt;0),'2.报价结算清单'!E353,"")</f>
        <v/>
      </c>
      <c r="F250" s="105" t="str">
        <f>_xlfn.IFNA(IF($A250="","",IF(VLOOKUP($A250,'3.框架内物料'!$A:$I,2,0)="","",VLOOKUP($A250,'3.框架内物料'!$A:$I,2,0))),"")</f>
        <v/>
      </c>
      <c r="G250" s="87" t="str">
        <f>IF(AND('2.报价结算清单'!$P353&gt;0,'2.报价结算清单'!$B353&lt;&gt;0,'2.报价结算清单'!H353&lt;&gt;0),'2.报价结算清单'!H353,"")</f>
        <v/>
      </c>
      <c r="H250" s="122" t="str">
        <f>IF(AND('2.报价结算清单'!$P353&gt;0,'2.报价结算清单'!$B353&lt;&gt;0,'2.报价结算清单'!$F353&lt;&gt;0),'2.报价结算清单'!J353,"")</f>
        <v/>
      </c>
      <c r="I250" s="105" t="str">
        <f>IF(AND('2.报价结算清单'!$P353&gt;0,'2.报价结算清单'!$B353&lt;&gt;0,'2.报价结算清单'!$F353&lt;&gt;0),'2.报价结算清单'!L353,"")</f>
        <v/>
      </c>
      <c r="J250" s="105" t="str">
        <f>IF(AND('2.报价结算清单'!$P353&gt;0,'2.报价结算清单'!$B353&lt;&gt;0,'2.报价结算清单'!I353&lt;&gt;0),'2.报价结算清单'!I353,"")</f>
        <v/>
      </c>
      <c r="K250" s="105" t="str">
        <f>IF(AND('2.报价结算清单'!$P353&gt;0,'2.报价结算清单'!$B353&lt;&gt;0,'2.报价结算清单'!$F353&lt;&gt;0),'2.报价结算清单'!N353,"")</f>
        <v/>
      </c>
      <c r="L250" s="105" t="str">
        <f>IF(AND('2.报价结算清单'!$P353&gt;0,'2.报价结算清单'!$B353&lt;&gt;0,'2.报价结算清单'!I353&lt;&gt;0),"天","")</f>
        <v/>
      </c>
      <c r="M250" s="80" t="str">
        <f t="shared" si="10"/>
        <v/>
      </c>
      <c r="N250" s="78" t="str">
        <f t="shared" si="11"/>
        <v/>
      </c>
      <c r="O250" s="78" t="str">
        <f>IF(AND('2.报价结算清单'!$P353&gt;0,'2.报价结算清单'!$B353&lt;&gt;0,'2.报价结算清单'!S353&lt;&gt;0),'2.报价结算清单'!S353,"")</f>
        <v/>
      </c>
      <c r="P250" s="78" t="str">
        <f>IF(AND('2.报价结算清单'!$P353&gt;0,'2.报价结算清单'!$B353&lt;&gt;0,'2.报价结算清单'!T353&lt;&gt;0),'2.报价结算清单'!T353,"")</f>
        <v/>
      </c>
      <c r="Q250" s="78" t="str">
        <f>IF(F250="",J250,VLOOKUP(F250,框架条目清单!A:K,4,FALSE))</f>
        <v/>
      </c>
      <c r="R250" s="106" t="str">
        <f>IF($A250="","",'2.报价结算清单'!$K$183)</f>
        <v/>
      </c>
      <c r="S250" s="80" t="str">
        <f>IF($A250="","",'2.报价结算清单'!$E$183)</f>
        <v/>
      </c>
      <c r="T250" s="78" t="str">
        <f>IF(F250="","",VLOOKUP(F250,框架条目清单!A:K,7,FALSE))</f>
        <v/>
      </c>
      <c r="U250" s="78" t="str">
        <f>IF(F250="","",VLOOKUP(F250,框架条目清单!A:K,8,FALSE))</f>
        <v/>
      </c>
      <c r="V250" s="78" t="str">
        <f>IF(F250="","",VLOOKUP(F250,框架条目清单!A:K,9,FALSE))</f>
        <v/>
      </c>
    </row>
    <row r="251" spans="1:22">
      <c r="A251" s="78" t="str">
        <f>IF(AND('2.报价结算清单'!$P354&gt;0,'2.报价结算清单'!$B354&lt;&gt;0,'2.报价结算清单'!$F354&lt;&gt;0),'2.报价结算清单'!$F354,"")</f>
        <v/>
      </c>
      <c r="B251" s="78" t="str">
        <f>_xlfn.IFNA(VLOOKUP(A251,'3.框架内物料'!$A:$I,3,0),A251)</f>
        <v/>
      </c>
      <c r="C251" s="78" t="str">
        <f>IF(AND('2.报价结算清单'!$P354&gt;0,'2.报价结算清单'!$B354&lt;&gt;0,'2.报价结算清单'!C354&lt;&gt;0),'2.报价结算清单'!C354,"")</f>
        <v/>
      </c>
      <c r="D251" s="78" t="str">
        <f>IF(AND('2.报价结算清单'!$P354&gt;0,'2.报价结算清单'!$B354&lt;&gt;0,'2.报价结算清单'!D354&lt;&gt;0),'2.报价结算清单'!D354,"")</f>
        <v/>
      </c>
      <c r="E251" s="78" t="str">
        <f>IF(AND('2.报价结算清单'!$P354&gt;0,'2.报价结算清单'!$B354&lt;&gt;0,'2.报价结算清单'!E354&lt;&gt;0),'2.报价结算清单'!E354,"")</f>
        <v/>
      </c>
      <c r="F251" s="105" t="str">
        <f>_xlfn.IFNA(IF($A251="","",IF(VLOOKUP($A251,'3.框架内物料'!$A:$I,2,0)="","",VLOOKUP($A251,'3.框架内物料'!$A:$I,2,0))),"")</f>
        <v/>
      </c>
      <c r="G251" s="87" t="str">
        <f>IF(AND('2.报价结算清单'!$P354&gt;0,'2.报价结算清单'!$B354&lt;&gt;0,'2.报价结算清单'!H354&lt;&gt;0),'2.报价结算清单'!H354,"")</f>
        <v/>
      </c>
      <c r="H251" s="122" t="str">
        <f>IF(AND('2.报价结算清单'!$P354&gt;0,'2.报价结算清单'!$B354&lt;&gt;0,'2.报价结算清单'!$F354&lt;&gt;0),'2.报价结算清单'!J354,"")</f>
        <v/>
      </c>
      <c r="I251" s="105" t="str">
        <f>IF(AND('2.报价结算清单'!$P354&gt;0,'2.报价结算清单'!$B354&lt;&gt;0,'2.报价结算清单'!$F354&lt;&gt;0),'2.报价结算清单'!L354,"")</f>
        <v/>
      </c>
      <c r="J251" s="105" t="str">
        <f>IF(AND('2.报价结算清单'!$P354&gt;0,'2.报价结算清单'!$B354&lt;&gt;0,'2.报价结算清单'!I354&lt;&gt;0),'2.报价结算清单'!I354,"")</f>
        <v/>
      </c>
      <c r="K251" s="105" t="str">
        <f>IF(AND('2.报价结算清单'!$P354&gt;0,'2.报价结算清单'!$B354&lt;&gt;0,'2.报价结算清单'!$F354&lt;&gt;0),'2.报价结算清单'!N354,"")</f>
        <v/>
      </c>
      <c r="L251" s="105" t="str">
        <f>IF(AND('2.报价结算清单'!$P354&gt;0,'2.报价结算清单'!$B354&lt;&gt;0,'2.报价结算清单'!I354&lt;&gt;0),"天","")</f>
        <v/>
      </c>
      <c r="M251" s="80" t="str">
        <f t="shared" si="10"/>
        <v/>
      </c>
      <c r="N251" s="78" t="str">
        <f t="shared" si="11"/>
        <v/>
      </c>
      <c r="O251" s="78" t="str">
        <f>IF(AND('2.报价结算清单'!$P354&gt;0,'2.报价结算清单'!$B354&lt;&gt;0,'2.报价结算清单'!S354&lt;&gt;0),'2.报价结算清单'!S354,"")</f>
        <v/>
      </c>
      <c r="P251" s="78" t="str">
        <f>IF(AND('2.报价结算清单'!$P354&gt;0,'2.报价结算清单'!$B354&lt;&gt;0,'2.报价结算清单'!T354&lt;&gt;0),'2.报价结算清单'!T354,"")</f>
        <v/>
      </c>
      <c r="Q251" s="78" t="str">
        <f>IF(F251="",J251,VLOOKUP(F251,框架条目清单!A:K,4,FALSE))</f>
        <v/>
      </c>
      <c r="R251" s="106" t="str">
        <f>IF($A251="","",'2.报价结算清单'!$K$183)</f>
        <v/>
      </c>
      <c r="S251" s="80" t="str">
        <f>IF($A251="","",'2.报价结算清单'!$E$183)</f>
        <v/>
      </c>
      <c r="T251" s="78" t="str">
        <f>IF(F251="","",VLOOKUP(F251,框架条目清单!A:K,7,FALSE))</f>
        <v/>
      </c>
      <c r="U251" s="78" t="str">
        <f>IF(F251="","",VLOOKUP(F251,框架条目清单!A:K,8,FALSE))</f>
        <v/>
      </c>
      <c r="V251" s="78" t="str">
        <f>IF(F251="","",VLOOKUP(F251,框架条目清单!A:K,9,FALSE))</f>
        <v/>
      </c>
    </row>
    <row r="252" spans="1:22">
      <c r="A252" s="78" t="str">
        <f>IF(AND('2.报价结算清单'!$P355&gt;0,'2.报价结算清单'!$B355&lt;&gt;0,'2.报价结算清单'!$F355&lt;&gt;0),'2.报价结算清单'!$F355,"")</f>
        <v/>
      </c>
      <c r="B252" s="78" t="str">
        <f>_xlfn.IFNA(VLOOKUP(A252,'3.框架内物料'!$A:$I,3,0),A252)</f>
        <v/>
      </c>
      <c r="C252" s="78" t="str">
        <f>IF(AND('2.报价结算清单'!$P355&gt;0,'2.报价结算清单'!$B355&lt;&gt;0,'2.报价结算清单'!C355&lt;&gt;0),'2.报价结算清单'!C355,"")</f>
        <v/>
      </c>
      <c r="D252" s="78" t="str">
        <f>IF(AND('2.报价结算清单'!$P355&gt;0,'2.报价结算清单'!$B355&lt;&gt;0,'2.报价结算清单'!D355&lt;&gt;0),'2.报价结算清单'!D355,"")</f>
        <v/>
      </c>
      <c r="E252" s="78" t="str">
        <f>IF(AND('2.报价结算清单'!$P355&gt;0,'2.报价结算清单'!$B355&lt;&gt;0,'2.报价结算清单'!E355&lt;&gt;0),'2.报价结算清单'!E355,"")</f>
        <v/>
      </c>
      <c r="F252" s="105" t="str">
        <f>_xlfn.IFNA(IF($A252="","",IF(VLOOKUP($A252,'3.框架内物料'!$A:$I,2,0)="","",VLOOKUP($A252,'3.框架内物料'!$A:$I,2,0))),"")</f>
        <v/>
      </c>
      <c r="G252" s="87" t="str">
        <f>IF(AND('2.报价结算清单'!$P355&gt;0,'2.报价结算清单'!$B355&lt;&gt;0,'2.报价结算清单'!H355&lt;&gt;0),'2.报价结算清单'!H355,"")</f>
        <v/>
      </c>
      <c r="H252" s="122" t="str">
        <f>IF(AND('2.报价结算清单'!$P355&gt;0,'2.报价结算清单'!$B355&lt;&gt;0,'2.报价结算清单'!$F355&lt;&gt;0),'2.报价结算清单'!J355,"")</f>
        <v/>
      </c>
      <c r="I252" s="105" t="str">
        <f>IF(AND('2.报价结算清单'!$P355&gt;0,'2.报价结算清单'!$B355&lt;&gt;0,'2.报价结算清单'!$F355&lt;&gt;0),'2.报价结算清单'!L355,"")</f>
        <v/>
      </c>
      <c r="J252" s="105" t="str">
        <f>IF(AND('2.报价结算清单'!$P355&gt;0,'2.报价结算清单'!$B355&lt;&gt;0,'2.报价结算清单'!I355&lt;&gt;0),'2.报价结算清单'!I355,"")</f>
        <v/>
      </c>
      <c r="K252" s="105" t="str">
        <f>IF(AND('2.报价结算清单'!$P355&gt;0,'2.报价结算清单'!$B355&lt;&gt;0,'2.报价结算清单'!$F355&lt;&gt;0),'2.报价结算清单'!N355,"")</f>
        <v/>
      </c>
      <c r="L252" s="105" t="str">
        <f>IF(AND('2.报价结算清单'!$P355&gt;0,'2.报价结算清单'!$B355&lt;&gt;0,'2.报价结算清单'!I355&lt;&gt;0),"天","")</f>
        <v/>
      </c>
      <c r="M252" s="80" t="str">
        <f t="shared" si="10"/>
        <v/>
      </c>
      <c r="N252" s="78" t="str">
        <f t="shared" si="11"/>
        <v/>
      </c>
      <c r="O252" s="78" t="str">
        <f>IF(AND('2.报价结算清单'!$P355&gt;0,'2.报价结算清单'!$B355&lt;&gt;0,'2.报价结算清单'!S355&lt;&gt;0),'2.报价结算清单'!S355,"")</f>
        <v/>
      </c>
      <c r="P252" s="78" t="str">
        <f>IF(AND('2.报价结算清单'!$P355&gt;0,'2.报价结算清单'!$B355&lt;&gt;0,'2.报价结算清单'!T355&lt;&gt;0),'2.报价结算清单'!T355,"")</f>
        <v/>
      </c>
      <c r="Q252" s="78" t="str">
        <f>IF(F252="",J252,VLOOKUP(F252,框架条目清单!A:K,4,FALSE))</f>
        <v/>
      </c>
      <c r="R252" s="106" t="str">
        <f>IF($A252="","",'2.报价结算清单'!$K$183)</f>
        <v/>
      </c>
      <c r="S252" s="80" t="str">
        <f>IF($A252="","",'2.报价结算清单'!$E$183)</f>
        <v/>
      </c>
      <c r="T252" s="78" t="str">
        <f>IF(F252="","",VLOOKUP(F252,框架条目清单!A:K,7,FALSE))</f>
        <v/>
      </c>
      <c r="U252" s="78" t="str">
        <f>IF(F252="","",VLOOKUP(F252,框架条目清单!A:K,8,FALSE))</f>
        <v/>
      </c>
      <c r="V252" s="78" t="str">
        <f>IF(F252="","",VLOOKUP(F252,框架条目清单!A:K,9,FALSE))</f>
        <v/>
      </c>
    </row>
    <row r="253" spans="1:22">
      <c r="A253" s="78" t="str">
        <f>IF(AND('2.报价结算清单'!$P356&gt;0,'2.报价结算清单'!$B356&lt;&gt;0,'2.报价结算清单'!$F356&lt;&gt;0),'2.报价结算清单'!$F356,"")</f>
        <v/>
      </c>
      <c r="B253" s="78" t="str">
        <f>_xlfn.IFNA(VLOOKUP(A253,'3.框架内物料'!$A:$I,3,0),A253)</f>
        <v/>
      </c>
      <c r="C253" s="78" t="str">
        <f>IF(AND('2.报价结算清单'!$P356&gt;0,'2.报价结算清单'!$B356&lt;&gt;0,'2.报价结算清单'!C356&lt;&gt;0),'2.报价结算清单'!C356,"")</f>
        <v/>
      </c>
      <c r="D253" s="78" t="str">
        <f>IF(AND('2.报价结算清单'!$P356&gt;0,'2.报价结算清单'!$B356&lt;&gt;0,'2.报价结算清单'!D356&lt;&gt;0),'2.报价结算清单'!D356,"")</f>
        <v/>
      </c>
      <c r="E253" s="78" t="str">
        <f>IF(AND('2.报价结算清单'!$P356&gt;0,'2.报价结算清单'!$B356&lt;&gt;0,'2.报价结算清单'!E356&lt;&gt;0),'2.报价结算清单'!E356,"")</f>
        <v/>
      </c>
      <c r="F253" s="105" t="str">
        <f>_xlfn.IFNA(IF($A253="","",IF(VLOOKUP($A253,'3.框架内物料'!$A:$I,2,0)="","",VLOOKUP($A253,'3.框架内物料'!$A:$I,2,0))),"")</f>
        <v/>
      </c>
      <c r="G253" s="87" t="str">
        <f>IF(AND('2.报价结算清单'!$P356&gt;0,'2.报价结算清单'!$B356&lt;&gt;0,'2.报价结算清单'!H356&lt;&gt;0),'2.报价结算清单'!H356,"")</f>
        <v/>
      </c>
      <c r="H253" s="122" t="str">
        <f>IF(AND('2.报价结算清单'!$P356&gt;0,'2.报价结算清单'!$B356&lt;&gt;0,'2.报价结算清单'!$F356&lt;&gt;0),'2.报价结算清单'!J356,"")</f>
        <v/>
      </c>
      <c r="I253" s="105" t="str">
        <f>IF(AND('2.报价结算清单'!$P356&gt;0,'2.报价结算清单'!$B356&lt;&gt;0,'2.报价结算清单'!$F356&lt;&gt;0),'2.报价结算清单'!L356,"")</f>
        <v/>
      </c>
      <c r="J253" s="105" t="str">
        <f>IF(AND('2.报价结算清单'!$P356&gt;0,'2.报价结算清单'!$B356&lt;&gt;0,'2.报价结算清单'!I356&lt;&gt;0),'2.报价结算清单'!I356,"")</f>
        <v/>
      </c>
      <c r="K253" s="105" t="str">
        <f>IF(AND('2.报价结算清单'!$P356&gt;0,'2.报价结算清单'!$B356&lt;&gt;0,'2.报价结算清单'!$F356&lt;&gt;0),'2.报价结算清单'!N356,"")</f>
        <v/>
      </c>
      <c r="L253" s="105" t="str">
        <f>IF(AND('2.报价结算清单'!$P356&gt;0,'2.报价结算清单'!$B356&lt;&gt;0,'2.报价结算清单'!I356&lt;&gt;0),"天","")</f>
        <v/>
      </c>
      <c r="M253" s="80" t="str">
        <f t="shared" si="10"/>
        <v/>
      </c>
      <c r="N253" s="78" t="str">
        <f t="shared" si="11"/>
        <v/>
      </c>
      <c r="O253" s="78" t="str">
        <f>IF(AND('2.报价结算清单'!$P356&gt;0,'2.报价结算清单'!$B356&lt;&gt;0,'2.报价结算清单'!S356&lt;&gt;0),'2.报价结算清单'!S356,"")</f>
        <v/>
      </c>
      <c r="P253" s="78" t="str">
        <f>IF(AND('2.报价结算清单'!$P356&gt;0,'2.报价结算清单'!$B356&lt;&gt;0,'2.报价结算清单'!T356&lt;&gt;0),'2.报价结算清单'!T356,"")</f>
        <v/>
      </c>
      <c r="Q253" s="78" t="str">
        <f>IF(F253="",J253,VLOOKUP(F253,框架条目清单!A:K,4,FALSE))</f>
        <v/>
      </c>
      <c r="R253" s="106" t="str">
        <f>IF($A253="","",'2.报价结算清单'!$K$183)</f>
        <v/>
      </c>
      <c r="S253" s="80" t="str">
        <f>IF($A253="","",'2.报价结算清单'!$E$183)</f>
        <v/>
      </c>
      <c r="T253" s="78" t="str">
        <f>IF(F253="","",VLOOKUP(F253,框架条目清单!A:K,7,FALSE))</f>
        <v/>
      </c>
      <c r="U253" s="78" t="str">
        <f>IF(F253="","",VLOOKUP(F253,框架条目清单!A:K,8,FALSE))</f>
        <v/>
      </c>
      <c r="V253" s="78" t="str">
        <f>IF(F253="","",VLOOKUP(F253,框架条目清单!A:K,9,FALSE))</f>
        <v/>
      </c>
    </row>
    <row r="254" spans="1:22">
      <c r="A254" s="78" t="str">
        <f>IF(AND('2.报价结算清单'!$P357&gt;0,'2.报价结算清单'!$B357&lt;&gt;0,'2.报价结算清单'!$F357&lt;&gt;0),'2.报价结算清单'!$F357,"")</f>
        <v/>
      </c>
      <c r="B254" s="78" t="str">
        <f>_xlfn.IFNA(VLOOKUP(A254,'3.框架内物料'!$A:$I,3,0),A254)</f>
        <v/>
      </c>
      <c r="C254" s="78" t="str">
        <f>IF(AND('2.报价结算清单'!$P357&gt;0,'2.报价结算清单'!$B357&lt;&gt;0,'2.报价结算清单'!C357&lt;&gt;0),'2.报价结算清单'!C357,"")</f>
        <v/>
      </c>
      <c r="D254" s="78" t="str">
        <f>IF(AND('2.报价结算清单'!$P357&gt;0,'2.报价结算清单'!$B357&lt;&gt;0,'2.报价结算清单'!D357&lt;&gt;0),'2.报价结算清单'!D357,"")</f>
        <v/>
      </c>
      <c r="E254" s="78" t="str">
        <f>IF(AND('2.报价结算清单'!$P357&gt;0,'2.报价结算清单'!$B357&lt;&gt;0,'2.报价结算清单'!E357&lt;&gt;0),'2.报价结算清单'!E357,"")</f>
        <v/>
      </c>
      <c r="F254" s="105" t="str">
        <f>_xlfn.IFNA(IF($A254="","",IF(VLOOKUP($A254,'3.框架内物料'!$A:$I,2,0)="","",VLOOKUP($A254,'3.框架内物料'!$A:$I,2,0))),"")</f>
        <v/>
      </c>
      <c r="G254" s="87" t="str">
        <f>IF(AND('2.报价结算清单'!$P357&gt;0,'2.报价结算清单'!$B357&lt;&gt;0,'2.报价结算清单'!H357&lt;&gt;0),'2.报价结算清单'!H357,"")</f>
        <v/>
      </c>
      <c r="H254" s="122" t="str">
        <f>IF(AND('2.报价结算清单'!$P357&gt;0,'2.报价结算清单'!$B357&lt;&gt;0,'2.报价结算清单'!$F357&lt;&gt;0),'2.报价结算清单'!J357,"")</f>
        <v/>
      </c>
      <c r="I254" s="105" t="str">
        <f>IF(AND('2.报价结算清单'!$P357&gt;0,'2.报价结算清单'!$B357&lt;&gt;0,'2.报价结算清单'!$F357&lt;&gt;0),'2.报价结算清单'!L357,"")</f>
        <v/>
      </c>
      <c r="J254" s="105" t="str">
        <f>IF(AND('2.报价结算清单'!$P357&gt;0,'2.报价结算清单'!$B357&lt;&gt;0,'2.报价结算清单'!I357&lt;&gt;0),'2.报价结算清单'!I357,"")</f>
        <v/>
      </c>
      <c r="K254" s="105" t="str">
        <f>IF(AND('2.报价结算清单'!$P357&gt;0,'2.报价结算清单'!$B357&lt;&gt;0,'2.报价结算清单'!$F357&lt;&gt;0),'2.报价结算清单'!N357,"")</f>
        <v/>
      </c>
      <c r="L254" s="105" t="str">
        <f>IF(AND('2.报价结算清单'!$P357&gt;0,'2.报价结算清单'!$B357&lt;&gt;0,'2.报价结算清单'!I357&lt;&gt;0),"天","")</f>
        <v/>
      </c>
      <c r="M254" s="80" t="str">
        <f t="shared" si="10"/>
        <v/>
      </c>
      <c r="N254" s="78" t="str">
        <f t="shared" si="11"/>
        <v/>
      </c>
      <c r="O254" s="78" t="str">
        <f>IF(AND('2.报价结算清单'!$P357&gt;0,'2.报价结算清单'!$B357&lt;&gt;0,'2.报价结算清单'!S357&lt;&gt;0),'2.报价结算清单'!S357,"")</f>
        <v/>
      </c>
      <c r="P254" s="78" t="str">
        <f>IF(AND('2.报价结算清单'!$P357&gt;0,'2.报价结算清单'!$B357&lt;&gt;0,'2.报价结算清单'!T357&lt;&gt;0),'2.报价结算清单'!T357,"")</f>
        <v/>
      </c>
      <c r="Q254" s="78" t="str">
        <f>IF(F254="",J254,VLOOKUP(F254,框架条目清单!A:K,4,FALSE))</f>
        <v/>
      </c>
      <c r="R254" s="106" t="str">
        <f>IF($A254="","",'2.报价结算清单'!$K$183)</f>
        <v/>
      </c>
      <c r="S254" s="80" t="str">
        <f>IF($A254="","",'2.报价结算清单'!$E$183)</f>
        <v/>
      </c>
      <c r="T254" s="78" t="str">
        <f>IF(F254="","",VLOOKUP(F254,框架条目清单!A:K,7,FALSE))</f>
        <v/>
      </c>
      <c r="U254" s="78" t="str">
        <f>IF(F254="","",VLOOKUP(F254,框架条目清单!A:K,8,FALSE))</f>
        <v/>
      </c>
      <c r="V254" s="78" t="str">
        <f>IF(F254="","",VLOOKUP(F254,框架条目清单!A:K,9,FALSE))</f>
        <v/>
      </c>
    </row>
    <row r="255" spans="1:22">
      <c r="A255" s="78" t="str">
        <f>IF(AND('2.报价结算清单'!$P358&gt;0,'2.报价结算清单'!$B358&lt;&gt;0,'2.报价结算清单'!$F358&lt;&gt;0),'2.报价结算清单'!$F358,"")</f>
        <v/>
      </c>
      <c r="B255" s="78" t="str">
        <f>_xlfn.IFNA(VLOOKUP(A255,'3.框架内物料'!$A:$I,3,0),A255)</f>
        <v/>
      </c>
      <c r="C255" s="78" t="str">
        <f>IF(AND('2.报价结算清单'!$P358&gt;0,'2.报价结算清单'!$B358&lt;&gt;0,'2.报价结算清单'!C358&lt;&gt;0),'2.报价结算清单'!C358,"")</f>
        <v/>
      </c>
      <c r="D255" s="78" t="str">
        <f>IF(AND('2.报价结算清单'!$P358&gt;0,'2.报价结算清单'!$B358&lt;&gt;0,'2.报价结算清单'!D358&lt;&gt;0),'2.报价结算清单'!D358,"")</f>
        <v/>
      </c>
      <c r="E255" s="78" t="str">
        <f>IF(AND('2.报价结算清单'!$P358&gt;0,'2.报价结算清单'!$B358&lt;&gt;0,'2.报价结算清单'!E358&lt;&gt;0),'2.报价结算清单'!E358,"")</f>
        <v/>
      </c>
      <c r="F255" s="105" t="str">
        <f>_xlfn.IFNA(IF($A255="","",IF(VLOOKUP($A255,'3.框架内物料'!$A:$I,2,0)="","",VLOOKUP($A255,'3.框架内物料'!$A:$I,2,0))),"")</f>
        <v/>
      </c>
      <c r="G255" s="87" t="str">
        <f>IF(AND('2.报价结算清单'!$P358&gt;0,'2.报价结算清单'!$B358&lt;&gt;0,'2.报价结算清单'!H358&lt;&gt;0),'2.报价结算清单'!H358,"")</f>
        <v/>
      </c>
      <c r="H255" s="122" t="str">
        <f>IF(AND('2.报价结算清单'!$P358&gt;0,'2.报价结算清单'!$B358&lt;&gt;0,'2.报价结算清单'!$F358&lt;&gt;0),'2.报价结算清单'!J358,"")</f>
        <v/>
      </c>
      <c r="I255" s="105" t="str">
        <f>IF(AND('2.报价结算清单'!$P358&gt;0,'2.报价结算清单'!$B358&lt;&gt;0,'2.报价结算清单'!$F358&lt;&gt;0),'2.报价结算清单'!L358,"")</f>
        <v/>
      </c>
      <c r="J255" s="105" t="str">
        <f>IF(AND('2.报价结算清单'!$P358&gt;0,'2.报价结算清单'!$B358&lt;&gt;0,'2.报价结算清单'!I358&lt;&gt;0),'2.报价结算清单'!I358,"")</f>
        <v/>
      </c>
      <c r="K255" s="105" t="str">
        <f>IF(AND('2.报价结算清单'!$P358&gt;0,'2.报价结算清单'!$B358&lt;&gt;0,'2.报价结算清单'!$F358&lt;&gt;0),'2.报价结算清单'!N358,"")</f>
        <v/>
      </c>
      <c r="L255" s="105" t="str">
        <f>IF(AND('2.报价结算清单'!$P358&gt;0,'2.报价结算清单'!$B358&lt;&gt;0,'2.报价结算清单'!I358&lt;&gt;0),"天","")</f>
        <v/>
      </c>
      <c r="M255" s="80" t="str">
        <f t="shared" si="10"/>
        <v/>
      </c>
      <c r="N255" s="78" t="str">
        <f t="shared" si="11"/>
        <v/>
      </c>
      <c r="O255" s="78" t="str">
        <f>IF(AND('2.报价结算清单'!$P358&gt;0,'2.报价结算清单'!$B358&lt;&gt;0,'2.报价结算清单'!S358&lt;&gt;0),'2.报价结算清单'!S358,"")</f>
        <v/>
      </c>
      <c r="P255" s="78" t="str">
        <f>IF(AND('2.报价结算清单'!$P358&gt;0,'2.报价结算清单'!$B358&lt;&gt;0,'2.报价结算清单'!T358&lt;&gt;0),'2.报价结算清单'!T358,"")</f>
        <v/>
      </c>
      <c r="Q255" s="78" t="str">
        <f>IF(F255="",J255,VLOOKUP(F255,框架条目清单!A:K,4,FALSE))</f>
        <v/>
      </c>
      <c r="R255" s="106" t="str">
        <f>IF($A255="","",'2.报价结算清单'!$K$183)</f>
        <v/>
      </c>
      <c r="S255" s="80" t="str">
        <f>IF($A255="","",'2.报价结算清单'!$E$183)</f>
        <v/>
      </c>
      <c r="T255" s="78" t="str">
        <f>IF(F255="","",VLOOKUP(F255,框架条目清单!A:K,7,FALSE))</f>
        <v/>
      </c>
      <c r="U255" s="78" t="str">
        <f>IF(F255="","",VLOOKUP(F255,框架条目清单!A:K,8,FALSE))</f>
        <v/>
      </c>
      <c r="V255" s="78" t="str">
        <f>IF(F255="","",VLOOKUP(F255,框架条目清单!A:K,9,FALSE))</f>
        <v/>
      </c>
    </row>
    <row r="256" spans="1:22">
      <c r="A256" s="78" t="str">
        <f>IF(AND('2.报价结算清单'!$P359&gt;0,'2.报价结算清单'!$B359&lt;&gt;0,'2.报价结算清单'!$F359&lt;&gt;0),'2.报价结算清单'!$F359,"")</f>
        <v/>
      </c>
      <c r="B256" s="78" t="str">
        <f>_xlfn.IFNA(VLOOKUP(A256,'3.框架内物料'!$A:$I,3,0),A256)</f>
        <v/>
      </c>
      <c r="C256" s="78" t="str">
        <f>IF(AND('2.报价结算清单'!$P359&gt;0,'2.报价结算清单'!$B359&lt;&gt;0,'2.报价结算清单'!C359&lt;&gt;0),'2.报价结算清单'!C359,"")</f>
        <v/>
      </c>
      <c r="D256" s="78" t="str">
        <f>IF(AND('2.报价结算清单'!$P359&gt;0,'2.报价结算清单'!$B359&lt;&gt;0,'2.报价结算清单'!D359&lt;&gt;0),'2.报价结算清单'!D359,"")</f>
        <v/>
      </c>
      <c r="E256" s="78" t="str">
        <f>IF(AND('2.报价结算清单'!$P359&gt;0,'2.报价结算清单'!$B359&lt;&gt;0,'2.报价结算清单'!E359&lt;&gt;0),'2.报价结算清单'!E359,"")</f>
        <v/>
      </c>
      <c r="F256" s="105" t="str">
        <f>_xlfn.IFNA(IF($A256="","",IF(VLOOKUP($A256,'3.框架内物料'!$A:$I,2,0)="","",VLOOKUP($A256,'3.框架内物料'!$A:$I,2,0))),"")</f>
        <v/>
      </c>
      <c r="G256" s="87" t="str">
        <f>IF(AND('2.报价结算清单'!$P359&gt;0,'2.报价结算清单'!$B359&lt;&gt;0,'2.报价结算清单'!H359&lt;&gt;0),'2.报价结算清单'!H359,"")</f>
        <v/>
      </c>
      <c r="H256" s="122" t="str">
        <f>IF(AND('2.报价结算清单'!$P359&gt;0,'2.报价结算清单'!$B359&lt;&gt;0,'2.报价结算清单'!$F359&lt;&gt;0),'2.报价结算清单'!J359,"")</f>
        <v/>
      </c>
      <c r="I256" s="105" t="str">
        <f>IF(AND('2.报价结算清单'!$P359&gt;0,'2.报价结算清单'!$B359&lt;&gt;0,'2.报价结算清单'!$F359&lt;&gt;0),'2.报价结算清单'!L359,"")</f>
        <v/>
      </c>
      <c r="J256" s="105" t="str">
        <f>IF(AND('2.报价结算清单'!$P359&gt;0,'2.报价结算清单'!$B359&lt;&gt;0,'2.报价结算清单'!I359&lt;&gt;0),'2.报价结算清单'!I359,"")</f>
        <v/>
      </c>
      <c r="K256" s="105" t="str">
        <f>IF(AND('2.报价结算清单'!$P359&gt;0,'2.报价结算清单'!$B359&lt;&gt;0,'2.报价结算清单'!$F359&lt;&gt;0),'2.报价结算清单'!N359,"")</f>
        <v/>
      </c>
      <c r="L256" s="105" t="str">
        <f>IF(AND('2.报价结算清单'!$P359&gt;0,'2.报价结算清单'!$B359&lt;&gt;0,'2.报价结算清单'!I359&lt;&gt;0),"天","")</f>
        <v/>
      </c>
      <c r="M256" s="80" t="str">
        <f t="shared" si="10"/>
        <v/>
      </c>
      <c r="N256" s="78" t="str">
        <f t="shared" si="11"/>
        <v/>
      </c>
      <c r="O256" s="78" t="str">
        <f>IF(AND('2.报价结算清单'!$P359&gt;0,'2.报价结算清单'!$B359&lt;&gt;0,'2.报价结算清单'!S359&lt;&gt;0),'2.报价结算清单'!S359,"")</f>
        <v/>
      </c>
      <c r="P256" s="78" t="str">
        <f>IF(AND('2.报价结算清单'!$P359&gt;0,'2.报价结算清单'!$B359&lt;&gt;0,'2.报价结算清单'!T359&lt;&gt;0),'2.报价结算清单'!T359,"")</f>
        <v/>
      </c>
      <c r="Q256" s="78" t="str">
        <f>IF(F256="",J256,VLOOKUP(F256,框架条目清单!A:K,4,FALSE))</f>
        <v/>
      </c>
      <c r="R256" s="106" t="str">
        <f>IF($A256="","",'2.报价结算清单'!$K$183)</f>
        <v/>
      </c>
      <c r="S256" s="80" t="str">
        <f>IF($A256="","",'2.报价结算清单'!$E$183)</f>
        <v/>
      </c>
      <c r="T256" s="78" t="str">
        <f>IF(F256="","",VLOOKUP(F256,框架条目清单!A:K,7,FALSE))</f>
        <v/>
      </c>
      <c r="U256" s="78" t="str">
        <f>IF(F256="","",VLOOKUP(F256,框架条目清单!A:K,8,FALSE))</f>
        <v/>
      </c>
      <c r="V256" s="78" t="str">
        <f>IF(F256="","",VLOOKUP(F256,框架条目清单!A:K,9,FALSE))</f>
        <v/>
      </c>
    </row>
    <row r="257" spans="1:22">
      <c r="A257" s="78" t="str">
        <f>IF(AND('2.报价结算清单'!$P360&gt;0,'2.报价结算清单'!$B360&lt;&gt;0,'2.报价结算清单'!$F360&lt;&gt;0),'2.报价结算清单'!$F360,"")</f>
        <v/>
      </c>
      <c r="B257" s="78" t="str">
        <f>_xlfn.IFNA(VLOOKUP(A257,'3.框架内物料'!$A:$I,3,0),A257)</f>
        <v/>
      </c>
      <c r="C257" s="78" t="str">
        <f>IF(AND('2.报价结算清单'!$P360&gt;0,'2.报价结算清单'!$B360&lt;&gt;0,'2.报价结算清单'!C360&lt;&gt;0),'2.报价结算清单'!C360,"")</f>
        <v/>
      </c>
      <c r="D257" s="78" t="str">
        <f>IF(AND('2.报价结算清单'!$P360&gt;0,'2.报价结算清单'!$B360&lt;&gt;0,'2.报价结算清单'!D360&lt;&gt;0),'2.报价结算清单'!D360,"")</f>
        <v/>
      </c>
      <c r="E257" s="78" t="str">
        <f>IF(AND('2.报价结算清单'!$P360&gt;0,'2.报价结算清单'!$B360&lt;&gt;0,'2.报价结算清单'!E360&lt;&gt;0),'2.报价结算清单'!E360,"")</f>
        <v/>
      </c>
      <c r="F257" s="105" t="str">
        <f>_xlfn.IFNA(IF($A257="","",IF(VLOOKUP($A257,'3.框架内物料'!$A:$I,2,0)="","",VLOOKUP($A257,'3.框架内物料'!$A:$I,2,0))),"")</f>
        <v/>
      </c>
      <c r="G257" s="87" t="str">
        <f>IF(AND('2.报价结算清单'!$P360&gt;0,'2.报价结算清单'!$B360&lt;&gt;0,'2.报价结算清单'!H360&lt;&gt;0),'2.报价结算清单'!H360,"")</f>
        <v/>
      </c>
      <c r="H257" s="122" t="str">
        <f>IF(AND('2.报价结算清单'!$P360&gt;0,'2.报价结算清单'!$B360&lt;&gt;0,'2.报价结算清单'!$F360&lt;&gt;0),'2.报价结算清单'!J360,"")</f>
        <v/>
      </c>
      <c r="I257" s="105" t="str">
        <f>IF(AND('2.报价结算清单'!$P360&gt;0,'2.报价结算清单'!$B360&lt;&gt;0,'2.报价结算清单'!$F360&lt;&gt;0),'2.报价结算清单'!L360,"")</f>
        <v/>
      </c>
      <c r="J257" s="105" t="str">
        <f>IF(AND('2.报价结算清单'!$P360&gt;0,'2.报价结算清单'!$B360&lt;&gt;0,'2.报价结算清单'!I360&lt;&gt;0),'2.报价结算清单'!I360,"")</f>
        <v/>
      </c>
      <c r="K257" s="105" t="str">
        <f>IF(AND('2.报价结算清单'!$P360&gt;0,'2.报价结算清单'!$B360&lt;&gt;0,'2.报价结算清单'!$F360&lt;&gt;0),'2.报价结算清单'!N360,"")</f>
        <v/>
      </c>
      <c r="L257" s="105" t="str">
        <f>IF(AND('2.报价结算清单'!$P360&gt;0,'2.报价结算清单'!$B360&lt;&gt;0,'2.报价结算清单'!I360&lt;&gt;0),"天","")</f>
        <v/>
      </c>
      <c r="M257" s="80" t="str">
        <f t="shared" si="10"/>
        <v/>
      </c>
      <c r="N257" s="78" t="str">
        <f t="shared" si="11"/>
        <v/>
      </c>
      <c r="O257" s="78" t="str">
        <f>IF(AND('2.报价结算清单'!$P360&gt;0,'2.报价结算清单'!$B360&lt;&gt;0,'2.报价结算清单'!S360&lt;&gt;0),'2.报价结算清单'!S360,"")</f>
        <v/>
      </c>
      <c r="P257" s="78" t="str">
        <f>IF(AND('2.报价结算清单'!$P360&gt;0,'2.报价结算清单'!$B360&lt;&gt;0,'2.报价结算清单'!T360&lt;&gt;0),'2.报价结算清单'!T360,"")</f>
        <v/>
      </c>
      <c r="Q257" s="78" t="str">
        <f>IF(F257="",J257,VLOOKUP(F257,框架条目清单!A:K,4,FALSE))</f>
        <v/>
      </c>
      <c r="R257" s="106" t="str">
        <f>IF($A257="","",'2.报价结算清单'!$K$183)</f>
        <v/>
      </c>
      <c r="S257" s="80" t="str">
        <f>IF($A257="","",'2.报价结算清单'!$E$183)</f>
        <v/>
      </c>
      <c r="T257" s="78" t="str">
        <f>IF(F257="","",VLOOKUP(F257,框架条目清单!A:K,7,FALSE))</f>
        <v/>
      </c>
      <c r="U257" s="78" t="str">
        <f>IF(F257="","",VLOOKUP(F257,框架条目清单!A:K,8,FALSE))</f>
        <v/>
      </c>
      <c r="V257" s="78" t="str">
        <f>IF(F257="","",VLOOKUP(F257,框架条目清单!A:K,9,FALSE))</f>
        <v/>
      </c>
    </row>
    <row r="258" spans="1:22">
      <c r="A258" s="78" t="str">
        <f>IF(AND('2.报价结算清单'!$P361&gt;0,'2.报价结算清单'!$B361&lt;&gt;0,'2.报价结算清单'!$F361&lt;&gt;0),'2.报价结算清单'!$F361,"")</f>
        <v/>
      </c>
      <c r="B258" s="78" t="str">
        <f>_xlfn.IFNA(VLOOKUP(A258,'3.框架内物料'!$A:$I,3,0),A258)</f>
        <v/>
      </c>
      <c r="C258" s="78" t="str">
        <f>IF(AND('2.报价结算清单'!$P361&gt;0,'2.报价结算清单'!$B361&lt;&gt;0,'2.报价结算清单'!C361&lt;&gt;0),'2.报价结算清单'!C361,"")</f>
        <v/>
      </c>
      <c r="D258" s="78" t="str">
        <f>IF(AND('2.报价结算清单'!$P361&gt;0,'2.报价结算清单'!$B361&lt;&gt;0,'2.报价结算清单'!D361&lt;&gt;0),'2.报价结算清单'!D361,"")</f>
        <v/>
      </c>
      <c r="E258" s="78" t="str">
        <f>IF(AND('2.报价结算清单'!$P361&gt;0,'2.报价结算清单'!$B361&lt;&gt;0,'2.报价结算清单'!E361&lt;&gt;0),'2.报价结算清单'!E361,"")</f>
        <v/>
      </c>
      <c r="F258" s="105" t="str">
        <f>_xlfn.IFNA(IF($A258="","",IF(VLOOKUP($A258,'3.框架内物料'!$A:$I,2,0)="","",VLOOKUP($A258,'3.框架内物料'!$A:$I,2,0))),"")</f>
        <v/>
      </c>
      <c r="G258" s="87" t="str">
        <f>IF(AND('2.报价结算清单'!$P361&gt;0,'2.报价结算清单'!$B361&lt;&gt;0,'2.报价结算清单'!H361&lt;&gt;0),'2.报价结算清单'!H361,"")</f>
        <v/>
      </c>
      <c r="H258" s="122" t="str">
        <f>IF(AND('2.报价结算清单'!$P361&gt;0,'2.报价结算清单'!$B361&lt;&gt;0,'2.报价结算清单'!$F361&lt;&gt;0),'2.报价结算清单'!J361,"")</f>
        <v/>
      </c>
      <c r="I258" s="105" t="str">
        <f>IF(AND('2.报价结算清单'!$P361&gt;0,'2.报价结算清单'!$B361&lt;&gt;0,'2.报价结算清单'!$F361&lt;&gt;0),'2.报价结算清单'!L361,"")</f>
        <v/>
      </c>
      <c r="J258" s="105" t="str">
        <f>IF(AND('2.报价结算清单'!$P361&gt;0,'2.报价结算清单'!$B361&lt;&gt;0,'2.报价结算清单'!I361&lt;&gt;0),'2.报价结算清单'!I361,"")</f>
        <v/>
      </c>
      <c r="K258" s="105" t="str">
        <f>IF(AND('2.报价结算清单'!$P361&gt;0,'2.报价结算清单'!$B361&lt;&gt;0,'2.报价结算清单'!$F361&lt;&gt;0),'2.报价结算清单'!N361,"")</f>
        <v/>
      </c>
      <c r="L258" s="105" t="str">
        <f>IF(AND('2.报价结算清单'!$P361&gt;0,'2.报价结算清单'!$B361&lt;&gt;0,'2.报价结算清单'!I361&lt;&gt;0),"天","")</f>
        <v/>
      </c>
      <c r="M258" s="80" t="str">
        <f t="shared" si="10"/>
        <v/>
      </c>
      <c r="N258" s="78" t="str">
        <f t="shared" si="11"/>
        <v/>
      </c>
      <c r="O258" s="78" t="str">
        <f>IF(AND('2.报价结算清单'!$P361&gt;0,'2.报价结算清单'!$B361&lt;&gt;0,'2.报价结算清单'!S361&lt;&gt;0),'2.报价结算清单'!S361,"")</f>
        <v/>
      </c>
      <c r="P258" s="78" t="str">
        <f>IF(AND('2.报价结算清单'!$P361&gt;0,'2.报价结算清单'!$B361&lt;&gt;0,'2.报价结算清单'!T361&lt;&gt;0),'2.报价结算清单'!T361,"")</f>
        <v/>
      </c>
      <c r="Q258" s="78" t="str">
        <f>IF(F258="",J258,VLOOKUP(F258,框架条目清单!A:K,4,FALSE))</f>
        <v/>
      </c>
      <c r="R258" s="106" t="str">
        <f>IF($A258="","",'2.报价结算清单'!$K$183)</f>
        <v/>
      </c>
      <c r="S258" s="80" t="str">
        <f>IF($A258="","",'2.报价结算清单'!$E$183)</f>
        <v/>
      </c>
      <c r="T258" s="78" t="str">
        <f>IF(F258="","",VLOOKUP(F258,框架条目清单!A:K,7,FALSE))</f>
        <v/>
      </c>
      <c r="U258" s="78" t="str">
        <f>IF(F258="","",VLOOKUP(F258,框架条目清单!A:K,8,FALSE))</f>
        <v/>
      </c>
      <c r="V258" s="78" t="str">
        <f>IF(F258="","",VLOOKUP(F258,框架条目清单!A:K,9,FALSE))</f>
        <v/>
      </c>
    </row>
    <row r="259" spans="1:22">
      <c r="A259" s="78" t="str">
        <f>IF(AND('2.报价结算清单'!$P362&gt;0,'2.报价结算清单'!$B362&lt;&gt;0,'2.报价结算清单'!$F362&lt;&gt;0),'2.报价结算清单'!$F362,"")</f>
        <v/>
      </c>
      <c r="B259" s="78" t="str">
        <f>_xlfn.IFNA(VLOOKUP(A259,'3.框架内物料'!$A:$I,3,0),A259)</f>
        <v/>
      </c>
      <c r="C259" s="78" t="str">
        <f>IF(AND('2.报价结算清单'!$P362&gt;0,'2.报价结算清单'!$B362&lt;&gt;0,'2.报价结算清单'!C362&lt;&gt;0),'2.报价结算清单'!C362,"")</f>
        <v/>
      </c>
      <c r="D259" s="78" t="str">
        <f>IF(AND('2.报价结算清单'!$P362&gt;0,'2.报价结算清单'!$B362&lt;&gt;0,'2.报价结算清单'!D362&lt;&gt;0),'2.报价结算清单'!D362,"")</f>
        <v/>
      </c>
      <c r="E259" s="78" t="str">
        <f>IF(AND('2.报价结算清单'!$P362&gt;0,'2.报价结算清单'!$B362&lt;&gt;0,'2.报价结算清单'!E362&lt;&gt;0),'2.报价结算清单'!E362,"")</f>
        <v/>
      </c>
      <c r="F259" s="105" t="str">
        <f>_xlfn.IFNA(IF($A259="","",IF(VLOOKUP($A259,'3.框架内物料'!$A:$I,2,0)="","",VLOOKUP($A259,'3.框架内物料'!$A:$I,2,0))),"")</f>
        <v/>
      </c>
      <c r="G259" s="87" t="str">
        <f>IF(AND('2.报价结算清单'!$P362&gt;0,'2.报价结算清单'!$B362&lt;&gt;0,'2.报价结算清单'!H362&lt;&gt;0),'2.报价结算清单'!H362,"")</f>
        <v/>
      </c>
      <c r="H259" s="122" t="str">
        <f>IF(AND('2.报价结算清单'!$P362&gt;0,'2.报价结算清单'!$B362&lt;&gt;0,'2.报价结算清单'!$F362&lt;&gt;0),'2.报价结算清单'!J362,"")</f>
        <v/>
      </c>
      <c r="I259" s="105" t="str">
        <f>IF(AND('2.报价结算清单'!$P362&gt;0,'2.报价结算清单'!$B362&lt;&gt;0,'2.报价结算清单'!$F362&lt;&gt;0),'2.报价结算清单'!L362,"")</f>
        <v/>
      </c>
      <c r="J259" s="105" t="str">
        <f>IF(AND('2.报价结算清单'!$P362&gt;0,'2.报价结算清单'!$B362&lt;&gt;0,'2.报价结算清单'!I362&lt;&gt;0),'2.报价结算清单'!I362,"")</f>
        <v/>
      </c>
      <c r="K259" s="105" t="str">
        <f>IF(AND('2.报价结算清单'!$P362&gt;0,'2.报价结算清单'!$B362&lt;&gt;0,'2.报价结算清单'!$F362&lt;&gt;0),'2.报价结算清单'!N362,"")</f>
        <v/>
      </c>
      <c r="L259" s="105" t="str">
        <f>IF(AND('2.报价结算清单'!$P362&gt;0,'2.报价结算清单'!$B362&lt;&gt;0,'2.报价结算清单'!I362&lt;&gt;0),"天","")</f>
        <v/>
      </c>
      <c r="M259" s="80" t="str">
        <f t="shared" si="10"/>
        <v/>
      </c>
      <c r="N259" s="78" t="str">
        <f t="shared" si="11"/>
        <v/>
      </c>
      <c r="O259" s="78" t="str">
        <f>IF(AND('2.报价结算清单'!$P362&gt;0,'2.报价结算清单'!$B362&lt;&gt;0,'2.报价结算清单'!S362&lt;&gt;0),'2.报价结算清单'!S362,"")</f>
        <v/>
      </c>
      <c r="P259" s="78" t="str">
        <f>IF(AND('2.报价结算清单'!$P362&gt;0,'2.报价结算清单'!$B362&lt;&gt;0,'2.报价结算清单'!T362&lt;&gt;0),'2.报价结算清单'!T362,"")</f>
        <v/>
      </c>
      <c r="Q259" s="78" t="str">
        <f>IF(F259="",J259,VLOOKUP(F259,框架条目清单!A:K,4,FALSE))</f>
        <v/>
      </c>
      <c r="R259" s="106" t="str">
        <f>IF($A259="","",'2.报价结算清单'!$K$183)</f>
        <v/>
      </c>
      <c r="S259" s="80" t="str">
        <f>IF($A259="","",'2.报价结算清单'!$E$183)</f>
        <v/>
      </c>
      <c r="T259" s="78" t="str">
        <f>IF(F259="","",VLOOKUP(F259,框架条目清单!A:K,7,FALSE))</f>
        <v/>
      </c>
      <c r="U259" s="78" t="str">
        <f>IF(F259="","",VLOOKUP(F259,框架条目清单!A:K,8,FALSE))</f>
        <v/>
      </c>
      <c r="V259" s="78" t="str">
        <f>IF(F259="","",VLOOKUP(F259,框架条目清单!A:K,9,FALSE))</f>
        <v/>
      </c>
    </row>
    <row r="260" spans="1:22">
      <c r="A260" s="78" t="str">
        <f>IF(AND('2.报价结算清单'!$P363&gt;0,'2.报价结算清单'!$B363&lt;&gt;0,'2.报价结算清单'!$F363&lt;&gt;0),'2.报价结算清单'!$F363,"")</f>
        <v/>
      </c>
      <c r="B260" s="78" t="str">
        <f>_xlfn.IFNA(VLOOKUP(A260,'3.框架内物料'!$A:$I,3,0),A260)</f>
        <v/>
      </c>
      <c r="C260" s="78" t="str">
        <f>IF(AND('2.报价结算清单'!$P363&gt;0,'2.报价结算清单'!$B363&lt;&gt;0,'2.报价结算清单'!C363&lt;&gt;0),'2.报价结算清单'!C363,"")</f>
        <v/>
      </c>
      <c r="D260" s="78" t="str">
        <f>IF(AND('2.报价结算清单'!$P363&gt;0,'2.报价结算清单'!$B363&lt;&gt;0,'2.报价结算清单'!D363&lt;&gt;0),'2.报价结算清单'!D363,"")</f>
        <v/>
      </c>
      <c r="E260" s="78" t="str">
        <f>IF(AND('2.报价结算清单'!$P363&gt;0,'2.报价结算清单'!$B363&lt;&gt;0,'2.报价结算清单'!E363&lt;&gt;0),'2.报价结算清单'!E363,"")</f>
        <v/>
      </c>
      <c r="F260" s="105" t="str">
        <f>_xlfn.IFNA(IF($A260="","",IF(VLOOKUP($A260,'3.框架内物料'!$A:$I,2,0)="","",VLOOKUP($A260,'3.框架内物料'!$A:$I,2,0))),"")</f>
        <v/>
      </c>
      <c r="G260" s="87" t="str">
        <f>IF(AND('2.报价结算清单'!$P363&gt;0,'2.报价结算清单'!$B363&lt;&gt;0,'2.报价结算清单'!H363&lt;&gt;0),'2.报价结算清单'!H363,"")</f>
        <v/>
      </c>
      <c r="H260" s="122" t="str">
        <f>IF(AND('2.报价结算清单'!$P363&gt;0,'2.报价结算清单'!$B363&lt;&gt;0,'2.报价结算清单'!$F363&lt;&gt;0),'2.报价结算清单'!J363,"")</f>
        <v/>
      </c>
      <c r="I260" s="105" t="str">
        <f>IF(AND('2.报价结算清单'!$P363&gt;0,'2.报价结算清单'!$B363&lt;&gt;0,'2.报价结算清单'!$F363&lt;&gt;0),'2.报价结算清单'!L363,"")</f>
        <v/>
      </c>
      <c r="J260" s="105" t="str">
        <f>IF(AND('2.报价结算清单'!$P363&gt;0,'2.报价结算清单'!$B363&lt;&gt;0,'2.报价结算清单'!I363&lt;&gt;0),'2.报价结算清单'!I363,"")</f>
        <v/>
      </c>
      <c r="K260" s="105" t="str">
        <f>IF(AND('2.报价结算清单'!$P363&gt;0,'2.报价结算清单'!$B363&lt;&gt;0,'2.报价结算清单'!$F363&lt;&gt;0),'2.报价结算清单'!N363,"")</f>
        <v/>
      </c>
      <c r="L260" s="105" t="str">
        <f>IF(AND('2.报价结算清单'!$P363&gt;0,'2.报价结算清单'!$B363&lt;&gt;0,'2.报价结算清单'!I363&lt;&gt;0),"天","")</f>
        <v/>
      </c>
      <c r="M260" s="80" t="str">
        <f t="shared" si="10"/>
        <v/>
      </c>
      <c r="N260" s="78" t="str">
        <f t="shared" si="11"/>
        <v/>
      </c>
      <c r="O260" s="78" t="str">
        <f>IF(AND('2.报价结算清单'!$P363&gt;0,'2.报价结算清单'!$B363&lt;&gt;0,'2.报价结算清单'!S363&lt;&gt;0),'2.报价结算清单'!S363,"")</f>
        <v/>
      </c>
      <c r="P260" s="78" t="str">
        <f>IF(AND('2.报价结算清单'!$P363&gt;0,'2.报价结算清单'!$B363&lt;&gt;0,'2.报价结算清单'!T363&lt;&gt;0),'2.报价结算清单'!T363,"")</f>
        <v/>
      </c>
      <c r="Q260" s="78" t="str">
        <f>IF(F260="",J260,VLOOKUP(F260,框架条目清单!A:K,4,FALSE))</f>
        <v/>
      </c>
      <c r="R260" s="106" t="str">
        <f>IF($A260="","",'2.报价结算清单'!$K$183)</f>
        <v/>
      </c>
      <c r="S260" s="80" t="str">
        <f>IF($A260="","",'2.报价结算清单'!$E$183)</f>
        <v/>
      </c>
      <c r="T260" s="78" t="str">
        <f>IF(F260="","",VLOOKUP(F260,框架条目清单!A:K,7,FALSE))</f>
        <v/>
      </c>
      <c r="U260" s="78" t="str">
        <f>IF(F260="","",VLOOKUP(F260,框架条目清单!A:K,8,FALSE))</f>
        <v/>
      </c>
      <c r="V260" s="78" t="str">
        <f>IF(F260="","",VLOOKUP(F260,框架条目清单!A:K,9,FALSE))</f>
        <v/>
      </c>
    </row>
    <row r="261" spans="1:22">
      <c r="A261" s="78" t="str">
        <f>IF(AND('2.报价结算清单'!$P364&gt;0,'2.报价结算清单'!$B364&lt;&gt;0,'2.报价结算清单'!$F364&lt;&gt;0),'2.报价结算清单'!$F364,"")</f>
        <v/>
      </c>
      <c r="B261" s="78" t="str">
        <f>_xlfn.IFNA(VLOOKUP(A261,'3.框架内物料'!$A:$I,3,0),A261)</f>
        <v/>
      </c>
      <c r="C261" s="78" t="str">
        <f>IF(AND('2.报价结算清单'!$P364&gt;0,'2.报价结算清单'!$B364&lt;&gt;0,'2.报价结算清单'!C364&lt;&gt;0),'2.报价结算清单'!C364,"")</f>
        <v/>
      </c>
      <c r="D261" s="78" t="str">
        <f>IF(AND('2.报价结算清单'!$P364&gt;0,'2.报价结算清单'!$B364&lt;&gt;0,'2.报价结算清单'!D364&lt;&gt;0),'2.报价结算清单'!D364,"")</f>
        <v/>
      </c>
      <c r="E261" s="78" t="str">
        <f>IF(AND('2.报价结算清单'!$P364&gt;0,'2.报价结算清单'!$B364&lt;&gt;0,'2.报价结算清单'!E364&lt;&gt;0),'2.报价结算清单'!E364,"")</f>
        <v/>
      </c>
      <c r="F261" s="105" t="str">
        <f>_xlfn.IFNA(IF($A261="","",IF(VLOOKUP($A261,'3.框架内物料'!$A:$I,2,0)="","",VLOOKUP($A261,'3.框架内物料'!$A:$I,2,0))),"")</f>
        <v/>
      </c>
      <c r="G261" s="87" t="str">
        <f>IF(AND('2.报价结算清单'!$P364&gt;0,'2.报价结算清单'!$B364&lt;&gt;0,'2.报价结算清单'!H364&lt;&gt;0),'2.报价结算清单'!H364,"")</f>
        <v/>
      </c>
      <c r="H261" s="122" t="str">
        <f>IF(AND('2.报价结算清单'!$P364&gt;0,'2.报价结算清单'!$B364&lt;&gt;0,'2.报价结算清单'!$F364&lt;&gt;0),'2.报价结算清单'!J364,"")</f>
        <v/>
      </c>
      <c r="I261" s="105" t="str">
        <f>IF(AND('2.报价结算清单'!$P364&gt;0,'2.报价结算清单'!$B364&lt;&gt;0,'2.报价结算清单'!$F364&lt;&gt;0),'2.报价结算清单'!L364,"")</f>
        <v/>
      </c>
      <c r="J261" s="105" t="str">
        <f>IF(AND('2.报价结算清单'!$P364&gt;0,'2.报价结算清单'!$B364&lt;&gt;0,'2.报价结算清单'!I364&lt;&gt;0),'2.报价结算清单'!I364,"")</f>
        <v/>
      </c>
      <c r="K261" s="105" t="str">
        <f>IF(AND('2.报价结算清单'!$P364&gt;0,'2.报价结算清单'!$B364&lt;&gt;0,'2.报价结算清单'!$F364&lt;&gt;0),'2.报价结算清单'!N364,"")</f>
        <v/>
      </c>
      <c r="L261" s="105" t="str">
        <f>IF(AND('2.报价结算清单'!$P364&gt;0,'2.报价结算清单'!$B364&lt;&gt;0,'2.报价结算清单'!I364&lt;&gt;0),"天","")</f>
        <v/>
      </c>
      <c r="M261" s="80" t="str">
        <f t="shared" si="10"/>
        <v/>
      </c>
      <c r="N261" s="78" t="str">
        <f t="shared" si="11"/>
        <v/>
      </c>
      <c r="O261" s="78" t="str">
        <f>IF(AND('2.报价结算清单'!$P364&gt;0,'2.报价结算清单'!$B364&lt;&gt;0,'2.报价结算清单'!S364&lt;&gt;0),'2.报价结算清单'!S364,"")</f>
        <v/>
      </c>
      <c r="P261" s="78" t="str">
        <f>IF(AND('2.报价结算清单'!$P364&gt;0,'2.报价结算清单'!$B364&lt;&gt;0,'2.报价结算清单'!T364&lt;&gt;0),'2.报价结算清单'!T364,"")</f>
        <v/>
      </c>
      <c r="Q261" s="78" t="str">
        <f>IF(F261="",J261,VLOOKUP(F261,框架条目清单!A:K,4,FALSE))</f>
        <v/>
      </c>
      <c r="R261" s="106" t="str">
        <f>IF($A261="","",'2.报价结算清单'!$K$183)</f>
        <v/>
      </c>
      <c r="S261" s="80" t="str">
        <f>IF($A261="","",'2.报价结算清单'!$E$183)</f>
        <v/>
      </c>
      <c r="T261" s="78" t="str">
        <f>IF(F261="","",VLOOKUP(F261,框架条目清单!A:K,7,FALSE))</f>
        <v/>
      </c>
      <c r="U261" s="78" t="str">
        <f>IF(F261="","",VLOOKUP(F261,框架条目清单!A:K,8,FALSE))</f>
        <v/>
      </c>
      <c r="V261" s="78" t="str">
        <f>IF(F261="","",VLOOKUP(F261,框架条目清单!A:K,9,FALSE))</f>
        <v/>
      </c>
    </row>
    <row r="262" spans="1:22">
      <c r="A262" s="78" t="str">
        <f>IF(AND('2.报价结算清单'!$P365&gt;0,'2.报价结算清单'!$B365&lt;&gt;0,'2.报价结算清单'!$F365&lt;&gt;0),'2.报价结算清单'!$F365,"")</f>
        <v/>
      </c>
      <c r="B262" s="78" t="str">
        <f>_xlfn.IFNA(VLOOKUP(A262,'3.框架内物料'!$A:$I,3,0),A262)</f>
        <v/>
      </c>
      <c r="C262" s="78" t="str">
        <f>IF(AND('2.报价结算清单'!$P365&gt;0,'2.报价结算清单'!$B365&lt;&gt;0,'2.报价结算清单'!C365&lt;&gt;0),'2.报价结算清单'!C365,"")</f>
        <v/>
      </c>
      <c r="D262" s="78" t="str">
        <f>IF(AND('2.报价结算清单'!$P365&gt;0,'2.报价结算清单'!$B365&lt;&gt;0,'2.报价结算清单'!D365&lt;&gt;0),'2.报价结算清单'!D365,"")</f>
        <v/>
      </c>
      <c r="E262" s="78" t="str">
        <f>IF(AND('2.报价结算清单'!$P365&gt;0,'2.报价结算清单'!$B365&lt;&gt;0,'2.报价结算清单'!E365&lt;&gt;0),'2.报价结算清单'!E365,"")</f>
        <v/>
      </c>
      <c r="F262" s="105" t="str">
        <f>_xlfn.IFNA(IF($A262="","",IF(VLOOKUP($A262,'3.框架内物料'!$A:$I,2,0)="","",VLOOKUP($A262,'3.框架内物料'!$A:$I,2,0))),"")</f>
        <v/>
      </c>
      <c r="G262" s="87" t="str">
        <f>IF(AND('2.报价结算清单'!$P365&gt;0,'2.报价结算清单'!$B365&lt;&gt;0,'2.报价结算清单'!H365&lt;&gt;0),'2.报价结算清单'!H365,"")</f>
        <v/>
      </c>
      <c r="H262" s="122" t="str">
        <f>IF(AND('2.报价结算清单'!$P365&gt;0,'2.报价结算清单'!$B365&lt;&gt;0,'2.报价结算清单'!$F365&lt;&gt;0),'2.报价结算清单'!J365,"")</f>
        <v/>
      </c>
      <c r="I262" s="105" t="str">
        <f>IF(AND('2.报价结算清单'!$P365&gt;0,'2.报价结算清单'!$B365&lt;&gt;0,'2.报价结算清单'!$F365&lt;&gt;0),'2.报价结算清单'!L365,"")</f>
        <v/>
      </c>
      <c r="J262" s="105" t="str">
        <f>IF(AND('2.报价结算清单'!$P365&gt;0,'2.报价结算清单'!$B365&lt;&gt;0,'2.报价结算清单'!I365&lt;&gt;0),'2.报价结算清单'!I365,"")</f>
        <v/>
      </c>
      <c r="K262" s="105" t="str">
        <f>IF(AND('2.报价结算清单'!$P365&gt;0,'2.报价结算清单'!$B365&lt;&gt;0,'2.报价结算清单'!$F365&lt;&gt;0),'2.报价结算清单'!N365,"")</f>
        <v/>
      </c>
      <c r="L262" s="105" t="str">
        <f>IF(AND('2.报价结算清单'!$P365&gt;0,'2.报价结算清单'!$B365&lt;&gt;0,'2.报价结算清单'!I365&lt;&gt;0),"天","")</f>
        <v/>
      </c>
      <c r="M262" s="80" t="str">
        <f t="shared" si="10"/>
        <v/>
      </c>
      <c r="N262" s="78" t="str">
        <f t="shared" si="11"/>
        <v/>
      </c>
      <c r="O262" s="78" t="str">
        <f>IF(AND('2.报价结算清单'!$P365&gt;0,'2.报价结算清单'!$B365&lt;&gt;0,'2.报价结算清单'!S365&lt;&gt;0),'2.报价结算清单'!S365,"")</f>
        <v/>
      </c>
      <c r="P262" s="78" t="str">
        <f>IF(AND('2.报价结算清单'!$P365&gt;0,'2.报价结算清单'!$B365&lt;&gt;0,'2.报价结算清单'!T365&lt;&gt;0),'2.报价结算清单'!T365,"")</f>
        <v/>
      </c>
      <c r="Q262" s="78" t="str">
        <f>IF(F262="",J262,VLOOKUP(F262,框架条目清单!A:K,4,FALSE))</f>
        <v/>
      </c>
      <c r="R262" s="106" t="str">
        <f>IF($A262="","",'2.报价结算清单'!$K$183)</f>
        <v/>
      </c>
      <c r="S262" s="80" t="str">
        <f>IF($A262="","",'2.报价结算清单'!$E$183)</f>
        <v/>
      </c>
      <c r="T262" s="78" t="str">
        <f>IF(F262="","",VLOOKUP(F262,框架条目清单!A:K,7,FALSE))</f>
        <v/>
      </c>
      <c r="U262" s="78" t="str">
        <f>IF(F262="","",VLOOKUP(F262,框架条目清单!A:K,8,FALSE))</f>
        <v/>
      </c>
      <c r="V262" s="78" t="str">
        <f>IF(F262="","",VLOOKUP(F262,框架条目清单!A:K,9,FALSE))</f>
        <v/>
      </c>
    </row>
    <row r="263" spans="1:22">
      <c r="A263" s="78" t="str">
        <f>IF(AND('2.报价结算清单'!$P366&gt;0,'2.报价结算清单'!$B366&lt;&gt;0,'2.报价结算清单'!$F366&lt;&gt;0),'2.报价结算清单'!$F366,"")</f>
        <v/>
      </c>
      <c r="B263" s="78" t="str">
        <f>_xlfn.IFNA(VLOOKUP(A263,'3.框架内物料'!$A:$I,3,0),A263)</f>
        <v/>
      </c>
      <c r="C263" s="78" t="str">
        <f>IF(AND('2.报价结算清单'!$P366&gt;0,'2.报价结算清单'!$B366&lt;&gt;0,'2.报价结算清单'!C366&lt;&gt;0),'2.报价结算清单'!C366,"")</f>
        <v/>
      </c>
      <c r="D263" s="78" t="str">
        <f>IF(AND('2.报价结算清单'!$P366&gt;0,'2.报价结算清单'!$B366&lt;&gt;0,'2.报价结算清单'!D366&lt;&gt;0),'2.报价结算清单'!D366,"")</f>
        <v/>
      </c>
      <c r="E263" s="78" t="str">
        <f>IF(AND('2.报价结算清单'!$P366&gt;0,'2.报价结算清单'!$B366&lt;&gt;0,'2.报价结算清单'!E366&lt;&gt;0),'2.报价结算清单'!E366,"")</f>
        <v/>
      </c>
      <c r="F263" s="105" t="str">
        <f>_xlfn.IFNA(IF($A263="","",IF(VLOOKUP($A263,'3.框架内物料'!$A:$I,2,0)="","",VLOOKUP($A263,'3.框架内物料'!$A:$I,2,0))),"")</f>
        <v/>
      </c>
      <c r="G263" s="87" t="str">
        <f>IF(AND('2.报价结算清单'!$P366&gt;0,'2.报价结算清单'!$B366&lt;&gt;0,'2.报价结算清单'!H366&lt;&gt;0),'2.报价结算清单'!H366,"")</f>
        <v/>
      </c>
      <c r="H263" s="122" t="str">
        <f>IF(AND('2.报价结算清单'!$P366&gt;0,'2.报价结算清单'!$B366&lt;&gt;0,'2.报价结算清单'!$F366&lt;&gt;0),'2.报价结算清单'!J366,"")</f>
        <v/>
      </c>
      <c r="I263" s="105" t="str">
        <f>IF(AND('2.报价结算清单'!$P366&gt;0,'2.报价结算清单'!$B366&lt;&gt;0,'2.报价结算清单'!$F366&lt;&gt;0),'2.报价结算清单'!L366,"")</f>
        <v/>
      </c>
      <c r="J263" s="105" t="str">
        <f>IF(AND('2.报价结算清单'!$P366&gt;0,'2.报价结算清单'!$B366&lt;&gt;0,'2.报价结算清单'!I366&lt;&gt;0),'2.报价结算清单'!I366,"")</f>
        <v/>
      </c>
      <c r="K263" s="105" t="str">
        <f>IF(AND('2.报价结算清单'!$P366&gt;0,'2.报价结算清单'!$B366&lt;&gt;0,'2.报价结算清单'!$F366&lt;&gt;0),'2.报价结算清单'!N366,"")</f>
        <v/>
      </c>
      <c r="L263" s="105" t="str">
        <f>IF(AND('2.报价结算清单'!$P366&gt;0,'2.报价结算清单'!$B366&lt;&gt;0,'2.报价结算清单'!I366&lt;&gt;0),"天","")</f>
        <v/>
      </c>
      <c r="M263" s="80" t="str">
        <f t="shared" si="10"/>
        <v/>
      </c>
      <c r="N263" s="78" t="str">
        <f t="shared" si="11"/>
        <v/>
      </c>
      <c r="O263" s="78" t="str">
        <f>IF(AND('2.报价结算清单'!$P366&gt;0,'2.报价结算清单'!$B366&lt;&gt;0,'2.报价结算清单'!S366&lt;&gt;0),'2.报价结算清单'!S366,"")</f>
        <v/>
      </c>
      <c r="P263" s="78" t="str">
        <f>IF(AND('2.报价结算清单'!$P366&gt;0,'2.报价结算清单'!$B366&lt;&gt;0,'2.报价结算清单'!T366&lt;&gt;0),'2.报价结算清单'!T366,"")</f>
        <v/>
      </c>
      <c r="Q263" s="78" t="str">
        <f>IF(F263="",J263,VLOOKUP(F263,框架条目清单!A:K,4,FALSE))</f>
        <v/>
      </c>
      <c r="R263" s="106" t="str">
        <f>IF($A263="","",'2.报价结算清单'!$K$183)</f>
        <v/>
      </c>
      <c r="S263" s="80" t="str">
        <f>IF($A263="","",'2.报价结算清单'!$E$183)</f>
        <v/>
      </c>
      <c r="T263" s="78" t="str">
        <f>IF(F263="","",VLOOKUP(F263,框架条目清单!A:K,7,FALSE))</f>
        <v/>
      </c>
      <c r="U263" s="78" t="str">
        <f>IF(F263="","",VLOOKUP(F263,框架条目清单!A:K,8,FALSE))</f>
        <v/>
      </c>
      <c r="V263" s="78" t="str">
        <f>IF(F263="","",VLOOKUP(F263,框架条目清单!A:K,9,FALSE))</f>
        <v/>
      </c>
    </row>
    <row r="264" spans="1:22">
      <c r="A264" s="78" t="str">
        <f>IF(AND('2.报价结算清单'!$P367&gt;0,'2.报价结算清单'!$B367&lt;&gt;0,'2.报价结算清单'!$F367&lt;&gt;0),'2.报价结算清单'!$F367,"")</f>
        <v/>
      </c>
      <c r="B264" s="78" t="str">
        <f>_xlfn.IFNA(VLOOKUP(A264,'3.框架内物料'!$A:$I,3,0),A264)</f>
        <v/>
      </c>
      <c r="C264" s="78" t="str">
        <f>IF(AND('2.报价结算清单'!$P367&gt;0,'2.报价结算清单'!$B367&lt;&gt;0,'2.报价结算清单'!C367&lt;&gt;0),'2.报价结算清单'!C367,"")</f>
        <v/>
      </c>
      <c r="D264" s="78" t="str">
        <f>IF(AND('2.报价结算清单'!$P367&gt;0,'2.报价结算清单'!$B367&lt;&gt;0,'2.报价结算清单'!D367&lt;&gt;0),'2.报价结算清单'!D367,"")</f>
        <v/>
      </c>
      <c r="E264" s="78" t="str">
        <f>IF(AND('2.报价结算清单'!$P367&gt;0,'2.报价结算清单'!$B367&lt;&gt;0,'2.报价结算清单'!E367&lt;&gt;0),'2.报价结算清单'!E367,"")</f>
        <v/>
      </c>
      <c r="F264" s="105" t="str">
        <f>_xlfn.IFNA(IF($A264="","",IF(VLOOKUP($A264,'3.框架内物料'!$A:$I,2,0)="","",VLOOKUP($A264,'3.框架内物料'!$A:$I,2,0))),"")</f>
        <v/>
      </c>
      <c r="G264" s="87" t="str">
        <f>IF(AND('2.报价结算清单'!$P367&gt;0,'2.报价结算清单'!$B367&lt;&gt;0,'2.报价结算清单'!H367&lt;&gt;0),'2.报价结算清单'!H367,"")</f>
        <v/>
      </c>
      <c r="H264" s="122" t="str">
        <f>IF(AND('2.报价结算清单'!$P367&gt;0,'2.报价结算清单'!$B367&lt;&gt;0,'2.报价结算清单'!$F367&lt;&gt;0),'2.报价结算清单'!J367,"")</f>
        <v/>
      </c>
      <c r="I264" s="105" t="str">
        <f>IF(AND('2.报价结算清单'!$P367&gt;0,'2.报价结算清单'!$B367&lt;&gt;0,'2.报价结算清单'!$F367&lt;&gt;0),'2.报价结算清单'!L367,"")</f>
        <v/>
      </c>
      <c r="J264" s="105" t="str">
        <f>IF(AND('2.报价结算清单'!$P367&gt;0,'2.报价结算清单'!$B367&lt;&gt;0,'2.报价结算清单'!I367&lt;&gt;0),'2.报价结算清单'!I367,"")</f>
        <v/>
      </c>
      <c r="K264" s="105" t="str">
        <f>IF(AND('2.报价结算清单'!$P367&gt;0,'2.报价结算清单'!$B367&lt;&gt;0,'2.报价结算清单'!$F367&lt;&gt;0),'2.报价结算清单'!N367,"")</f>
        <v/>
      </c>
      <c r="L264" s="105" t="str">
        <f>IF(AND('2.报价结算清单'!$P367&gt;0,'2.报价结算清单'!$B367&lt;&gt;0,'2.报价结算清单'!I367&lt;&gt;0),"天","")</f>
        <v/>
      </c>
      <c r="M264" s="80" t="str">
        <f t="shared" ref="M264:M327" si="12">IF(A264="框架外物料","框架外",IF(A264="据实结算","据实结算",IF(A264="","","框架内")))</f>
        <v/>
      </c>
      <c r="N264" s="78" t="str">
        <f t="shared" ref="N264:N327" si="13">IFERROR(IF(H264*I264*K264=0,"",H264*I264*K264),"")</f>
        <v/>
      </c>
      <c r="O264" s="78" t="str">
        <f>IF(AND('2.报价结算清单'!$P367&gt;0,'2.报价结算清单'!$B367&lt;&gt;0,'2.报价结算清单'!S367&lt;&gt;0),'2.报价结算清单'!S367,"")</f>
        <v/>
      </c>
      <c r="P264" s="78" t="str">
        <f>IF(AND('2.报价结算清单'!$P367&gt;0,'2.报价结算清单'!$B367&lt;&gt;0,'2.报价结算清单'!T367&lt;&gt;0),'2.报价结算清单'!T367,"")</f>
        <v/>
      </c>
      <c r="Q264" s="78" t="str">
        <f>IF(F264="",J264,VLOOKUP(F264,框架条目清单!A:K,4,FALSE))</f>
        <v/>
      </c>
      <c r="R264" s="106" t="str">
        <f>IF($A264="","",'2.报价结算清单'!$K$183)</f>
        <v/>
      </c>
      <c r="S264" s="80" t="str">
        <f>IF($A264="","",'2.报价结算清单'!$E$183)</f>
        <v/>
      </c>
      <c r="T264" s="78" t="str">
        <f>IF(F264="","",VLOOKUP(F264,框架条目清单!A:K,7,FALSE))</f>
        <v/>
      </c>
      <c r="U264" s="78" t="str">
        <f>IF(F264="","",VLOOKUP(F264,框架条目清单!A:K,8,FALSE))</f>
        <v/>
      </c>
      <c r="V264" s="78" t="str">
        <f>IF(F264="","",VLOOKUP(F264,框架条目清单!A:K,9,FALSE))</f>
        <v/>
      </c>
    </row>
    <row r="265" spans="1:22">
      <c r="A265" s="78" t="str">
        <f>IF(AND('2.报价结算清单'!$P368&gt;0,'2.报价结算清单'!$B368&lt;&gt;0,'2.报价结算清单'!$F368&lt;&gt;0),'2.报价结算清单'!$F368,"")</f>
        <v/>
      </c>
      <c r="B265" s="78" t="str">
        <f>_xlfn.IFNA(VLOOKUP(A265,'3.框架内物料'!$A:$I,3,0),A265)</f>
        <v/>
      </c>
      <c r="C265" s="78" t="str">
        <f>IF(AND('2.报价结算清单'!$P368&gt;0,'2.报价结算清单'!$B368&lt;&gt;0,'2.报价结算清单'!C368&lt;&gt;0),'2.报价结算清单'!C368,"")</f>
        <v/>
      </c>
      <c r="D265" s="78" t="str">
        <f>IF(AND('2.报价结算清单'!$P368&gt;0,'2.报价结算清单'!$B368&lt;&gt;0,'2.报价结算清单'!D368&lt;&gt;0),'2.报价结算清单'!D368,"")</f>
        <v/>
      </c>
      <c r="E265" s="78" t="str">
        <f>IF(AND('2.报价结算清单'!$P368&gt;0,'2.报价结算清单'!$B368&lt;&gt;0,'2.报价结算清单'!E368&lt;&gt;0),'2.报价结算清单'!E368,"")</f>
        <v/>
      </c>
      <c r="F265" s="105" t="str">
        <f>_xlfn.IFNA(IF($A265="","",IF(VLOOKUP($A265,'3.框架内物料'!$A:$I,2,0)="","",VLOOKUP($A265,'3.框架内物料'!$A:$I,2,0))),"")</f>
        <v/>
      </c>
      <c r="G265" s="87" t="str">
        <f>IF(AND('2.报价结算清单'!$P368&gt;0,'2.报价结算清单'!$B368&lt;&gt;0,'2.报价结算清单'!H368&lt;&gt;0),'2.报价结算清单'!H368,"")</f>
        <v/>
      </c>
      <c r="H265" s="122" t="str">
        <f>IF(AND('2.报价结算清单'!$P368&gt;0,'2.报价结算清单'!$B368&lt;&gt;0,'2.报价结算清单'!$F368&lt;&gt;0),'2.报价结算清单'!J368,"")</f>
        <v/>
      </c>
      <c r="I265" s="105" t="str">
        <f>IF(AND('2.报价结算清单'!$P368&gt;0,'2.报价结算清单'!$B368&lt;&gt;0,'2.报价结算清单'!$F368&lt;&gt;0),'2.报价结算清单'!L368,"")</f>
        <v/>
      </c>
      <c r="J265" s="105" t="str">
        <f>IF(AND('2.报价结算清单'!$P368&gt;0,'2.报价结算清单'!$B368&lt;&gt;0,'2.报价结算清单'!I368&lt;&gt;0),'2.报价结算清单'!I368,"")</f>
        <v/>
      </c>
      <c r="K265" s="105" t="str">
        <f>IF(AND('2.报价结算清单'!$P368&gt;0,'2.报价结算清单'!$B368&lt;&gt;0,'2.报价结算清单'!$F368&lt;&gt;0),'2.报价结算清单'!N368,"")</f>
        <v/>
      </c>
      <c r="L265" s="105" t="str">
        <f>IF(AND('2.报价结算清单'!$P368&gt;0,'2.报价结算清单'!$B368&lt;&gt;0,'2.报价结算清单'!I368&lt;&gt;0),"天","")</f>
        <v/>
      </c>
      <c r="M265" s="80" t="str">
        <f t="shared" si="12"/>
        <v/>
      </c>
      <c r="N265" s="78" t="str">
        <f t="shared" si="13"/>
        <v/>
      </c>
      <c r="O265" s="78" t="str">
        <f>IF(AND('2.报价结算清单'!$P368&gt;0,'2.报价结算清单'!$B368&lt;&gt;0,'2.报价结算清单'!S368&lt;&gt;0),'2.报价结算清单'!S368,"")</f>
        <v/>
      </c>
      <c r="P265" s="78" t="str">
        <f>IF(AND('2.报价结算清单'!$P368&gt;0,'2.报价结算清单'!$B368&lt;&gt;0,'2.报价结算清单'!T368&lt;&gt;0),'2.报价结算清单'!T368,"")</f>
        <v/>
      </c>
      <c r="Q265" s="78" t="str">
        <f>IF(F265="",J265,VLOOKUP(F265,框架条目清单!A:K,4,FALSE))</f>
        <v/>
      </c>
      <c r="R265" s="106" t="str">
        <f>IF($A265="","",'2.报价结算清单'!$K$183)</f>
        <v/>
      </c>
      <c r="S265" s="80" t="str">
        <f>IF($A265="","",'2.报价结算清单'!$E$183)</f>
        <v/>
      </c>
      <c r="T265" s="78" t="str">
        <f>IF(F265="","",VLOOKUP(F265,框架条目清单!A:K,7,FALSE))</f>
        <v/>
      </c>
      <c r="U265" s="78" t="str">
        <f>IF(F265="","",VLOOKUP(F265,框架条目清单!A:K,8,FALSE))</f>
        <v/>
      </c>
      <c r="V265" s="78" t="str">
        <f>IF(F265="","",VLOOKUP(F265,框架条目清单!A:K,9,FALSE))</f>
        <v/>
      </c>
    </row>
    <row r="266" spans="1:22">
      <c r="A266" s="78" t="str">
        <f>IF(AND('2.报价结算清单'!$P369&gt;0,'2.报价结算清单'!$B369&lt;&gt;0,'2.报价结算清单'!$F369&lt;&gt;0),'2.报价结算清单'!$F369,"")</f>
        <v/>
      </c>
      <c r="B266" s="78" t="str">
        <f>_xlfn.IFNA(VLOOKUP(A266,'3.框架内物料'!$A:$I,3,0),A266)</f>
        <v/>
      </c>
      <c r="C266" s="78" t="str">
        <f>IF(AND('2.报价结算清单'!$P369&gt;0,'2.报价结算清单'!$B369&lt;&gt;0,'2.报价结算清单'!C369&lt;&gt;0),'2.报价结算清单'!C369,"")</f>
        <v/>
      </c>
      <c r="D266" s="78" t="str">
        <f>IF(AND('2.报价结算清单'!$P369&gt;0,'2.报价结算清单'!$B369&lt;&gt;0,'2.报价结算清单'!D369&lt;&gt;0),'2.报价结算清单'!D369,"")</f>
        <v/>
      </c>
      <c r="E266" s="78" t="str">
        <f>IF(AND('2.报价结算清单'!$P369&gt;0,'2.报价结算清单'!$B369&lt;&gt;0,'2.报价结算清单'!E369&lt;&gt;0),'2.报价结算清单'!E369,"")</f>
        <v/>
      </c>
      <c r="F266" s="105" t="str">
        <f>_xlfn.IFNA(IF($A266="","",IF(VLOOKUP($A266,'3.框架内物料'!$A:$I,2,0)="","",VLOOKUP($A266,'3.框架内物料'!$A:$I,2,0))),"")</f>
        <v/>
      </c>
      <c r="G266" s="87" t="str">
        <f>IF(AND('2.报价结算清单'!$P369&gt;0,'2.报价结算清单'!$B369&lt;&gt;0,'2.报价结算清单'!H369&lt;&gt;0),'2.报价结算清单'!H369,"")</f>
        <v/>
      </c>
      <c r="H266" s="122" t="str">
        <f>IF(AND('2.报价结算清单'!$P369&gt;0,'2.报价结算清单'!$B369&lt;&gt;0,'2.报价结算清单'!$F369&lt;&gt;0),'2.报价结算清单'!J369,"")</f>
        <v/>
      </c>
      <c r="I266" s="105" t="str">
        <f>IF(AND('2.报价结算清单'!$P369&gt;0,'2.报价结算清单'!$B369&lt;&gt;0,'2.报价结算清单'!$F369&lt;&gt;0),'2.报价结算清单'!L369,"")</f>
        <v/>
      </c>
      <c r="J266" s="105" t="str">
        <f>IF(AND('2.报价结算清单'!$P369&gt;0,'2.报价结算清单'!$B369&lt;&gt;0,'2.报价结算清单'!I369&lt;&gt;0),'2.报价结算清单'!I369,"")</f>
        <v/>
      </c>
      <c r="K266" s="105" t="str">
        <f>IF(AND('2.报价结算清单'!$P369&gt;0,'2.报价结算清单'!$B369&lt;&gt;0,'2.报价结算清单'!$F369&lt;&gt;0),'2.报价结算清单'!N369,"")</f>
        <v/>
      </c>
      <c r="L266" s="105" t="str">
        <f>IF(AND('2.报价结算清单'!$P369&gt;0,'2.报价结算清单'!$B369&lt;&gt;0,'2.报价结算清单'!I369&lt;&gt;0),"天","")</f>
        <v/>
      </c>
      <c r="M266" s="80" t="str">
        <f t="shared" si="12"/>
        <v/>
      </c>
      <c r="N266" s="78" t="str">
        <f t="shared" si="13"/>
        <v/>
      </c>
      <c r="O266" s="78" t="str">
        <f>IF(AND('2.报价结算清单'!$P369&gt;0,'2.报价结算清单'!$B369&lt;&gt;0,'2.报价结算清单'!S369&lt;&gt;0),'2.报价结算清单'!S369,"")</f>
        <v/>
      </c>
      <c r="P266" s="78" t="str">
        <f>IF(AND('2.报价结算清单'!$P369&gt;0,'2.报价结算清单'!$B369&lt;&gt;0,'2.报价结算清单'!T369&lt;&gt;0),'2.报价结算清单'!T369,"")</f>
        <v/>
      </c>
      <c r="Q266" s="78" t="str">
        <f>IF(F266="",J266,VLOOKUP(F266,框架条目清单!A:K,4,FALSE))</f>
        <v/>
      </c>
      <c r="R266" s="106" t="str">
        <f>IF($A266="","",'2.报价结算清单'!$K$183)</f>
        <v/>
      </c>
      <c r="S266" s="80" t="str">
        <f>IF($A266="","",'2.报价结算清单'!$E$183)</f>
        <v/>
      </c>
      <c r="T266" s="78" t="str">
        <f>IF(F266="","",VLOOKUP(F266,框架条目清单!A:K,7,FALSE))</f>
        <v/>
      </c>
      <c r="U266" s="78" t="str">
        <f>IF(F266="","",VLOOKUP(F266,框架条目清单!A:K,8,FALSE))</f>
        <v/>
      </c>
      <c r="V266" s="78" t="str">
        <f>IF(F266="","",VLOOKUP(F266,框架条目清单!A:K,9,FALSE))</f>
        <v/>
      </c>
    </row>
    <row r="267" spans="1:22">
      <c r="A267" s="78" t="str">
        <f>IF(AND('2.报价结算清单'!$P370&gt;0,'2.报价结算清单'!$B370&lt;&gt;0,'2.报价结算清单'!$F370&lt;&gt;0),'2.报价结算清单'!$F370,"")</f>
        <v/>
      </c>
      <c r="B267" s="78" t="str">
        <f>_xlfn.IFNA(VLOOKUP(A267,'3.框架内物料'!$A:$I,3,0),A267)</f>
        <v/>
      </c>
      <c r="C267" s="78" t="str">
        <f>IF(AND('2.报价结算清单'!$P370&gt;0,'2.报价结算清单'!$B370&lt;&gt;0,'2.报价结算清单'!C370&lt;&gt;0),'2.报价结算清单'!C370,"")</f>
        <v/>
      </c>
      <c r="D267" s="78" t="str">
        <f>IF(AND('2.报价结算清单'!$P370&gt;0,'2.报价结算清单'!$B370&lt;&gt;0,'2.报价结算清单'!D370&lt;&gt;0),'2.报价结算清单'!D370,"")</f>
        <v/>
      </c>
      <c r="E267" s="78" t="str">
        <f>IF(AND('2.报价结算清单'!$P370&gt;0,'2.报价结算清单'!$B370&lt;&gt;0,'2.报价结算清单'!E370&lt;&gt;0),'2.报价结算清单'!E370,"")</f>
        <v/>
      </c>
      <c r="F267" s="105" t="str">
        <f>_xlfn.IFNA(IF($A267="","",IF(VLOOKUP($A267,'3.框架内物料'!$A:$I,2,0)="","",VLOOKUP($A267,'3.框架内物料'!$A:$I,2,0))),"")</f>
        <v/>
      </c>
      <c r="G267" s="87" t="str">
        <f>IF(AND('2.报价结算清单'!$P370&gt;0,'2.报价结算清单'!$B370&lt;&gt;0,'2.报价结算清单'!H370&lt;&gt;0),'2.报价结算清单'!H370,"")</f>
        <v/>
      </c>
      <c r="H267" s="122" t="str">
        <f>IF(AND('2.报价结算清单'!$P370&gt;0,'2.报价结算清单'!$B370&lt;&gt;0,'2.报价结算清单'!$F370&lt;&gt;0),'2.报价结算清单'!J370,"")</f>
        <v/>
      </c>
      <c r="I267" s="105" t="str">
        <f>IF(AND('2.报价结算清单'!$P370&gt;0,'2.报价结算清单'!$B370&lt;&gt;0,'2.报价结算清单'!$F370&lt;&gt;0),'2.报价结算清单'!L370,"")</f>
        <v/>
      </c>
      <c r="J267" s="105" t="str">
        <f>IF(AND('2.报价结算清单'!$P370&gt;0,'2.报价结算清单'!$B370&lt;&gt;0,'2.报价结算清单'!I370&lt;&gt;0),'2.报价结算清单'!I370,"")</f>
        <v/>
      </c>
      <c r="K267" s="105" t="str">
        <f>IF(AND('2.报价结算清单'!$P370&gt;0,'2.报价结算清单'!$B370&lt;&gt;0,'2.报价结算清单'!$F370&lt;&gt;0),'2.报价结算清单'!N370,"")</f>
        <v/>
      </c>
      <c r="L267" s="105" t="str">
        <f>IF(AND('2.报价结算清单'!$P370&gt;0,'2.报价结算清单'!$B370&lt;&gt;0,'2.报价结算清单'!I370&lt;&gt;0),"天","")</f>
        <v/>
      </c>
      <c r="M267" s="80" t="str">
        <f t="shared" si="12"/>
        <v/>
      </c>
      <c r="N267" s="78" t="str">
        <f t="shared" si="13"/>
        <v/>
      </c>
      <c r="O267" s="78" t="str">
        <f>IF(AND('2.报价结算清单'!$P370&gt;0,'2.报价结算清单'!$B370&lt;&gt;0,'2.报价结算清单'!S370&lt;&gt;0),'2.报价结算清单'!S370,"")</f>
        <v/>
      </c>
      <c r="P267" s="78" t="str">
        <f>IF(AND('2.报价结算清单'!$P370&gt;0,'2.报价结算清单'!$B370&lt;&gt;0,'2.报价结算清单'!T370&lt;&gt;0),'2.报价结算清单'!T370,"")</f>
        <v/>
      </c>
      <c r="Q267" s="78" t="str">
        <f>IF(F267="",J267,VLOOKUP(F267,框架条目清单!A:K,4,FALSE))</f>
        <v/>
      </c>
      <c r="R267" s="106" t="str">
        <f>IF($A267="","",'2.报价结算清单'!$K$183)</f>
        <v/>
      </c>
      <c r="S267" s="80" t="str">
        <f>IF($A267="","",'2.报价结算清单'!$E$183)</f>
        <v/>
      </c>
      <c r="T267" s="78" t="str">
        <f>IF(F267="","",VLOOKUP(F267,框架条目清单!A:K,7,FALSE))</f>
        <v/>
      </c>
      <c r="U267" s="78" t="str">
        <f>IF(F267="","",VLOOKUP(F267,框架条目清单!A:K,8,FALSE))</f>
        <v/>
      </c>
      <c r="V267" s="78" t="str">
        <f>IF(F267="","",VLOOKUP(F267,框架条目清单!A:K,9,FALSE))</f>
        <v/>
      </c>
    </row>
    <row r="268" spans="1:22">
      <c r="A268" s="78" t="str">
        <f>IF(AND('2.报价结算清单'!$P371&gt;0,'2.报价结算清单'!$B371&lt;&gt;0,'2.报价结算清单'!$F371&lt;&gt;0),'2.报价结算清单'!$F371,"")</f>
        <v/>
      </c>
      <c r="B268" s="78" t="str">
        <f>_xlfn.IFNA(VLOOKUP(A268,'3.框架内物料'!$A:$I,3,0),A268)</f>
        <v/>
      </c>
      <c r="C268" s="78" t="str">
        <f>IF(AND('2.报价结算清单'!$P371&gt;0,'2.报价结算清单'!$B371&lt;&gt;0,'2.报价结算清单'!C371&lt;&gt;0),'2.报价结算清单'!C371,"")</f>
        <v/>
      </c>
      <c r="D268" s="78" t="str">
        <f>IF(AND('2.报价结算清单'!$P371&gt;0,'2.报价结算清单'!$B371&lt;&gt;0,'2.报价结算清单'!D371&lt;&gt;0),'2.报价结算清单'!D371,"")</f>
        <v/>
      </c>
      <c r="E268" s="78" t="str">
        <f>IF(AND('2.报价结算清单'!$P371&gt;0,'2.报价结算清单'!$B371&lt;&gt;0,'2.报价结算清单'!E371&lt;&gt;0),'2.报价结算清单'!E371,"")</f>
        <v/>
      </c>
      <c r="F268" s="105" t="str">
        <f>_xlfn.IFNA(IF($A268="","",IF(VLOOKUP($A268,'3.框架内物料'!$A:$I,2,0)="","",VLOOKUP($A268,'3.框架内物料'!$A:$I,2,0))),"")</f>
        <v/>
      </c>
      <c r="G268" s="87" t="str">
        <f>IF(AND('2.报价结算清单'!$P371&gt;0,'2.报价结算清单'!$B371&lt;&gt;0,'2.报价结算清单'!H371&lt;&gt;0),'2.报价结算清单'!H371,"")</f>
        <v/>
      </c>
      <c r="H268" s="122" t="str">
        <f>IF(AND('2.报价结算清单'!$P371&gt;0,'2.报价结算清单'!$B371&lt;&gt;0,'2.报价结算清单'!$F371&lt;&gt;0),'2.报价结算清单'!J371,"")</f>
        <v/>
      </c>
      <c r="I268" s="105" t="str">
        <f>IF(AND('2.报价结算清单'!$P371&gt;0,'2.报价结算清单'!$B371&lt;&gt;0,'2.报价结算清单'!$F371&lt;&gt;0),'2.报价结算清单'!L371,"")</f>
        <v/>
      </c>
      <c r="J268" s="105" t="str">
        <f>IF(AND('2.报价结算清单'!$P371&gt;0,'2.报价结算清单'!$B371&lt;&gt;0,'2.报价结算清单'!I371&lt;&gt;0),'2.报价结算清单'!I371,"")</f>
        <v/>
      </c>
      <c r="K268" s="105" t="str">
        <f>IF(AND('2.报价结算清单'!$P371&gt;0,'2.报价结算清单'!$B371&lt;&gt;0,'2.报价结算清单'!$F371&lt;&gt;0),'2.报价结算清单'!N371,"")</f>
        <v/>
      </c>
      <c r="L268" s="105" t="str">
        <f>IF(AND('2.报价结算清单'!$P371&gt;0,'2.报价结算清单'!$B371&lt;&gt;0,'2.报价结算清单'!I371&lt;&gt;0),"天","")</f>
        <v/>
      </c>
      <c r="M268" s="80" t="str">
        <f t="shared" si="12"/>
        <v/>
      </c>
      <c r="N268" s="78" t="str">
        <f t="shared" si="13"/>
        <v/>
      </c>
      <c r="O268" s="78" t="str">
        <f>IF(AND('2.报价结算清单'!$P371&gt;0,'2.报价结算清单'!$B371&lt;&gt;0,'2.报价结算清单'!S371&lt;&gt;0),'2.报价结算清单'!S371,"")</f>
        <v/>
      </c>
      <c r="P268" s="78" t="str">
        <f>IF(AND('2.报价结算清单'!$P371&gt;0,'2.报价结算清单'!$B371&lt;&gt;0,'2.报价结算清单'!T371&lt;&gt;0),'2.报价结算清单'!T371,"")</f>
        <v/>
      </c>
      <c r="Q268" s="78" t="str">
        <f>IF(F268="",J268,VLOOKUP(F268,框架条目清单!A:K,4,FALSE))</f>
        <v/>
      </c>
      <c r="R268" s="106" t="str">
        <f>IF($A268="","",'2.报价结算清单'!$K$183)</f>
        <v/>
      </c>
      <c r="S268" s="80" t="str">
        <f>IF($A268="","",'2.报价结算清单'!$E$183)</f>
        <v/>
      </c>
      <c r="T268" s="78" t="str">
        <f>IF(F268="","",VLOOKUP(F268,框架条目清单!A:K,7,FALSE))</f>
        <v/>
      </c>
      <c r="U268" s="78" t="str">
        <f>IF(F268="","",VLOOKUP(F268,框架条目清单!A:K,8,FALSE))</f>
        <v/>
      </c>
      <c r="V268" s="78" t="str">
        <f>IF(F268="","",VLOOKUP(F268,框架条目清单!A:K,9,FALSE))</f>
        <v/>
      </c>
    </row>
    <row r="269" spans="1:22">
      <c r="A269" s="78" t="str">
        <f>IF(AND('2.报价结算清单'!$P372&gt;0,'2.报价结算清单'!$B372&lt;&gt;0,'2.报价结算清单'!$F372&lt;&gt;0),'2.报价结算清单'!$F372,"")</f>
        <v/>
      </c>
      <c r="B269" s="78" t="str">
        <f>_xlfn.IFNA(VLOOKUP(A269,'3.框架内物料'!$A:$I,3,0),A269)</f>
        <v/>
      </c>
      <c r="C269" s="78" t="str">
        <f>IF(AND('2.报价结算清单'!$P372&gt;0,'2.报价结算清单'!$B372&lt;&gt;0,'2.报价结算清单'!C372&lt;&gt;0),'2.报价结算清单'!C372,"")</f>
        <v/>
      </c>
      <c r="D269" s="78" t="str">
        <f>IF(AND('2.报价结算清单'!$P372&gt;0,'2.报价结算清单'!$B372&lt;&gt;0,'2.报价结算清单'!D372&lt;&gt;0),'2.报价结算清单'!D372,"")</f>
        <v/>
      </c>
      <c r="E269" s="78" t="str">
        <f>IF(AND('2.报价结算清单'!$P372&gt;0,'2.报价结算清单'!$B372&lt;&gt;0,'2.报价结算清单'!E372&lt;&gt;0),'2.报价结算清单'!E372,"")</f>
        <v/>
      </c>
      <c r="F269" s="105" t="str">
        <f>_xlfn.IFNA(IF($A269="","",IF(VLOOKUP($A269,'3.框架内物料'!$A:$I,2,0)="","",VLOOKUP($A269,'3.框架内物料'!$A:$I,2,0))),"")</f>
        <v/>
      </c>
      <c r="G269" s="87" t="str">
        <f>IF(AND('2.报价结算清单'!$P372&gt;0,'2.报价结算清单'!$B372&lt;&gt;0,'2.报价结算清单'!H372&lt;&gt;0),'2.报价结算清单'!H372,"")</f>
        <v/>
      </c>
      <c r="H269" s="122" t="str">
        <f>IF(AND('2.报价结算清单'!$P372&gt;0,'2.报价结算清单'!$B372&lt;&gt;0,'2.报价结算清单'!$F372&lt;&gt;0),'2.报价结算清单'!J372,"")</f>
        <v/>
      </c>
      <c r="I269" s="105" t="str">
        <f>IF(AND('2.报价结算清单'!$P372&gt;0,'2.报价结算清单'!$B372&lt;&gt;0,'2.报价结算清单'!$F372&lt;&gt;0),'2.报价结算清单'!L372,"")</f>
        <v/>
      </c>
      <c r="J269" s="105" t="str">
        <f>IF(AND('2.报价结算清单'!$P372&gt;0,'2.报价结算清单'!$B372&lt;&gt;0,'2.报价结算清单'!I372&lt;&gt;0),'2.报价结算清单'!I372,"")</f>
        <v/>
      </c>
      <c r="K269" s="105" t="str">
        <f>IF(AND('2.报价结算清单'!$P372&gt;0,'2.报价结算清单'!$B372&lt;&gt;0,'2.报价结算清单'!$F372&lt;&gt;0),'2.报价结算清单'!N372,"")</f>
        <v/>
      </c>
      <c r="L269" s="105" t="str">
        <f>IF(AND('2.报价结算清单'!$P372&gt;0,'2.报价结算清单'!$B372&lt;&gt;0,'2.报价结算清单'!I372&lt;&gt;0),"天","")</f>
        <v/>
      </c>
      <c r="M269" s="80" t="str">
        <f t="shared" si="12"/>
        <v/>
      </c>
      <c r="N269" s="78" t="str">
        <f t="shared" si="13"/>
        <v/>
      </c>
      <c r="O269" s="78" t="str">
        <f>IF(AND('2.报价结算清单'!$P372&gt;0,'2.报价结算清单'!$B372&lt;&gt;0,'2.报价结算清单'!S372&lt;&gt;0),'2.报价结算清单'!S372,"")</f>
        <v/>
      </c>
      <c r="P269" s="78" t="str">
        <f>IF(AND('2.报价结算清单'!$P372&gt;0,'2.报价结算清单'!$B372&lt;&gt;0,'2.报价结算清单'!T372&lt;&gt;0),'2.报价结算清单'!T372,"")</f>
        <v/>
      </c>
      <c r="Q269" s="78" t="str">
        <f>IF(F269="",J269,VLOOKUP(F269,框架条目清单!A:K,4,FALSE))</f>
        <v/>
      </c>
      <c r="R269" s="106" t="str">
        <f>IF($A269="","",'2.报价结算清单'!$K$183)</f>
        <v/>
      </c>
      <c r="S269" s="80" t="str">
        <f>IF($A269="","",'2.报价结算清单'!$E$183)</f>
        <v/>
      </c>
      <c r="T269" s="78" t="str">
        <f>IF(F269="","",VLOOKUP(F269,框架条目清单!A:K,7,FALSE))</f>
        <v/>
      </c>
      <c r="U269" s="78" t="str">
        <f>IF(F269="","",VLOOKUP(F269,框架条目清单!A:K,8,FALSE))</f>
        <v/>
      </c>
      <c r="V269" s="78" t="str">
        <f>IF(F269="","",VLOOKUP(F269,框架条目清单!A:K,9,FALSE))</f>
        <v/>
      </c>
    </row>
    <row r="270" spans="1:22">
      <c r="A270" s="78" t="str">
        <f>IF(AND('2.报价结算清单'!$P373&gt;0,'2.报价结算清单'!$B373&lt;&gt;0,'2.报价结算清单'!$F373&lt;&gt;0),'2.报价结算清单'!$F373,"")</f>
        <v/>
      </c>
      <c r="B270" s="78" t="str">
        <f>_xlfn.IFNA(VLOOKUP(A270,'3.框架内物料'!$A:$I,3,0),A270)</f>
        <v/>
      </c>
      <c r="C270" s="78" t="str">
        <f>IF(AND('2.报价结算清单'!$P373&gt;0,'2.报价结算清单'!$B373&lt;&gt;0,'2.报价结算清单'!C373&lt;&gt;0),'2.报价结算清单'!C373,"")</f>
        <v/>
      </c>
      <c r="D270" s="78" t="str">
        <f>IF(AND('2.报价结算清单'!$P373&gt;0,'2.报价结算清单'!$B373&lt;&gt;0,'2.报价结算清单'!D373&lt;&gt;0),'2.报价结算清单'!D373,"")</f>
        <v/>
      </c>
      <c r="E270" s="78" t="str">
        <f>IF(AND('2.报价结算清单'!$P373&gt;0,'2.报价结算清单'!$B373&lt;&gt;0,'2.报价结算清单'!E373&lt;&gt;0),'2.报价结算清单'!E373,"")</f>
        <v/>
      </c>
      <c r="F270" s="105" t="str">
        <f>_xlfn.IFNA(IF($A270="","",IF(VLOOKUP($A270,'3.框架内物料'!$A:$I,2,0)="","",VLOOKUP($A270,'3.框架内物料'!$A:$I,2,0))),"")</f>
        <v/>
      </c>
      <c r="G270" s="87" t="str">
        <f>IF(AND('2.报价结算清单'!$P373&gt;0,'2.报价结算清单'!$B373&lt;&gt;0,'2.报价结算清单'!H373&lt;&gt;0),'2.报价结算清单'!H373,"")</f>
        <v/>
      </c>
      <c r="H270" s="122" t="str">
        <f>IF(AND('2.报价结算清单'!$P373&gt;0,'2.报价结算清单'!$B373&lt;&gt;0,'2.报价结算清单'!$F373&lt;&gt;0),'2.报价结算清单'!J373,"")</f>
        <v/>
      </c>
      <c r="I270" s="105" t="str">
        <f>IF(AND('2.报价结算清单'!$P373&gt;0,'2.报价结算清单'!$B373&lt;&gt;0,'2.报价结算清单'!$F373&lt;&gt;0),'2.报价结算清单'!L373,"")</f>
        <v/>
      </c>
      <c r="J270" s="105" t="str">
        <f>IF(AND('2.报价结算清单'!$P373&gt;0,'2.报价结算清单'!$B373&lt;&gt;0,'2.报价结算清单'!I373&lt;&gt;0),'2.报价结算清单'!I373,"")</f>
        <v/>
      </c>
      <c r="K270" s="105" t="str">
        <f>IF(AND('2.报价结算清单'!$P373&gt;0,'2.报价结算清单'!$B373&lt;&gt;0,'2.报价结算清单'!$F373&lt;&gt;0),'2.报价结算清单'!N373,"")</f>
        <v/>
      </c>
      <c r="L270" s="105" t="str">
        <f>IF(AND('2.报价结算清单'!$P373&gt;0,'2.报价结算清单'!$B373&lt;&gt;0,'2.报价结算清单'!I373&lt;&gt;0),"天","")</f>
        <v/>
      </c>
      <c r="M270" s="80" t="str">
        <f t="shared" si="12"/>
        <v/>
      </c>
      <c r="N270" s="78" t="str">
        <f t="shared" si="13"/>
        <v/>
      </c>
      <c r="O270" s="78" t="str">
        <f>IF(AND('2.报价结算清单'!$P373&gt;0,'2.报价结算清单'!$B373&lt;&gt;0,'2.报价结算清单'!S373&lt;&gt;0),'2.报价结算清单'!S373,"")</f>
        <v/>
      </c>
      <c r="P270" s="78" t="str">
        <f>IF(AND('2.报价结算清单'!$P373&gt;0,'2.报价结算清单'!$B373&lt;&gt;0,'2.报价结算清单'!T373&lt;&gt;0),'2.报价结算清单'!T373,"")</f>
        <v/>
      </c>
      <c r="Q270" s="78" t="str">
        <f>IF(F270="",J270,VLOOKUP(F270,框架条目清单!A:K,4,FALSE))</f>
        <v/>
      </c>
      <c r="R270" s="106" t="str">
        <f>IF($A270="","",'2.报价结算清单'!$K$183)</f>
        <v/>
      </c>
      <c r="S270" s="80" t="str">
        <f>IF($A270="","",'2.报价结算清单'!$E$183)</f>
        <v/>
      </c>
      <c r="T270" s="78" t="str">
        <f>IF(F270="","",VLOOKUP(F270,框架条目清单!A:K,7,FALSE))</f>
        <v/>
      </c>
      <c r="U270" s="78" t="str">
        <f>IF(F270="","",VLOOKUP(F270,框架条目清单!A:K,8,FALSE))</f>
        <v/>
      </c>
      <c r="V270" s="78" t="str">
        <f>IF(F270="","",VLOOKUP(F270,框架条目清单!A:K,9,FALSE))</f>
        <v/>
      </c>
    </row>
    <row r="271" spans="1:22">
      <c r="A271" s="78" t="str">
        <f>IF(AND('2.报价结算清单'!$P374&gt;0,'2.报价结算清单'!$B374&lt;&gt;0,'2.报价结算清单'!$F374&lt;&gt;0),'2.报价结算清单'!$F374,"")</f>
        <v/>
      </c>
      <c r="B271" s="78" t="str">
        <f>_xlfn.IFNA(VLOOKUP(A271,'3.框架内物料'!$A:$I,3,0),A271)</f>
        <v/>
      </c>
      <c r="C271" s="78" t="str">
        <f>IF(AND('2.报价结算清单'!$P374&gt;0,'2.报价结算清单'!$B374&lt;&gt;0,'2.报价结算清单'!C374&lt;&gt;0),'2.报价结算清单'!C374,"")</f>
        <v/>
      </c>
      <c r="D271" s="78" t="str">
        <f>IF(AND('2.报价结算清单'!$P374&gt;0,'2.报价结算清单'!$B374&lt;&gt;0,'2.报价结算清单'!D374&lt;&gt;0),'2.报价结算清单'!D374,"")</f>
        <v/>
      </c>
      <c r="E271" s="78" t="str">
        <f>IF(AND('2.报价结算清单'!$P374&gt;0,'2.报价结算清单'!$B374&lt;&gt;0,'2.报价结算清单'!E374&lt;&gt;0),'2.报价结算清单'!E374,"")</f>
        <v/>
      </c>
      <c r="F271" s="105" t="str">
        <f>_xlfn.IFNA(IF($A271="","",IF(VLOOKUP($A271,'3.框架内物料'!$A:$I,2,0)="","",VLOOKUP($A271,'3.框架内物料'!$A:$I,2,0))),"")</f>
        <v/>
      </c>
      <c r="G271" s="87" t="str">
        <f>IF(AND('2.报价结算清单'!$P374&gt;0,'2.报价结算清单'!$B374&lt;&gt;0,'2.报价结算清单'!H374&lt;&gt;0),'2.报价结算清单'!H374,"")</f>
        <v/>
      </c>
      <c r="H271" s="122" t="str">
        <f>IF(AND('2.报价结算清单'!$P374&gt;0,'2.报价结算清单'!$B374&lt;&gt;0,'2.报价结算清单'!$F374&lt;&gt;0),'2.报价结算清单'!J374,"")</f>
        <v/>
      </c>
      <c r="I271" s="105" t="str">
        <f>IF(AND('2.报价结算清单'!$P374&gt;0,'2.报价结算清单'!$B374&lt;&gt;0,'2.报价结算清单'!$F374&lt;&gt;0),'2.报价结算清单'!L374,"")</f>
        <v/>
      </c>
      <c r="J271" s="105" t="str">
        <f>IF(AND('2.报价结算清单'!$P374&gt;0,'2.报价结算清单'!$B374&lt;&gt;0,'2.报价结算清单'!I374&lt;&gt;0),'2.报价结算清单'!I374,"")</f>
        <v/>
      </c>
      <c r="K271" s="105" t="str">
        <f>IF(AND('2.报价结算清单'!$P374&gt;0,'2.报价结算清单'!$B374&lt;&gt;0,'2.报价结算清单'!$F374&lt;&gt;0),'2.报价结算清单'!N374,"")</f>
        <v/>
      </c>
      <c r="L271" s="105" t="str">
        <f>IF(AND('2.报价结算清单'!$P374&gt;0,'2.报价结算清单'!$B374&lt;&gt;0,'2.报价结算清单'!I374&lt;&gt;0),"天","")</f>
        <v/>
      </c>
      <c r="M271" s="80" t="str">
        <f t="shared" si="12"/>
        <v/>
      </c>
      <c r="N271" s="78" t="str">
        <f t="shared" si="13"/>
        <v/>
      </c>
      <c r="O271" s="78" t="str">
        <f>IF(AND('2.报价结算清单'!$P374&gt;0,'2.报价结算清单'!$B374&lt;&gt;0,'2.报价结算清单'!S374&lt;&gt;0),'2.报价结算清单'!S374,"")</f>
        <v/>
      </c>
      <c r="P271" s="78" t="str">
        <f>IF(AND('2.报价结算清单'!$P374&gt;0,'2.报价结算清单'!$B374&lt;&gt;0,'2.报价结算清单'!T374&lt;&gt;0),'2.报价结算清单'!T374,"")</f>
        <v/>
      </c>
      <c r="Q271" s="78" t="str">
        <f>IF(F271="",J271,VLOOKUP(F271,框架条目清单!A:K,4,FALSE))</f>
        <v/>
      </c>
      <c r="R271" s="106" t="str">
        <f>IF($A271="","",'2.报价结算清单'!$K$183)</f>
        <v/>
      </c>
      <c r="S271" s="80" t="str">
        <f>IF($A271="","",'2.报价结算清单'!$E$183)</f>
        <v/>
      </c>
      <c r="T271" s="78" t="str">
        <f>IF(F271="","",VLOOKUP(F271,框架条目清单!A:K,7,FALSE))</f>
        <v/>
      </c>
      <c r="U271" s="78" t="str">
        <f>IF(F271="","",VLOOKUP(F271,框架条目清单!A:K,8,FALSE))</f>
        <v/>
      </c>
      <c r="V271" s="78" t="str">
        <f>IF(F271="","",VLOOKUP(F271,框架条目清单!A:K,9,FALSE))</f>
        <v/>
      </c>
    </row>
    <row r="272" spans="1:22">
      <c r="A272" s="78" t="str">
        <f>IF(AND('2.报价结算清单'!$P375&gt;0,'2.报价结算清单'!$B375&lt;&gt;0,'2.报价结算清单'!$F375&lt;&gt;0),'2.报价结算清单'!$F375,"")</f>
        <v/>
      </c>
      <c r="B272" s="78" t="str">
        <f>_xlfn.IFNA(VLOOKUP(A272,'3.框架内物料'!$A:$I,3,0),A272)</f>
        <v/>
      </c>
      <c r="C272" s="78" t="str">
        <f>IF(AND('2.报价结算清单'!$P375&gt;0,'2.报价结算清单'!$B375&lt;&gt;0,'2.报价结算清单'!C375&lt;&gt;0),'2.报价结算清单'!C375,"")</f>
        <v/>
      </c>
      <c r="D272" s="78" t="str">
        <f>IF(AND('2.报价结算清单'!$P375&gt;0,'2.报价结算清单'!$B375&lt;&gt;0,'2.报价结算清单'!D375&lt;&gt;0),'2.报价结算清单'!D375,"")</f>
        <v/>
      </c>
      <c r="E272" s="78" t="str">
        <f>IF(AND('2.报价结算清单'!$P375&gt;0,'2.报价结算清单'!$B375&lt;&gt;0,'2.报价结算清单'!E375&lt;&gt;0),'2.报价结算清单'!E375,"")</f>
        <v/>
      </c>
      <c r="F272" s="105" t="str">
        <f>_xlfn.IFNA(IF($A272="","",IF(VLOOKUP($A272,'3.框架内物料'!$A:$I,2,0)="","",VLOOKUP($A272,'3.框架内物料'!$A:$I,2,0))),"")</f>
        <v/>
      </c>
      <c r="G272" s="87" t="str">
        <f>IF(AND('2.报价结算清单'!$P375&gt;0,'2.报价结算清单'!$B375&lt;&gt;0,'2.报价结算清单'!H375&lt;&gt;0),'2.报价结算清单'!H375,"")</f>
        <v/>
      </c>
      <c r="H272" s="122" t="str">
        <f>IF(AND('2.报价结算清单'!$P375&gt;0,'2.报价结算清单'!$B375&lt;&gt;0,'2.报价结算清单'!$F375&lt;&gt;0),'2.报价结算清单'!J375,"")</f>
        <v/>
      </c>
      <c r="I272" s="105" t="str">
        <f>IF(AND('2.报价结算清单'!$P375&gt;0,'2.报价结算清单'!$B375&lt;&gt;0,'2.报价结算清单'!$F375&lt;&gt;0),'2.报价结算清单'!L375,"")</f>
        <v/>
      </c>
      <c r="J272" s="105" t="str">
        <f>IF(AND('2.报价结算清单'!$P375&gt;0,'2.报价结算清单'!$B375&lt;&gt;0,'2.报价结算清单'!I375&lt;&gt;0),'2.报价结算清单'!I375,"")</f>
        <v/>
      </c>
      <c r="K272" s="105" t="str">
        <f>IF(AND('2.报价结算清单'!$P375&gt;0,'2.报价结算清单'!$B375&lt;&gt;0,'2.报价结算清单'!$F375&lt;&gt;0),'2.报价结算清单'!N375,"")</f>
        <v/>
      </c>
      <c r="L272" s="105" t="str">
        <f>IF(AND('2.报价结算清单'!$P375&gt;0,'2.报价结算清单'!$B375&lt;&gt;0,'2.报价结算清单'!I375&lt;&gt;0),"天","")</f>
        <v/>
      </c>
      <c r="M272" s="80" t="str">
        <f t="shared" si="12"/>
        <v/>
      </c>
      <c r="N272" s="78" t="str">
        <f t="shared" si="13"/>
        <v/>
      </c>
      <c r="O272" s="78" t="str">
        <f>IF(AND('2.报价结算清单'!$P375&gt;0,'2.报价结算清单'!$B375&lt;&gt;0,'2.报价结算清单'!S375&lt;&gt;0),'2.报价结算清单'!S375,"")</f>
        <v/>
      </c>
      <c r="P272" s="78" t="str">
        <f>IF(AND('2.报价结算清单'!$P375&gt;0,'2.报价结算清单'!$B375&lt;&gt;0,'2.报价结算清单'!T375&lt;&gt;0),'2.报价结算清单'!T375,"")</f>
        <v/>
      </c>
      <c r="Q272" s="78" t="str">
        <f>IF(F272="",J272,VLOOKUP(F272,框架条目清单!A:K,4,FALSE))</f>
        <v/>
      </c>
      <c r="R272" s="106" t="str">
        <f>IF($A272="","",'2.报价结算清单'!$K$183)</f>
        <v/>
      </c>
      <c r="S272" s="80" t="str">
        <f>IF($A272="","",'2.报价结算清单'!$E$183)</f>
        <v/>
      </c>
      <c r="T272" s="78" t="str">
        <f>IF(F272="","",VLOOKUP(F272,框架条目清单!A:K,7,FALSE))</f>
        <v/>
      </c>
      <c r="U272" s="78" t="str">
        <f>IF(F272="","",VLOOKUP(F272,框架条目清单!A:K,8,FALSE))</f>
        <v/>
      </c>
      <c r="V272" s="78" t="str">
        <f>IF(F272="","",VLOOKUP(F272,框架条目清单!A:K,9,FALSE))</f>
        <v/>
      </c>
    </row>
    <row r="273" spans="1:22">
      <c r="A273" s="78" t="str">
        <f>IF(AND('2.报价结算清单'!$P376&gt;0,'2.报价结算清单'!$B376&lt;&gt;0,'2.报价结算清单'!$F376&lt;&gt;0),'2.报价结算清单'!$F376,"")</f>
        <v/>
      </c>
      <c r="B273" s="78" t="str">
        <f>_xlfn.IFNA(VLOOKUP(A273,'3.框架内物料'!$A:$I,3,0),A273)</f>
        <v/>
      </c>
      <c r="C273" s="78" t="str">
        <f>IF(AND('2.报价结算清单'!$P376&gt;0,'2.报价结算清单'!$B376&lt;&gt;0,'2.报价结算清单'!C376&lt;&gt;0),'2.报价结算清单'!C376,"")</f>
        <v/>
      </c>
      <c r="D273" s="78" t="str">
        <f>IF(AND('2.报价结算清单'!$P376&gt;0,'2.报价结算清单'!$B376&lt;&gt;0,'2.报价结算清单'!D376&lt;&gt;0),'2.报价结算清单'!D376,"")</f>
        <v/>
      </c>
      <c r="E273" s="78" t="str">
        <f>IF(AND('2.报价结算清单'!$P376&gt;0,'2.报价结算清单'!$B376&lt;&gt;0,'2.报价结算清单'!E376&lt;&gt;0),'2.报价结算清单'!E376,"")</f>
        <v/>
      </c>
      <c r="F273" s="105" t="str">
        <f>_xlfn.IFNA(IF($A273="","",IF(VLOOKUP($A273,'3.框架内物料'!$A:$I,2,0)="","",VLOOKUP($A273,'3.框架内物料'!$A:$I,2,0))),"")</f>
        <v/>
      </c>
      <c r="G273" s="87" t="str">
        <f>IF(AND('2.报价结算清单'!$P376&gt;0,'2.报价结算清单'!$B376&lt;&gt;0,'2.报价结算清单'!H376&lt;&gt;0),'2.报价结算清单'!H376,"")</f>
        <v/>
      </c>
      <c r="H273" s="122" t="str">
        <f>IF(AND('2.报价结算清单'!$P376&gt;0,'2.报价结算清单'!$B376&lt;&gt;0,'2.报价结算清单'!$F376&lt;&gt;0),'2.报价结算清单'!J376,"")</f>
        <v/>
      </c>
      <c r="I273" s="105" t="str">
        <f>IF(AND('2.报价结算清单'!$P376&gt;0,'2.报价结算清单'!$B376&lt;&gt;0,'2.报价结算清单'!$F376&lt;&gt;0),'2.报价结算清单'!L376,"")</f>
        <v/>
      </c>
      <c r="J273" s="105" t="str">
        <f>IF(AND('2.报价结算清单'!$P376&gt;0,'2.报价结算清单'!$B376&lt;&gt;0,'2.报价结算清单'!I376&lt;&gt;0),'2.报价结算清单'!I376,"")</f>
        <v/>
      </c>
      <c r="K273" s="105" t="str">
        <f>IF(AND('2.报价结算清单'!$P376&gt;0,'2.报价结算清单'!$B376&lt;&gt;0,'2.报价结算清单'!$F376&lt;&gt;0),'2.报价结算清单'!N376,"")</f>
        <v/>
      </c>
      <c r="L273" s="105" t="str">
        <f>IF(AND('2.报价结算清单'!$P376&gt;0,'2.报价结算清单'!$B376&lt;&gt;0,'2.报价结算清单'!I376&lt;&gt;0),"天","")</f>
        <v/>
      </c>
      <c r="M273" s="80" t="str">
        <f t="shared" si="12"/>
        <v/>
      </c>
      <c r="N273" s="78" t="str">
        <f t="shared" si="13"/>
        <v/>
      </c>
      <c r="O273" s="78" t="str">
        <f>IF(AND('2.报价结算清单'!$P376&gt;0,'2.报价结算清单'!$B376&lt;&gt;0,'2.报价结算清单'!S376&lt;&gt;0),'2.报价结算清单'!S376,"")</f>
        <v/>
      </c>
      <c r="P273" s="78" t="str">
        <f>IF(AND('2.报价结算清单'!$P376&gt;0,'2.报价结算清单'!$B376&lt;&gt;0,'2.报价结算清单'!T376&lt;&gt;0),'2.报价结算清单'!T376,"")</f>
        <v/>
      </c>
      <c r="Q273" s="78" t="str">
        <f>IF(F273="",J273,VLOOKUP(F273,框架条目清单!A:K,4,FALSE))</f>
        <v/>
      </c>
      <c r="R273" s="106" t="str">
        <f>IF($A273="","",'2.报价结算清单'!$K$183)</f>
        <v/>
      </c>
      <c r="S273" s="80" t="str">
        <f>IF($A273="","",'2.报价结算清单'!$E$183)</f>
        <v/>
      </c>
      <c r="T273" s="78" t="str">
        <f>IF(F273="","",VLOOKUP(F273,框架条目清单!A:K,7,FALSE))</f>
        <v/>
      </c>
      <c r="U273" s="78" t="str">
        <f>IF(F273="","",VLOOKUP(F273,框架条目清单!A:K,8,FALSE))</f>
        <v/>
      </c>
      <c r="V273" s="78" t="str">
        <f>IF(F273="","",VLOOKUP(F273,框架条目清单!A:K,9,FALSE))</f>
        <v/>
      </c>
    </row>
    <row r="274" spans="1:22">
      <c r="A274" s="78" t="str">
        <f>IF(AND('2.报价结算清单'!$P377&gt;0,'2.报价结算清单'!$B377&lt;&gt;0,'2.报价结算清单'!$F377&lt;&gt;0),'2.报价结算清单'!$F377,"")</f>
        <v/>
      </c>
      <c r="B274" s="78" t="str">
        <f>_xlfn.IFNA(VLOOKUP(A274,'3.框架内物料'!$A:$I,3,0),A274)</f>
        <v/>
      </c>
      <c r="C274" s="78" t="str">
        <f>IF(AND('2.报价结算清单'!$P377&gt;0,'2.报价结算清单'!$B377&lt;&gt;0,'2.报价结算清单'!C377&lt;&gt;0),'2.报价结算清单'!C377,"")</f>
        <v/>
      </c>
      <c r="D274" s="78" t="str">
        <f>IF(AND('2.报价结算清单'!$P377&gt;0,'2.报价结算清单'!$B377&lt;&gt;0,'2.报价结算清单'!D377&lt;&gt;0),'2.报价结算清单'!D377,"")</f>
        <v/>
      </c>
      <c r="E274" s="78" t="str">
        <f>IF(AND('2.报价结算清单'!$P377&gt;0,'2.报价结算清单'!$B377&lt;&gt;0,'2.报价结算清单'!E377&lt;&gt;0),'2.报价结算清单'!E377,"")</f>
        <v/>
      </c>
      <c r="F274" s="105" t="str">
        <f>_xlfn.IFNA(IF($A274="","",IF(VLOOKUP($A274,'3.框架内物料'!$A:$I,2,0)="","",VLOOKUP($A274,'3.框架内物料'!$A:$I,2,0))),"")</f>
        <v/>
      </c>
      <c r="G274" s="87" t="str">
        <f>IF(AND('2.报价结算清单'!$P377&gt;0,'2.报价结算清单'!$B377&lt;&gt;0,'2.报价结算清单'!H377&lt;&gt;0),'2.报价结算清单'!H377,"")</f>
        <v/>
      </c>
      <c r="H274" s="122" t="str">
        <f>IF(AND('2.报价结算清单'!$P377&gt;0,'2.报价结算清单'!$B377&lt;&gt;0,'2.报价结算清单'!$F377&lt;&gt;0),'2.报价结算清单'!J377,"")</f>
        <v/>
      </c>
      <c r="I274" s="105" t="str">
        <f>IF(AND('2.报价结算清单'!$P377&gt;0,'2.报价结算清单'!$B377&lt;&gt;0,'2.报价结算清单'!$F377&lt;&gt;0),'2.报价结算清单'!L377,"")</f>
        <v/>
      </c>
      <c r="J274" s="105" t="str">
        <f>IF(AND('2.报价结算清单'!$P377&gt;0,'2.报价结算清单'!$B377&lt;&gt;0,'2.报价结算清单'!I377&lt;&gt;0),'2.报价结算清单'!I377,"")</f>
        <v/>
      </c>
      <c r="K274" s="105" t="str">
        <f>IF(AND('2.报价结算清单'!$P377&gt;0,'2.报价结算清单'!$B377&lt;&gt;0,'2.报价结算清单'!$F377&lt;&gt;0),'2.报价结算清单'!N377,"")</f>
        <v/>
      </c>
      <c r="L274" s="105" t="str">
        <f>IF(AND('2.报价结算清单'!$P377&gt;0,'2.报价结算清单'!$B377&lt;&gt;0,'2.报价结算清单'!I377&lt;&gt;0),"天","")</f>
        <v/>
      </c>
      <c r="M274" s="80" t="str">
        <f t="shared" si="12"/>
        <v/>
      </c>
      <c r="N274" s="78" t="str">
        <f t="shared" si="13"/>
        <v/>
      </c>
      <c r="O274" s="78" t="str">
        <f>IF(AND('2.报价结算清单'!$P377&gt;0,'2.报价结算清单'!$B377&lt;&gt;0,'2.报价结算清单'!S377&lt;&gt;0),'2.报价结算清单'!S377,"")</f>
        <v/>
      </c>
      <c r="P274" s="78" t="str">
        <f>IF(AND('2.报价结算清单'!$P377&gt;0,'2.报价结算清单'!$B377&lt;&gt;0,'2.报价结算清单'!T377&lt;&gt;0),'2.报价结算清单'!T377,"")</f>
        <v/>
      </c>
      <c r="Q274" s="78" t="str">
        <f>IF(F274="",J274,VLOOKUP(F274,框架条目清单!A:K,4,FALSE))</f>
        <v/>
      </c>
      <c r="R274" s="106" t="str">
        <f>IF($A274="","",'2.报价结算清单'!$K$183)</f>
        <v/>
      </c>
      <c r="S274" s="80" t="str">
        <f>IF($A274="","",'2.报价结算清单'!$E$183)</f>
        <v/>
      </c>
      <c r="T274" s="78" t="str">
        <f>IF(F274="","",VLOOKUP(F274,框架条目清单!A:K,7,FALSE))</f>
        <v/>
      </c>
      <c r="U274" s="78" t="str">
        <f>IF(F274="","",VLOOKUP(F274,框架条目清单!A:K,8,FALSE))</f>
        <v/>
      </c>
      <c r="V274" s="78" t="str">
        <f>IF(F274="","",VLOOKUP(F274,框架条目清单!A:K,9,FALSE))</f>
        <v/>
      </c>
    </row>
    <row r="275" spans="1:22">
      <c r="A275" s="78" t="str">
        <f>IF(AND('2.报价结算清单'!$P378&gt;0,'2.报价结算清单'!$B378&lt;&gt;0,'2.报价结算清单'!$F378&lt;&gt;0),'2.报价结算清单'!$F378,"")</f>
        <v/>
      </c>
      <c r="B275" s="78" t="str">
        <f>_xlfn.IFNA(VLOOKUP(A275,'3.框架内物料'!$A:$I,3,0),A275)</f>
        <v/>
      </c>
      <c r="C275" s="78" t="str">
        <f>IF(AND('2.报价结算清单'!$P378&gt;0,'2.报价结算清单'!$B378&lt;&gt;0,'2.报价结算清单'!C378&lt;&gt;0),'2.报价结算清单'!C378,"")</f>
        <v/>
      </c>
      <c r="D275" s="78" t="str">
        <f>IF(AND('2.报价结算清单'!$P378&gt;0,'2.报价结算清单'!$B378&lt;&gt;0,'2.报价结算清单'!D378&lt;&gt;0),'2.报价结算清单'!D378,"")</f>
        <v/>
      </c>
      <c r="E275" s="78" t="str">
        <f>IF(AND('2.报价结算清单'!$P378&gt;0,'2.报价结算清单'!$B378&lt;&gt;0,'2.报价结算清单'!E378&lt;&gt;0),'2.报价结算清单'!E378,"")</f>
        <v/>
      </c>
      <c r="F275" s="105" t="str">
        <f>_xlfn.IFNA(IF($A275="","",IF(VLOOKUP($A275,'3.框架内物料'!$A:$I,2,0)="","",VLOOKUP($A275,'3.框架内物料'!$A:$I,2,0))),"")</f>
        <v/>
      </c>
      <c r="G275" s="87" t="str">
        <f>IF(AND('2.报价结算清单'!$P378&gt;0,'2.报价结算清单'!$B378&lt;&gt;0,'2.报价结算清单'!H378&lt;&gt;0),'2.报价结算清单'!H378,"")</f>
        <v/>
      </c>
      <c r="H275" s="122" t="str">
        <f>IF(AND('2.报价结算清单'!$P378&gt;0,'2.报价结算清单'!$B378&lt;&gt;0,'2.报价结算清单'!$F378&lt;&gt;0),'2.报价结算清单'!J378,"")</f>
        <v/>
      </c>
      <c r="I275" s="105" t="str">
        <f>IF(AND('2.报价结算清单'!$P378&gt;0,'2.报价结算清单'!$B378&lt;&gt;0,'2.报价结算清单'!$F378&lt;&gt;0),'2.报价结算清单'!L378,"")</f>
        <v/>
      </c>
      <c r="J275" s="105" t="str">
        <f>IF(AND('2.报价结算清单'!$P378&gt;0,'2.报价结算清单'!$B378&lt;&gt;0,'2.报价结算清单'!I378&lt;&gt;0),'2.报价结算清单'!I378,"")</f>
        <v/>
      </c>
      <c r="K275" s="105" t="str">
        <f>IF(AND('2.报价结算清单'!$P378&gt;0,'2.报价结算清单'!$B378&lt;&gt;0,'2.报价结算清单'!$F378&lt;&gt;0),'2.报价结算清单'!N378,"")</f>
        <v/>
      </c>
      <c r="L275" s="105" t="str">
        <f>IF(AND('2.报价结算清单'!$P378&gt;0,'2.报价结算清单'!$B378&lt;&gt;0,'2.报价结算清单'!I378&lt;&gt;0),"天","")</f>
        <v/>
      </c>
      <c r="M275" s="80" t="str">
        <f t="shared" si="12"/>
        <v/>
      </c>
      <c r="N275" s="78" t="str">
        <f t="shared" si="13"/>
        <v/>
      </c>
      <c r="O275" s="78" t="str">
        <f>IF(AND('2.报价结算清单'!$P378&gt;0,'2.报价结算清单'!$B378&lt;&gt;0,'2.报价结算清单'!S378&lt;&gt;0),'2.报价结算清单'!S378,"")</f>
        <v/>
      </c>
      <c r="P275" s="78" t="str">
        <f>IF(AND('2.报价结算清单'!$P378&gt;0,'2.报价结算清单'!$B378&lt;&gt;0,'2.报价结算清单'!T378&lt;&gt;0),'2.报价结算清单'!T378,"")</f>
        <v/>
      </c>
      <c r="Q275" s="78" t="str">
        <f>IF(F275="",J275,VLOOKUP(F275,框架条目清单!A:K,4,FALSE))</f>
        <v/>
      </c>
      <c r="R275" s="106" t="str">
        <f>IF($A275="","",'2.报价结算清单'!$K$183)</f>
        <v/>
      </c>
      <c r="S275" s="80" t="str">
        <f>IF($A275="","",'2.报价结算清单'!$E$183)</f>
        <v/>
      </c>
      <c r="T275" s="78" t="str">
        <f>IF(F275="","",VLOOKUP(F275,框架条目清单!A:K,7,FALSE))</f>
        <v/>
      </c>
      <c r="U275" s="78" t="str">
        <f>IF(F275="","",VLOOKUP(F275,框架条目清单!A:K,8,FALSE))</f>
        <v/>
      </c>
      <c r="V275" s="78" t="str">
        <f>IF(F275="","",VLOOKUP(F275,框架条目清单!A:K,9,FALSE))</f>
        <v/>
      </c>
    </row>
    <row r="276" spans="1:22">
      <c r="A276" s="78" t="str">
        <f>IF(AND('2.报价结算清单'!$P379&gt;0,'2.报价结算清单'!$B379&lt;&gt;0,'2.报价结算清单'!$F379&lt;&gt;0),'2.报价结算清单'!$F379,"")</f>
        <v/>
      </c>
      <c r="B276" s="78" t="str">
        <f>_xlfn.IFNA(VLOOKUP(A276,'3.框架内物料'!$A:$I,3,0),A276)</f>
        <v/>
      </c>
      <c r="C276" s="78" t="str">
        <f>IF(AND('2.报价结算清单'!$P379&gt;0,'2.报价结算清单'!$B379&lt;&gt;0,'2.报价结算清单'!C379&lt;&gt;0),'2.报价结算清单'!C379,"")</f>
        <v/>
      </c>
      <c r="D276" s="78" t="str">
        <f>IF(AND('2.报价结算清单'!$P379&gt;0,'2.报价结算清单'!$B379&lt;&gt;0,'2.报价结算清单'!D379&lt;&gt;0),'2.报价结算清单'!D379,"")</f>
        <v/>
      </c>
      <c r="E276" s="78" t="str">
        <f>IF(AND('2.报价结算清单'!$P379&gt;0,'2.报价结算清单'!$B379&lt;&gt;0,'2.报价结算清单'!E379&lt;&gt;0),'2.报价结算清单'!E379,"")</f>
        <v/>
      </c>
      <c r="F276" s="105" t="str">
        <f>_xlfn.IFNA(IF($A276="","",IF(VLOOKUP($A276,'3.框架内物料'!$A:$I,2,0)="","",VLOOKUP($A276,'3.框架内物料'!$A:$I,2,0))),"")</f>
        <v/>
      </c>
      <c r="G276" s="87" t="str">
        <f>IF(AND('2.报价结算清单'!$P379&gt;0,'2.报价结算清单'!$B379&lt;&gt;0,'2.报价结算清单'!H379&lt;&gt;0),'2.报价结算清单'!H379,"")</f>
        <v/>
      </c>
      <c r="H276" s="122" t="str">
        <f>IF(AND('2.报价结算清单'!$P379&gt;0,'2.报价结算清单'!$B379&lt;&gt;0,'2.报价结算清单'!$F379&lt;&gt;0),'2.报价结算清单'!J379,"")</f>
        <v/>
      </c>
      <c r="I276" s="105" t="str">
        <f>IF(AND('2.报价结算清单'!$P379&gt;0,'2.报价结算清单'!$B379&lt;&gt;0,'2.报价结算清单'!$F379&lt;&gt;0),'2.报价结算清单'!L379,"")</f>
        <v/>
      </c>
      <c r="J276" s="105" t="str">
        <f>IF(AND('2.报价结算清单'!$P379&gt;0,'2.报价结算清单'!$B379&lt;&gt;0,'2.报价结算清单'!I379&lt;&gt;0),'2.报价结算清单'!I379,"")</f>
        <v/>
      </c>
      <c r="K276" s="105" t="str">
        <f>IF(AND('2.报价结算清单'!$P379&gt;0,'2.报价结算清单'!$B379&lt;&gt;0,'2.报价结算清单'!$F379&lt;&gt;0),'2.报价结算清单'!N379,"")</f>
        <v/>
      </c>
      <c r="L276" s="105" t="str">
        <f>IF(AND('2.报价结算清单'!$P379&gt;0,'2.报价结算清单'!$B379&lt;&gt;0,'2.报价结算清单'!I379&lt;&gt;0),"天","")</f>
        <v/>
      </c>
      <c r="M276" s="80" t="str">
        <f t="shared" si="12"/>
        <v/>
      </c>
      <c r="N276" s="78" t="str">
        <f t="shared" si="13"/>
        <v/>
      </c>
      <c r="O276" s="78" t="str">
        <f>IF(AND('2.报价结算清单'!$P379&gt;0,'2.报价结算清单'!$B379&lt;&gt;0,'2.报价结算清单'!S379&lt;&gt;0),'2.报价结算清单'!S379,"")</f>
        <v/>
      </c>
      <c r="P276" s="78" t="str">
        <f>IF(AND('2.报价结算清单'!$P379&gt;0,'2.报价结算清单'!$B379&lt;&gt;0,'2.报价结算清单'!T379&lt;&gt;0),'2.报价结算清单'!T379,"")</f>
        <v/>
      </c>
      <c r="Q276" s="78" t="str">
        <f>IF(F276="",J276,VLOOKUP(F276,框架条目清单!A:K,4,FALSE))</f>
        <v/>
      </c>
      <c r="R276" s="106" t="str">
        <f>IF($A276="","",'2.报价结算清单'!$K$183)</f>
        <v/>
      </c>
      <c r="S276" s="80" t="str">
        <f>IF($A276="","",'2.报价结算清单'!$E$183)</f>
        <v/>
      </c>
      <c r="T276" s="78" t="str">
        <f>IF(F276="","",VLOOKUP(F276,框架条目清单!A:K,7,FALSE))</f>
        <v/>
      </c>
      <c r="U276" s="78" t="str">
        <f>IF(F276="","",VLOOKUP(F276,框架条目清单!A:K,8,FALSE))</f>
        <v/>
      </c>
      <c r="V276" s="78" t="str">
        <f>IF(F276="","",VLOOKUP(F276,框架条目清单!A:K,9,FALSE))</f>
        <v/>
      </c>
    </row>
    <row r="277" spans="1:22">
      <c r="A277" s="78" t="str">
        <f>IF(AND('2.报价结算清单'!$P380&gt;0,'2.报价结算清单'!$B380&lt;&gt;0,'2.报价结算清单'!$F380&lt;&gt;0),'2.报价结算清单'!$F380,"")</f>
        <v/>
      </c>
      <c r="B277" s="78" t="str">
        <f>_xlfn.IFNA(VLOOKUP(A277,'3.框架内物料'!$A:$I,3,0),A277)</f>
        <v/>
      </c>
      <c r="C277" s="78" t="str">
        <f>IF(AND('2.报价结算清单'!$P380&gt;0,'2.报价结算清单'!$B380&lt;&gt;0,'2.报价结算清单'!C380&lt;&gt;0),'2.报价结算清单'!C380,"")</f>
        <v/>
      </c>
      <c r="D277" s="78" t="str">
        <f>IF(AND('2.报价结算清单'!$P380&gt;0,'2.报价结算清单'!$B380&lt;&gt;0,'2.报价结算清单'!D380&lt;&gt;0),'2.报价结算清单'!D380,"")</f>
        <v/>
      </c>
      <c r="E277" s="78" t="str">
        <f>IF(AND('2.报价结算清单'!$P380&gt;0,'2.报价结算清单'!$B380&lt;&gt;0,'2.报价结算清单'!E380&lt;&gt;0),'2.报价结算清单'!E380,"")</f>
        <v/>
      </c>
      <c r="F277" s="105" t="str">
        <f>_xlfn.IFNA(IF($A277="","",IF(VLOOKUP($A277,'3.框架内物料'!$A:$I,2,0)="","",VLOOKUP($A277,'3.框架内物料'!$A:$I,2,0))),"")</f>
        <v/>
      </c>
      <c r="G277" s="87" t="str">
        <f>IF(AND('2.报价结算清单'!$P380&gt;0,'2.报价结算清单'!$B380&lt;&gt;0,'2.报价结算清单'!H380&lt;&gt;0),'2.报价结算清单'!H380,"")</f>
        <v/>
      </c>
      <c r="H277" s="122" t="str">
        <f>IF(AND('2.报价结算清单'!$P380&gt;0,'2.报价结算清单'!$B380&lt;&gt;0,'2.报价结算清单'!$F380&lt;&gt;0),'2.报价结算清单'!J380,"")</f>
        <v/>
      </c>
      <c r="I277" s="105" t="str">
        <f>IF(AND('2.报价结算清单'!$P380&gt;0,'2.报价结算清单'!$B380&lt;&gt;0,'2.报价结算清单'!$F380&lt;&gt;0),'2.报价结算清单'!L380,"")</f>
        <v/>
      </c>
      <c r="J277" s="105" t="str">
        <f>IF(AND('2.报价结算清单'!$P380&gt;0,'2.报价结算清单'!$B380&lt;&gt;0,'2.报价结算清单'!I380&lt;&gt;0),'2.报价结算清单'!I380,"")</f>
        <v/>
      </c>
      <c r="K277" s="105" t="str">
        <f>IF(AND('2.报价结算清单'!$P380&gt;0,'2.报价结算清单'!$B380&lt;&gt;0,'2.报价结算清单'!$F380&lt;&gt;0),'2.报价结算清单'!N380,"")</f>
        <v/>
      </c>
      <c r="L277" s="105" t="str">
        <f>IF(AND('2.报价结算清单'!$P380&gt;0,'2.报价结算清单'!$B380&lt;&gt;0,'2.报价结算清单'!I380&lt;&gt;0),"天","")</f>
        <v/>
      </c>
      <c r="M277" s="80" t="str">
        <f t="shared" si="12"/>
        <v/>
      </c>
      <c r="N277" s="78" t="str">
        <f t="shared" si="13"/>
        <v/>
      </c>
      <c r="O277" s="78" t="str">
        <f>IF(AND('2.报价结算清单'!$P380&gt;0,'2.报价结算清单'!$B380&lt;&gt;0,'2.报价结算清单'!S380&lt;&gt;0),'2.报价结算清单'!S380,"")</f>
        <v/>
      </c>
      <c r="P277" s="78" t="str">
        <f>IF(AND('2.报价结算清单'!$P380&gt;0,'2.报价结算清单'!$B380&lt;&gt;0,'2.报价结算清单'!T380&lt;&gt;0),'2.报价结算清单'!T380,"")</f>
        <v/>
      </c>
      <c r="Q277" s="78" t="str">
        <f>IF(F277="",J277,VLOOKUP(F277,框架条目清单!A:K,4,FALSE))</f>
        <v/>
      </c>
      <c r="R277" s="106" t="str">
        <f>IF($A277="","",'2.报价结算清单'!$K$183)</f>
        <v/>
      </c>
      <c r="S277" s="80" t="str">
        <f>IF($A277="","",'2.报价结算清单'!$E$183)</f>
        <v/>
      </c>
      <c r="T277" s="78" t="str">
        <f>IF(F277="","",VLOOKUP(F277,框架条目清单!A:K,7,FALSE))</f>
        <v/>
      </c>
      <c r="U277" s="78" t="str">
        <f>IF(F277="","",VLOOKUP(F277,框架条目清单!A:K,8,FALSE))</f>
        <v/>
      </c>
      <c r="V277" s="78" t="str">
        <f>IF(F277="","",VLOOKUP(F277,框架条目清单!A:K,9,FALSE))</f>
        <v/>
      </c>
    </row>
    <row r="278" spans="1:22">
      <c r="A278" s="78" t="str">
        <f>IF(AND('2.报价结算清单'!$P381&gt;0,'2.报价结算清单'!$B381&lt;&gt;0,'2.报价结算清单'!$F381&lt;&gt;0),'2.报价结算清单'!$F381,"")</f>
        <v/>
      </c>
      <c r="B278" s="78" t="str">
        <f>_xlfn.IFNA(VLOOKUP(A278,'3.框架内物料'!$A:$I,3,0),A278)</f>
        <v/>
      </c>
      <c r="C278" s="78" t="str">
        <f>IF(AND('2.报价结算清单'!$P381&gt;0,'2.报价结算清单'!$B381&lt;&gt;0,'2.报价结算清单'!C381&lt;&gt;0),'2.报价结算清单'!C381,"")</f>
        <v/>
      </c>
      <c r="D278" s="78" t="str">
        <f>IF(AND('2.报价结算清单'!$P381&gt;0,'2.报价结算清单'!$B381&lt;&gt;0,'2.报价结算清单'!D381&lt;&gt;0),'2.报价结算清单'!D381,"")</f>
        <v/>
      </c>
      <c r="E278" s="78" t="str">
        <f>IF(AND('2.报价结算清单'!$P381&gt;0,'2.报价结算清单'!$B381&lt;&gt;0,'2.报价结算清单'!E381&lt;&gt;0),'2.报价结算清单'!E381,"")</f>
        <v/>
      </c>
      <c r="F278" s="105" t="str">
        <f>_xlfn.IFNA(IF($A278="","",IF(VLOOKUP($A278,'3.框架内物料'!$A:$I,2,0)="","",VLOOKUP($A278,'3.框架内物料'!$A:$I,2,0))),"")</f>
        <v/>
      </c>
      <c r="G278" s="87" t="str">
        <f>IF(AND('2.报价结算清单'!$P381&gt;0,'2.报价结算清单'!$B381&lt;&gt;0,'2.报价结算清单'!H381&lt;&gt;0),'2.报价结算清单'!H381,"")</f>
        <v/>
      </c>
      <c r="H278" s="122" t="str">
        <f>IF(AND('2.报价结算清单'!$P381&gt;0,'2.报价结算清单'!$B381&lt;&gt;0,'2.报价结算清单'!$F381&lt;&gt;0),'2.报价结算清单'!J381,"")</f>
        <v/>
      </c>
      <c r="I278" s="105" t="str">
        <f>IF(AND('2.报价结算清单'!$P381&gt;0,'2.报价结算清单'!$B381&lt;&gt;0,'2.报价结算清单'!$F381&lt;&gt;0),'2.报价结算清单'!L381,"")</f>
        <v/>
      </c>
      <c r="J278" s="105" t="str">
        <f>IF(AND('2.报价结算清单'!$P381&gt;0,'2.报价结算清单'!$B381&lt;&gt;0,'2.报价结算清单'!I381&lt;&gt;0),'2.报价结算清单'!I381,"")</f>
        <v/>
      </c>
      <c r="K278" s="105" t="str">
        <f>IF(AND('2.报价结算清单'!$P381&gt;0,'2.报价结算清单'!$B381&lt;&gt;0,'2.报价结算清单'!$F381&lt;&gt;0),'2.报价结算清单'!N381,"")</f>
        <v/>
      </c>
      <c r="L278" s="105" t="str">
        <f>IF(AND('2.报价结算清单'!$P381&gt;0,'2.报价结算清单'!$B381&lt;&gt;0,'2.报价结算清单'!I381&lt;&gt;0),"天","")</f>
        <v/>
      </c>
      <c r="M278" s="80" t="str">
        <f t="shared" si="12"/>
        <v/>
      </c>
      <c r="N278" s="78" t="str">
        <f t="shared" si="13"/>
        <v/>
      </c>
      <c r="O278" s="78" t="str">
        <f>IF(AND('2.报价结算清单'!$P381&gt;0,'2.报价结算清单'!$B381&lt;&gt;0,'2.报价结算清单'!S381&lt;&gt;0),'2.报价结算清单'!S381,"")</f>
        <v/>
      </c>
      <c r="P278" s="78" t="str">
        <f>IF(AND('2.报价结算清单'!$P381&gt;0,'2.报价结算清单'!$B381&lt;&gt;0,'2.报价结算清单'!T381&lt;&gt;0),'2.报价结算清单'!T381,"")</f>
        <v/>
      </c>
      <c r="Q278" s="78" t="str">
        <f>IF(F278="",J278,VLOOKUP(F278,框架条目清单!A:K,4,FALSE))</f>
        <v/>
      </c>
      <c r="R278" s="106" t="str">
        <f>IF($A278="","",'2.报价结算清单'!$K$183)</f>
        <v/>
      </c>
      <c r="S278" s="80" t="str">
        <f>IF($A278="","",'2.报价结算清单'!$E$183)</f>
        <v/>
      </c>
      <c r="T278" s="78" t="str">
        <f>IF(F278="","",VLOOKUP(F278,框架条目清单!A:K,7,FALSE))</f>
        <v/>
      </c>
      <c r="U278" s="78" t="str">
        <f>IF(F278="","",VLOOKUP(F278,框架条目清单!A:K,8,FALSE))</f>
        <v/>
      </c>
      <c r="V278" s="78" t="str">
        <f>IF(F278="","",VLOOKUP(F278,框架条目清单!A:K,9,FALSE))</f>
        <v/>
      </c>
    </row>
    <row r="279" spans="1:22">
      <c r="A279" s="78" t="str">
        <f>IF(AND('2.报价结算清单'!$P382&gt;0,'2.报价结算清单'!$B382&lt;&gt;0,'2.报价结算清单'!$F382&lt;&gt;0),'2.报价结算清单'!$F382,"")</f>
        <v/>
      </c>
      <c r="B279" s="78" t="str">
        <f>_xlfn.IFNA(VLOOKUP(A279,'3.框架内物料'!$A:$I,3,0),A279)</f>
        <v/>
      </c>
      <c r="C279" s="78" t="str">
        <f>IF(AND('2.报价结算清单'!$P382&gt;0,'2.报价结算清单'!$B382&lt;&gt;0,'2.报价结算清单'!C382&lt;&gt;0),'2.报价结算清单'!C382,"")</f>
        <v/>
      </c>
      <c r="D279" s="78" t="str">
        <f>IF(AND('2.报价结算清单'!$P382&gt;0,'2.报价结算清单'!$B382&lt;&gt;0,'2.报价结算清单'!D382&lt;&gt;0),'2.报价结算清单'!D382,"")</f>
        <v/>
      </c>
      <c r="E279" s="78" t="str">
        <f>IF(AND('2.报价结算清单'!$P382&gt;0,'2.报价结算清单'!$B382&lt;&gt;0,'2.报价结算清单'!E382&lt;&gt;0),'2.报价结算清单'!E382,"")</f>
        <v/>
      </c>
      <c r="F279" s="105" t="str">
        <f>_xlfn.IFNA(IF($A279="","",IF(VLOOKUP($A279,'3.框架内物料'!$A:$I,2,0)="","",VLOOKUP($A279,'3.框架内物料'!$A:$I,2,0))),"")</f>
        <v/>
      </c>
      <c r="G279" s="87" t="str">
        <f>IF(AND('2.报价结算清单'!$P382&gt;0,'2.报价结算清单'!$B382&lt;&gt;0,'2.报价结算清单'!H382&lt;&gt;0),'2.报价结算清单'!H382,"")</f>
        <v/>
      </c>
      <c r="H279" s="122" t="str">
        <f>IF(AND('2.报价结算清单'!$P382&gt;0,'2.报价结算清单'!$B382&lt;&gt;0,'2.报价结算清单'!$F382&lt;&gt;0),'2.报价结算清单'!J382,"")</f>
        <v/>
      </c>
      <c r="I279" s="105" t="str">
        <f>IF(AND('2.报价结算清单'!$P382&gt;0,'2.报价结算清单'!$B382&lt;&gt;0,'2.报价结算清单'!$F382&lt;&gt;0),'2.报价结算清单'!L382,"")</f>
        <v/>
      </c>
      <c r="J279" s="105" t="str">
        <f>IF(AND('2.报价结算清单'!$P382&gt;0,'2.报价结算清单'!$B382&lt;&gt;0,'2.报价结算清单'!I382&lt;&gt;0),'2.报价结算清单'!I382,"")</f>
        <v/>
      </c>
      <c r="K279" s="105" t="str">
        <f>IF(AND('2.报价结算清单'!$P382&gt;0,'2.报价结算清单'!$B382&lt;&gt;0,'2.报价结算清单'!$F382&lt;&gt;0),'2.报价结算清单'!N382,"")</f>
        <v/>
      </c>
      <c r="L279" s="105" t="str">
        <f>IF(AND('2.报价结算清单'!$P382&gt;0,'2.报价结算清单'!$B382&lt;&gt;0,'2.报价结算清单'!I382&lt;&gt;0),"天","")</f>
        <v/>
      </c>
      <c r="M279" s="80" t="str">
        <f t="shared" si="12"/>
        <v/>
      </c>
      <c r="N279" s="78" t="str">
        <f t="shared" si="13"/>
        <v/>
      </c>
      <c r="O279" s="78" t="str">
        <f>IF(AND('2.报价结算清单'!$P382&gt;0,'2.报价结算清单'!$B382&lt;&gt;0,'2.报价结算清单'!S382&lt;&gt;0),'2.报价结算清单'!S382,"")</f>
        <v/>
      </c>
      <c r="P279" s="78" t="str">
        <f>IF(AND('2.报价结算清单'!$P382&gt;0,'2.报价结算清单'!$B382&lt;&gt;0,'2.报价结算清单'!T382&lt;&gt;0),'2.报价结算清单'!T382,"")</f>
        <v/>
      </c>
      <c r="Q279" s="78" t="str">
        <f>IF(F279="",J279,VLOOKUP(F279,框架条目清单!A:K,4,FALSE))</f>
        <v/>
      </c>
      <c r="R279" s="106" t="str">
        <f>IF($A279="","",'2.报价结算清单'!$K$183)</f>
        <v/>
      </c>
      <c r="S279" s="80" t="str">
        <f>IF($A279="","",'2.报价结算清单'!$E$183)</f>
        <v/>
      </c>
      <c r="T279" s="78" t="str">
        <f>IF(F279="","",VLOOKUP(F279,框架条目清单!A:K,7,FALSE))</f>
        <v/>
      </c>
      <c r="U279" s="78" t="str">
        <f>IF(F279="","",VLOOKUP(F279,框架条目清单!A:K,8,FALSE))</f>
        <v/>
      </c>
      <c r="V279" s="78" t="str">
        <f>IF(F279="","",VLOOKUP(F279,框架条目清单!A:K,9,FALSE))</f>
        <v/>
      </c>
    </row>
    <row r="280" spans="1:22">
      <c r="A280" s="78" t="str">
        <f>IF(AND('2.报价结算清单'!$P383&gt;0,'2.报价结算清单'!$B383&lt;&gt;0,'2.报价结算清单'!$F383&lt;&gt;0),'2.报价结算清单'!$F383,"")</f>
        <v/>
      </c>
      <c r="B280" s="78" t="str">
        <f>_xlfn.IFNA(VLOOKUP(A280,'3.框架内物料'!$A:$I,3,0),A280)</f>
        <v/>
      </c>
      <c r="C280" s="78" t="str">
        <f>IF(AND('2.报价结算清单'!$P383&gt;0,'2.报价结算清单'!$B383&lt;&gt;0,'2.报价结算清单'!C383&lt;&gt;0),'2.报价结算清单'!C383,"")</f>
        <v/>
      </c>
      <c r="D280" s="78" t="str">
        <f>IF(AND('2.报价结算清单'!$P383&gt;0,'2.报价结算清单'!$B383&lt;&gt;0,'2.报价结算清单'!D383&lt;&gt;0),'2.报价结算清单'!D383,"")</f>
        <v/>
      </c>
      <c r="E280" s="78" t="str">
        <f>IF(AND('2.报价结算清单'!$P383&gt;0,'2.报价结算清单'!$B383&lt;&gt;0,'2.报价结算清单'!E383&lt;&gt;0),'2.报价结算清单'!E383,"")</f>
        <v/>
      </c>
      <c r="F280" s="105" t="str">
        <f>_xlfn.IFNA(IF($A280="","",IF(VLOOKUP($A280,'3.框架内物料'!$A:$I,2,0)="","",VLOOKUP($A280,'3.框架内物料'!$A:$I,2,0))),"")</f>
        <v/>
      </c>
      <c r="G280" s="87" t="str">
        <f>IF(AND('2.报价结算清单'!$P383&gt;0,'2.报价结算清单'!$B383&lt;&gt;0,'2.报价结算清单'!H383&lt;&gt;0),'2.报价结算清单'!H383,"")</f>
        <v/>
      </c>
      <c r="H280" s="122" t="str">
        <f>IF(AND('2.报价结算清单'!$P383&gt;0,'2.报价结算清单'!$B383&lt;&gt;0,'2.报价结算清单'!$F383&lt;&gt;0),'2.报价结算清单'!J383,"")</f>
        <v/>
      </c>
      <c r="I280" s="105" t="str">
        <f>IF(AND('2.报价结算清单'!$P383&gt;0,'2.报价结算清单'!$B383&lt;&gt;0,'2.报价结算清单'!$F383&lt;&gt;0),'2.报价结算清单'!L383,"")</f>
        <v/>
      </c>
      <c r="J280" s="105" t="str">
        <f>IF(AND('2.报价结算清单'!$P383&gt;0,'2.报价结算清单'!$B383&lt;&gt;0,'2.报价结算清单'!I383&lt;&gt;0),'2.报价结算清单'!I383,"")</f>
        <v/>
      </c>
      <c r="K280" s="105" t="str">
        <f>IF(AND('2.报价结算清单'!$P383&gt;0,'2.报价结算清单'!$B383&lt;&gt;0,'2.报价结算清单'!$F383&lt;&gt;0),'2.报价结算清单'!N383,"")</f>
        <v/>
      </c>
      <c r="L280" s="105" t="str">
        <f>IF(AND('2.报价结算清单'!$P383&gt;0,'2.报价结算清单'!$B383&lt;&gt;0,'2.报价结算清单'!I383&lt;&gt;0),"天","")</f>
        <v/>
      </c>
      <c r="M280" s="80" t="str">
        <f t="shared" si="12"/>
        <v/>
      </c>
      <c r="N280" s="78" t="str">
        <f t="shared" si="13"/>
        <v/>
      </c>
      <c r="O280" s="78" t="str">
        <f>IF(AND('2.报价结算清单'!$P383&gt;0,'2.报价结算清单'!$B383&lt;&gt;0,'2.报价结算清单'!S383&lt;&gt;0),'2.报价结算清单'!S383,"")</f>
        <v/>
      </c>
      <c r="P280" s="78" t="str">
        <f>IF(AND('2.报价结算清单'!$P383&gt;0,'2.报价结算清单'!$B383&lt;&gt;0,'2.报价结算清单'!T383&lt;&gt;0),'2.报价结算清单'!T383,"")</f>
        <v/>
      </c>
      <c r="Q280" s="78" t="str">
        <f>IF(F280="",J280,VLOOKUP(F280,框架条目清单!A:K,4,FALSE))</f>
        <v/>
      </c>
      <c r="R280" s="106" t="str">
        <f>IF($A280="","",'2.报价结算清单'!$K$183)</f>
        <v/>
      </c>
      <c r="S280" s="80" t="str">
        <f>IF($A280="","",'2.报价结算清单'!$E$183)</f>
        <v/>
      </c>
      <c r="T280" s="78" t="str">
        <f>IF(F280="","",VLOOKUP(F280,框架条目清单!A:K,7,FALSE))</f>
        <v/>
      </c>
      <c r="U280" s="78" t="str">
        <f>IF(F280="","",VLOOKUP(F280,框架条目清单!A:K,8,FALSE))</f>
        <v/>
      </c>
      <c r="V280" s="78" t="str">
        <f>IF(F280="","",VLOOKUP(F280,框架条目清单!A:K,9,FALSE))</f>
        <v/>
      </c>
    </row>
    <row r="281" spans="1:22">
      <c r="A281" s="78" t="str">
        <f>IF(AND('2.报价结算清单'!$P384&gt;0,'2.报价结算清单'!$B384&lt;&gt;0,'2.报价结算清单'!$F384&lt;&gt;0),'2.报价结算清单'!$F384,"")</f>
        <v/>
      </c>
      <c r="B281" s="78" t="str">
        <f>_xlfn.IFNA(VLOOKUP(A281,'3.框架内物料'!$A:$I,3,0),A281)</f>
        <v/>
      </c>
      <c r="C281" s="78" t="str">
        <f>IF(AND('2.报价结算清单'!$P384&gt;0,'2.报价结算清单'!$B384&lt;&gt;0,'2.报价结算清单'!C384&lt;&gt;0),'2.报价结算清单'!C384,"")</f>
        <v/>
      </c>
      <c r="D281" s="78" t="str">
        <f>IF(AND('2.报价结算清单'!$P384&gt;0,'2.报价结算清单'!$B384&lt;&gt;0,'2.报价结算清单'!D384&lt;&gt;0),'2.报价结算清单'!D384,"")</f>
        <v/>
      </c>
      <c r="E281" s="78" t="str">
        <f>IF(AND('2.报价结算清单'!$P384&gt;0,'2.报价结算清单'!$B384&lt;&gt;0,'2.报价结算清单'!E384&lt;&gt;0),'2.报价结算清单'!E384,"")</f>
        <v/>
      </c>
      <c r="F281" s="105" t="str">
        <f>_xlfn.IFNA(IF($A281="","",IF(VLOOKUP($A281,'3.框架内物料'!$A:$I,2,0)="","",VLOOKUP($A281,'3.框架内物料'!$A:$I,2,0))),"")</f>
        <v/>
      </c>
      <c r="G281" s="87" t="str">
        <f>IF(AND('2.报价结算清单'!$P384&gt;0,'2.报价结算清单'!$B384&lt;&gt;0,'2.报价结算清单'!H384&lt;&gt;0),'2.报价结算清单'!H384,"")</f>
        <v/>
      </c>
      <c r="H281" s="122" t="str">
        <f>IF(AND('2.报价结算清单'!$P384&gt;0,'2.报价结算清单'!$B384&lt;&gt;0,'2.报价结算清单'!$F384&lt;&gt;0),'2.报价结算清单'!J384,"")</f>
        <v/>
      </c>
      <c r="I281" s="105" t="str">
        <f>IF(AND('2.报价结算清单'!$P384&gt;0,'2.报价结算清单'!$B384&lt;&gt;0,'2.报价结算清单'!$F384&lt;&gt;0),'2.报价结算清单'!L384,"")</f>
        <v/>
      </c>
      <c r="J281" s="105" t="str">
        <f>IF(AND('2.报价结算清单'!$P384&gt;0,'2.报价结算清单'!$B384&lt;&gt;0,'2.报价结算清单'!I384&lt;&gt;0),'2.报价结算清单'!I384,"")</f>
        <v/>
      </c>
      <c r="K281" s="105" t="str">
        <f>IF(AND('2.报价结算清单'!$P384&gt;0,'2.报价结算清单'!$B384&lt;&gt;0,'2.报价结算清单'!$F384&lt;&gt;0),'2.报价结算清单'!N384,"")</f>
        <v/>
      </c>
      <c r="L281" s="105" t="str">
        <f>IF(AND('2.报价结算清单'!$P384&gt;0,'2.报价结算清单'!$B384&lt;&gt;0,'2.报价结算清单'!I384&lt;&gt;0),"天","")</f>
        <v/>
      </c>
      <c r="M281" s="80" t="str">
        <f t="shared" si="12"/>
        <v/>
      </c>
      <c r="N281" s="78" t="str">
        <f t="shared" si="13"/>
        <v/>
      </c>
      <c r="O281" s="78" t="str">
        <f>IF(AND('2.报价结算清单'!$P384&gt;0,'2.报价结算清单'!$B384&lt;&gt;0,'2.报价结算清单'!S384&lt;&gt;0),'2.报价结算清单'!S384,"")</f>
        <v/>
      </c>
      <c r="P281" s="78" t="str">
        <f>IF(AND('2.报价结算清单'!$P384&gt;0,'2.报价结算清单'!$B384&lt;&gt;0,'2.报价结算清单'!T384&lt;&gt;0),'2.报价结算清单'!T384,"")</f>
        <v/>
      </c>
      <c r="Q281" s="78" t="str">
        <f>IF(F281="",J281,VLOOKUP(F281,框架条目清单!A:K,4,FALSE))</f>
        <v/>
      </c>
      <c r="R281" s="106" t="str">
        <f>IF($A281="","",'2.报价结算清单'!$K$183)</f>
        <v/>
      </c>
      <c r="S281" s="80" t="str">
        <f>IF($A281="","",'2.报价结算清单'!$E$183)</f>
        <v/>
      </c>
      <c r="T281" s="78" t="str">
        <f>IF(F281="","",VLOOKUP(F281,框架条目清单!A:K,7,FALSE))</f>
        <v/>
      </c>
      <c r="U281" s="78" t="str">
        <f>IF(F281="","",VLOOKUP(F281,框架条目清单!A:K,8,FALSE))</f>
        <v/>
      </c>
      <c r="V281" s="78" t="str">
        <f>IF(F281="","",VLOOKUP(F281,框架条目清单!A:K,9,FALSE))</f>
        <v/>
      </c>
    </row>
    <row r="282" spans="1:22">
      <c r="A282" s="78" t="str">
        <f>IF(AND('2.报价结算清单'!$P385&gt;0,'2.报价结算清单'!$B385&lt;&gt;0,'2.报价结算清单'!$F385&lt;&gt;0),'2.报价结算清单'!$F385,"")</f>
        <v/>
      </c>
      <c r="B282" s="78" t="str">
        <f>_xlfn.IFNA(VLOOKUP(A282,'3.框架内物料'!$A:$I,3,0),A282)</f>
        <v/>
      </c>
      <c r="C282" s="78" t="str">
        <f>IF(AND('2.报价结算清单'!$P385&gt;0,'2.报价结算清单'!$B385&lt;&gt;0,'2.报价结算清单'!C385&lt;&gt;0),'2.报价结算清单'!C385,"")</f>
        <v/>
      </c>
      <c r="D282" s="78" t="str">
        <f>IF(AND('2.报价结算清单'!$P385&gt;0,'2.报价结算清单'!$B385&lt;&gt;0,'2.报价结算清单'!D385&lt;&gt;0),'2.报价结算清单'!D385,"")</f>
        <v/>
      </c>
      <c r="E282" s="78" t="str">
        <f>IF(AND('2.报价结算清单'!$P385&gt;0,'2.报价结算清单'!$B385&lt;&gt;0,'2.报价结算清单'!E385&lt;&gt;0),'2.报价结算清单'!E385,"")</f>
        <v/>
      </c>
      <c r="F282" s="105" t="str">
        <f>_xlfn.IFNA(IF($A282="","",IF(VLOOKUP($A282,'3.框架内物料'!$A:$I,2,0)="","",VLOOKUP($A282,'3.框架内物料'!$A:$I,2,0))),"")</f>
        <v/>
      </c>
      <c r="G282" s="87" t="str">
        <f>IF(AND('2.报价结算清单'!$P385&gt;0,'2.报价结算清单'!$B385&lt;&gt;0,'2.报价结算清单'!H385&lt;&gt;0),'2.报价结算清单'!H385,"")</f>
        <v/>
      </c>
      <c r="H282" s="122" t="str">
        <f>IF(AND('2.报价结算清单'!$P385&gt;0,'2.报价结算清单'!$B385&lt;&gt;0,'2.报价结算清单'!$F385&lt;&gt;0),'2.报价结算清单'!J385,"")</f>
        <v/>
      </c>
      <c r="I282" s="105" t="str">
        <f>IF(AND('2.报价结算清单'!$P385&gt;0,'2.报价结算清单'!$B385&lt;&gt;0,'2.报价结算清单'!$F385&lt;&gt;0),'2.报价结算清单'!L385,"")</f>
        <v/>
      </c>
      <c r="J282" s="105" t="str">
        <f>IF(AND('2.报价结算清单'!$P385&gt;0,'2.报价结算清单'!$B385&lt;&gt;0,'2.报价结算清单'!I385&lt;&gt;0),'2.报价结算清单'!I385,"")</f>
        <v/>
      </c>
      <c r="K282" s="105" t="str">
        <f>IF(AND('2.报价结算清单'!$P385&gt;0,'2.报价结算清单'!$B385&lt;&gt;0,'2.报价结算清单'!$F385&lt;&gt;0),'2.报价结算清单'!N385,"")</f>
        <v/>
      </c>
      <c r="L282" s="105" t="str">
        <f>IF(AND('2.报价结算清单'!$P385&gt;0,'2.报价结算清单'!$B385&lt;&gt;0,'2.报价结算清单'!I385&lt;&gt;0),"天","")</f>
        <v/>
      </c>
      <c r="M282" s="80" t="str">
        <f t="shared" si="12"/>
        <v/>
      </c>
      <c r="N282" s="78" t="str">
        <f t="shared" si="13"/>
        <v/>
      </c>
      <c r="O282" s="78" t="str">
        <f>IF(AND('2.报价结算清单'!$P385&gt;0,'2.报价结算清单'!$B385&lt;&gt;0,'2.报价结算清单'!S385&lt;&gt;0),'2.报价结算清单'!S385,"")</f>
        <v/>
      </c>
      <c r="P282" s="78" t="str">
        <f>IF(AND('2.报价结算清单'!$P385&gt;0,'2.报价结算清单'!$B385&lt;&gt;0,'2.报价结算清单'!T385&lt;&gt;0),'2.报价结算清单'!T385,"")</f>
        <v/>
      </c>
      <c r="Q282" s="78" t="str">
        <f>IF(F282="",J282,VLOOKUP(F282,框架条目清单!A:K,4,FALSE))</f>
        <v/>
      </c>
      <c r="R282" s="106" t="str">
        <f>IF($A282="","",'2.报价结算清单'!$K$183)</f>
        <v/>
      </c>
      <c r="S282" s="80" t="str">
        <f>IF($A282="","",'2.报价结算清单'!$E$183)</f>
        <v/>
      </c>
      <c r="T282" s="78" t="str">
        <f>IF(F282="","",VLOOKUP(F282,框架条目清单!A:K,7,FALSE))</f>
        <v/>
      </c>
      <c r="U282" s="78" t="str">
        <f>IF(F282="","",VLOOKUP(F282,框架条目清单!A:K,8,FALSE))</f>
        <v/>
      </c>
      <c r="V282" s="78" t="str">
        <f>IF(F282="","",VLOOKUP(F282,框架条目清单!A:K,9,FALSE))</f>
        <v/>
      </c>
    </row>
    <row r="283" spans="1:22">
      <c r="A283" s="78" t="str">
        <f>IF(AND('2.报价结算清单'!$P386&gt;0,'2.报价结算清单'!$B386&lt;&gt;0,'2.报价结算清单'!$F386&lt;&gt;0),'2.报价结算清单'!$F386,"")</f>
        <v/>
      </c>
      <c r="B283" s="78" t="str">
        <f>_xlfn.IFNA(VLOOKUP(A283,'3.框架内物料'!$A:$I,3,0),A283)</f>
        <v/>
      </c>
      <c r="C283" s="78" t="str">
        <f>IF(AND('2.报价结算清单'!$P386&gt;0,'2.报价结算清单'!$B386&lt;&gt;0,'2.报价结算清单'!C386&lt;&gt;0),'2.报价结算清单'!C386,"")</f>
        <v/>
      </c>
      <c r="D283" s="78" t="str">
        <f>IF(AND('2.报价结算清单'!$P386&gt;0,'2.报价结算清单'!$B386&lt;&gt;0,'2.报价结算清单'!D386&lt;&gt;0),'2.报价结算清单'!D386,"")</f>
        <v/>
      </c>
      <c r="E283" s="78" t="str">
        <f>IF(AND('2.报价结算清单'!$P386&gt;0,'2.报价结算清单'!$B386&lt;&gt;0,'2.报价结算清单'!E386&lt;&gt;0),'2.报价结算清单'!E386,"")</f>
        <v/>
      </c>
      <c r="F283" s="105" t="str">
        <f>_xlfn.IFNA(IF($A283="","",IF(VLOOKUP($A283,'3.框架内物料'!$A:$I,2,0)="","",VLOOKUP($A283,'3.框架内物料'!$A:$I,2,0))),"")</f>
        <v/>
      </c>
      <c r="G283" s="87" t="str">
        <f>IF(AND('2.报价结算清单'!$P386&gt;0,'2.报价结算清单'!$B386&lt;&gt;0,'2.报价结算清单'!H386&lt;&gt;0),'2.报价结算清单'!H386,"")</f>
        <v/>
      </c>
      <c r="H283" s="122" t="str">
        <f>IF(AND('2.报价结算清单'!$P386&gt;0,'2.报价结算清单'!$B386&lt;&gt;0,'2.报价结算清单'!$F386&lt;&gt;0),'2.报价结算清单'!J386,"")</f>
        <v/>
      </c>
      <c r="I283" s="105" t="str">
        <f>IF(AND('2.报价结算清单'!$P386&gt;0,'2.报价结算清单'!$B386&lt;&gt;0,'2.报价结算清单'!$F386&lt;&gt;0),'2.报价结算清单'!L386,"")</f>
        <v/>
      </c>
      <c r="J283" s="105" t="str">
        <f>IF(AND('2.报价结算清单'!$P386&gt;0,'2.报价结算清单'!$B386&lt;&gt;0,'2.报价结算清单'!I386&lt;&gt;0),'2.报价结算清单'!I386,"")</f>
        <v/>
      </c>
      <c r="K283" s="105" t="str">
        <f>IF(AND('2.报价结算清单'!$P386&gt;0,'2.报价结算清单'!$B386&lt;&gt;0,'2.报价结算清单'!$F386&lt;&gt;0),'2.报价结算清单'!N386,"")</f>
        <v/>
      </c>
      <c r="L283" s="105" t="str">
        <f>IF(AND('2.报价结算清单'!$P386&gt;0,'2.报价结算清单'!$B386&lt;&gt;0,'2.报价结算清单'!I386&lt;&gt;0),"天","")</f>
        <v/>
      </c>
      <c r="M283" s="80" t="str">
        <f t="shared" si="12"/>
        <v/>
      </c>
      <c r="N283" s="78" t="str">
        <f t="shared" si="13"/>
        <v/>
      </c>
      <c r="O283" s="78" t="str">
        <f>IF(AND('2.报价结算清单'!$P386&gt;0,'2.报价结算清单'!$B386&lt;&gt;0,'2.报价结算清单'!S386&lt;&gt;0),'2.报价结算清单'!S386,"")</f>
        <v/>
      </c>
      <c r="P283" s="78" t="str">
        <f>IF(AND('2.报价结算清单'!$P386&gt;0,'2.报价结算清单'!$B386&lt;&gt;0,'2.报价结算清单'!T386&lt;&gt;0),'2.报价结算清单'!T386,"")</f>
        <v/>
      </c>
      <c r="Q283" s="78" t="str">
        <f>IF(F283="",J283,VLOOKUP(F283,框架条目清单!A:K,4,FALSE))</f>
        <v/>
      </c>
      <c r="R283" s="106" t="str">
        <f>IF($A283="","",'2.报价结算清单'!$K$183)</f>
        <v/>
      </c>
      <c r="S283" s="80" t="str">
        <f>IF($A283="","",'2.报价结算清单'!$E$183)</f>
        <v/>
      </c>
      <c r="T283" s="78" t="str">
        <f>IF(F283="","",VLOOKUP(F283,框架条目清单!A:K,7,FALSE))</f>
        <v/>
      </c>
      <c r="U283" s="78" t="str">
        <f>IF(F283="","",VLOOKUP(F283,框架条目清单!A:K,8,FALSE))</f>
        <v/>
      </c>
      <c r="V283" s="78" t="str">
        <f>IF(F283="","",VLOOKUP(F283,框架条目清单!A:K,9,FALSE))</f>
        <v/>
      </c>
    </row>
    <row r="284" spans="1:22">
      <c r="A284" s="78" t="str">
        <f>IF(AND('2.报价结算清单'!$P387&gt;0,'2.报价结算清单'!$B387&lt;&gt;0,'2.报价结算清单'!$F387&lt;&gt;0),'2.报价结算清单'!$F387,"")</f>
        <v/>
      </c>
      <c r="B284" s="78" t="str">
        <f>_xlfn.IFNA(VLOOKUP(A284,'3.框架内物料'!$A:$I,3,0),A284)</f>
        <v/>
      </c>
      <c r="C284" s="78" t="str">
        <f>IF(AND('2.报价结算清单'!$P387&gt;0,'2.报价结算清单'!$B387&lt;&gt;0,'2.报价结算清单'!C387&lt;&gt;0),'2.报价结算清单'!C387,"")</f>
        <v/>
      </c>
      <c r="D284" s="78" t="str">
        <f>IF(AND('2.报价结算清单'!$P387&gt;0,'2.报价结算清单'!$B387&lt;&gt;0,'2.报价结算清单'!D387&lt;&gt;0),'2.报价结算清单'!D387,"")</f>
        <v/>
      </c>
      <c r="E284" s="78" t="str">
        <f>IF(AND('2.报价结算清单'!$P387&gt;0,'2.报价结算清单'!$B387&lt;&gt;0,'2.报价结算清单'!E387&lt;&gt;0),'2.报价结算清单'!E387,"")</f>
        <v/>
      </c>
      <c r="F284" s="105" t="str">
        <f>_xlfn.IFNA(IF($A284="","",IF(VLOOKUP($A284,'3.框架内物料'!$A:$I,2,0)="","",VLOOKUP($A284,'3.框架内物料'!$A:$I,2,0))),"")</f>
        <v/>
      </c>
      <c r="G284" s="87" t="str">
        <f>IF(AND('2.报价结算清单'!$P387&gt;0,'2.报价结算清单'!$B387&lt;&gt;0,'2.报价结算清单'!H387&lt;&gt;0),'2.报价结算清单'!H387,"")</f>
        <v/>
      </c>
      <c r="H284" s="122" t="str">
        <f>IF(AND('2.报价结算清单'!$P387&gt;0,'2.报价结算清单'!$B387&lt;&gt;0,'2.报价结算清单'!$F387&lt;&gt;0),'2.报价结算清单'!J387,"")</f>
        <v/>
      </c>
      <c r="I284" s="105" t="str">
        <f>IF(AND('2.报价结算清单'!$P387&gt;0,'2.报价结算清单'!$B387&lt;&gt;0,'2.报价结算清单'!$F387&lt;&gt;0),'2.报价结算清单'!L387,"")</f>
        <v/>
      </c>
      <c r="J284" s="105" t="str">
        <f>IF(AND('2.报价结算清单'!$P387&gt;0,'2.报价结算清单'!$B387&lt;&gt;0,'2.报价结算清单'!I387&lt;&gt;0),'2.报价结算清单'!I387,"")</f>
        <v/>
      </c>
      <c r="K284" s="105" t="str">
        <f>IF(AND('2.报价结算清单'!$P387&gt;0,'2.报价结算清单'!$B387&lt;&gt;0,'2.报价结算清单'!$F387&lt;&gt;0),'2.报价结算清单'!N387,"")</f>
        <v/>
      </c>
      <c r="L284" s="105" t="str">
        <f>IF(AND('2.报价结算清单'!$P387&gt;0,'2.报价结算清单'!$B387&lt;&gt;0,'2.报价结算清单'!I387&lt;&gt;0),"天","")</f>
        <v/>
      </c>
      <c r="M284" s="80" t="str">
        <f t="shared" si="12"/>
        <v/>
      </c>
      <c r="N284" s="78" t="str">
        <f t="shared" si="13"/>
        <v/>
      </c>
      <c r="O284" s="78" t="str">
        <f>IF(AND('2.报价结算清单'!$P387&gt;0,'2.报价结算清单'!$B387&lt;&gt;0,'2.报价结算清单'!S387&lt;&gt;0),'2.报价结算清单'!S387,"")</f>
        <v/>
      </c>
      <c r="P284" s="78" t="str">
        <f>IF(AND('2.报价结算清单'!$P387&gt;0,'2.报价结算清单'!$B387&lt;&gt;0,'2.报价结算清单'!T387&lt;&gt;0),'2.报价结算清单'!T387,"")</f>
        <v/>
      </c>
      <c r="Q284" s="78" t="str">
        <f>IF(F284="",J284,VLOOKUP(F284,框架条目清单!A:K,4,FALSE))</f>
        <v/>
      </c>
      <c r="R284" s="106" t="str">
        <f>IF($A284="","",'2.报价结算清单'!$K$183)</f>
        <v/>
      </c>
      <c r="S284" s="80" t="str">
        <f>IF($A284="","",'2.报价结算清单'!$E$183)</f>
        <v/>
      </c>
      <c r="T284" s="78" t="str">
        <f>IF(F284="","",VLOOKUP(F284,框架条目清单!A:K,7,FALSE))</f>
        <v/>
      </c>
      <c r="U284" s="78" t="str">
        <f>IF(F284="","",VLOOKUP(F284,框架条目清单!A:K,8,FALSE))</f>
        <v/>
      </c>
      <c r="V284" s="78" t="str">
        <f>IF(F284="","",VLOOKUP(F284,框架条目清单!A:K,9,FALSE))</f>
        <v/>
      </c>
    </row>
    <row r="285" spans="1:22">
      <c r="A285" s="78" t="str">
        <f>IF(AND('2.报价结算清单'!$P388&gt;0,'2.报价结算清单'!$B388&lt;&gt;0,'2.报价结算清单'!$F388&lt;&gt;0),'2.报价结算清单'!$F388,"")</f>
        <v/>
      </c>
      <c r="B285" s="78" t="str">
        <f>_xlfn.IFNA(VLOOKUP(A285,'3.框架内物料'!$A:$I,3,0),A285)</f>
        <v/>
      </c>
      <c r="C285" s="78" t="str">
        <f>IF(AND('2.报价结算清单'!$P388&gt;0,'2.报价结算清单'!$B388&lt;&gt;0,'2.报价结算清单'!C388&lt;&gt;0),'2.报价结算清单'!C388,"")</f>
        <v/>
      </c>
      <c r="D285" s="78" t="str">
        <f>IF(AND('2.报价结算清单'!$P388&gt;0,'2.报价结算清单'!$B388&lt;&gt;0,'2.报价结算清单'!D388&lt;&gt;0),'2.报价结算清单'!D388,"")</f>
        <v/>
      </c>
      <c r="E285" s="78" t="str">
        <f>IF(AND('2.报价结算清单'!$P388&gt;0,'2.报价结算清单'!$B388&lt;&gt;0,'2.报价结算清单'!E388&lt;&gt;0),'2.报价结算清单'!E388,"")</f>
        <v/>
      </c>
      <c r="F285" s="105" t="str">
        <f>_xlfn.IFNA(IF($A285="","",IF(VLOOKUP($A285,'3.框架内物料'!$A:$I,2,0)="","",VLOOKUP($A285,'3.框架内物料'!$A:$I,2,0))),"")</f>
        <v/>
      </c>
      <c r="G285" s="87" t="str">
        <f>IF(AND('2.报价结算清单'!$P388&gt;0,'2.报价结算清单'!$B388&lt;&gt;0,'2.报价结算清单'!H388&lt;&gt;0),'2.报价结算清单'!H388,"")</f>
        <v/>
      </c>
      <c r="H285" s="122" t="str">
        <f>IF(AND('2.报价结算清单'!$P388&gt;0,'2.报价结算清单'!$B388&lt;&gt;0,'2.报价结算清单'!$F388&lt;&gt;0),'2.报价结算清单'!J388,"")</f>
        <v/>
      </c>
      <c r="I285" s="105" t="str">
        <f>IF(AND('2.报价结算清单'!$P388&gt;0,'2.报价结算清单'!$B388&lt;&gt;0,'2.报价结算清单'!$F388&lt;&gt;0),'2.报价结算清单'!L388,"")</f>
        <v/>
      </c>
      <c r="J285" s="105" t="str">
        <f>IF(AND('2.报价结算清单'!$P388&gt;0,'2.报价结算清单'!$B388&lt;&gt;0,'2.报价结算清单'!I388&lt;&gt;0),'2.报价结算清单'!I388,"")</f>
        <v/>
      </c>
      <c r="K285" s="105" t="str">
        <f>IF(AND('2.报价结算清单'!$P388&gt;0,'2.报价结算清单'!$B388&lt;&gt;0,'2.报价结算清单'!$F388&lt;&gt;0),'2.报价结算清单'!N388,"")</f>
        <v/>
      </c>
      <c r="L285" s="105" t="str">
        <f>IF(AND('2.报价结算清单'!$P388&gt;0,'2.报价结算清单'!$B388&lt;&gt;0,'2.报价结算清单'!I388&lt;&gt;0),"天","")</f>
        <v/>
      </c>
      <c r="M285" s="80" t="str">
        <f t="shared" si="12"/>
        <v/>
      </c>
      <c r="N285" s="78" t="str">
        <f t="shared" si="13"/>
        <v/>
      </c>
      <c r="O285" s="78" t="str">
        <f>IF(AND('2.报价结算清单'!$P388&gt;0,'2.报价结算清单'!$B388&lt;&gt;0,'2.报价结算清单'!S388&lt;&gt;0),'2.报价结算清单'!S388,"")</f>
        <v/>
      </c>
      <c r="P285" s="78" t="str">
        <f>IF(AND('2.报价结算清单'!$P388&gt;0,'2.报价结算清单'!$B388&lt;&gt;0,'2.报价结算清单'!T388&lt;&gt;0),'2.报价结算清单'!T388,"")</f>
        <v/>
      </c>
      <c r="Q285" s="78" t="str">
        <f>IF(F285="",J285,VLOOKUP(F285,框架条目清单!A:K,4,FALSE))</f>
        <v/>
      </c>
      <c r="R285" s="106" t="str">
        <f>IF($A285="","",'2.报价结算清单'!$K$183)</f>
        <v/>
      </c>
      <c r="S285" s="80" t="str">
        <f>IF($A285="","",'2.报价结算清单'!$E$183)</f>
        <v/>
      </c>
      <c r="T285" s="78" t="str">
        <f>IF(F285="","",VLOOKUP(F285,框架条目清单!A:K,7,FALSE))</f>
        <v/>
      </c>
      <c r="U285" s="78" t="str">
        <f>IF(F285="","",VLOOKUP(F285,框架条目清单!A:K,8,FALSE))</f>
        <v/>
      </c>
      <c r="V285" s="78" t="str">
        <f>IF(F285="","",VLOOKUP(F285,框架条目清单!A:K,9,FALSE))</f>
        <v/>
      </c>
    </row>
    <row r="286" spans="1:22">
      <c r="A286" s="78" t="str">
        <f>IF(AND('2.报价结算清单'!$P389&gt;0,'2.报价结算清单'!$B389&lt;&gt;0,'2.报价结算清单'!$F389&lt;&gt;0),'2.报价结算清单'!$F389,"")</f>
        <v/>
      </c>
      <c r="B286" s="78" t="str">
        <f>_xlfn.IFNA(VLOOKUP(A286,'3.框架内物料'!$A:$I,3,0),A286)</f>
        <v/>
      </c>
      <c r="C286" s="78" t="str">
        <f>IF(AND('2.报价结算清单'!$P389&gt;0,'2.报价结算清单'!$B389&lt;&gt;0,'2.报价结算清单'!C389&lt;&gt;0),'2.报价结算清单'!C389,"")</f>
        <v/>
      </c>
      <c r="D286" s="78" t="str">
        <f>IF(AND('2.报价结算清单'!$P389&gt;0,'2.报价结算清单'!$B389&lt;&gt;0,'2.报价结算清单'!D389&lt;&gt;0),'2.报价结算清单'!D389,"")</f>
        <v/>
      </c>
      <c r="E286" s="78" t="str">
        <f>IF(AND('2.报价结算清单'!$P389&gt;0,'2.报价结算清单'!$B389&lt;&gt;0,'2.报价结算清单'!E389&lt;&gt;0),'2.报价结算清单'!E389,"")</f>
        <v/>
      </c>
      <c r="F286" s="105" t="str">
        <f>_xlfn.IFNA(IF($A286="","",IF(VLOOKUP($A286,'3.框架内物料'!$A:$I,2,0)="","",VLOOKUP($A286,'3.框架内物料'!$A:$I,2,0))),"")</f>
        <v/>
      </c>
      <c r="G286" s="87" t="str">
        <f>IF(AND('2.报价结算清单'!$P389&gt;0,'2.报价结算清单'!$B389&lt;&gt;0,'2.报价结算清单'!H389&lt;&gt;0),'2.报价结算清单'!H389,"")</f>
        <v/>
      </c>
      <c r="H286" s="122" t="str">
        <f>IF(AND('2.报价结算清单'!$P389&gt;0,'2.报价结算清单'!$B389&lt;&gt;0,'2.报价结算清单'!$F389&lt;&gt;0),'2.报价结算清单'!J389,"")</f>
        <v/>
      </c>
      <c r="I286" s="105" t="str">
        <f>IF(AND('2.报价结算清单'!$P389&gt;0,'2.报价结算清单'!$B389&lt;&gt;0,'2.报价结算清单'!$F389&lt;&gt;0),'2.报价结算清单'!L389,"")</f>
        <v/>
      </c>
      <c r="J286" s="105" t="str">
        <f>IF(AND('2.报价结算清单'!$P389&gt;0,'2.报价结算清单'!$B389&lt;&gt;0,'2.报价结算清单'!I389&lt;&gt;0),'2.报价结算清单'!I389,"")</f>
        <v/>
      </c>
      <c r="K286" s="105" t="str">
        <f>IF(AND('2.报价结算清单'!$P389&gt;0,'2.报价结算清单'!$B389&lt;&gt;0,'2.报价结算清单'!$F389&lt;&gt;0),'2.报价结算清单'!N389,"")</f>
        <v/>
      </c>
      <c r="L286" s="105" t="str">
        <f>IF(AND('2.报价结算清单'!$P389&gt;0,'2.报价结算清单'!$B389&lt;&gt;0,'2.报价结算清单'!I389&lt;&gt;0),"天","")</f>
        <v/>
      </c>
      <c r="M286" s="80" t="str">
        <f t="shared" si="12"/>
        <v/>
      </c>
      <c r="N286" s="78" t="str">
        <f t="shared" si="13"/>
        <v/>
      </c>
      <c r="O286" s="78" t="str">
        <f>IF(AND('2.报价结算清单'!$P389&gt;0,'2.报价结算清单'!$B389&lt;&gt;0,'2.报价结算清单'!S389&lt;&gt;0),'2.报价结算清单'!S389,"")</f>
        <v/>
      </c>
      <c r="P286" s="78" t="str">
        <f>IF(AND('2.报价结算清单'!$P389&gt;0,'2.报价结算清单'!$B389&lt;&gt;0,'2.报价结算清单'!T389&lt;&gt;0),'2.报价结算清单'!T389,"")</f>
        <v/>
      </c>
      <c r="Q286" s="78" t="str">
        <f>IF(F286="",J286,VLOOKUP(F286,框架条目清单!A:K,4,FALSE))</f>
        <v/>
      </c>
      <c r="R286" s="106" t="str">
        <f>IF($A286="","",'2.报价结算清单'!$K$183)</f>
        <v/>
      </c>
      <c r="S286" s="80" t="str">
        <f>IF($A286="","",'2.报价结算清单'!$E$183)</f>
        <v/>
      </c>
      <c r="T286" s="78" t="str">
        <f>IF(F286="","",VLOOKUP(F286,框架条目清单!A:K,7,FALSE))</f>
        <v/>
      </c>
      <c r="U286" s="78" t="str">
        <f>IF(F286="","",VLOOKUP(F286,框架条目清单!A:K,8,FALSE))</f>
        <v/>
      </c>
      <c r="V286" s="78" t="str">
        <f>IF(F286="","",VLOOKUP(F286,框架条目清单!A:K,9,FALSE))</f>
        <v/>
      </c>
    </row>
    <row r="287" spans="1:22">
      <c r="A287" s="78" t="str">
        <f>IF(AND('2.报价结算清单'!$P390&gt;0,'2.报价结算清单'!$B390&lt;&gt;0,'2.报价结算清单'!$F390&lt;&gt;0),'2.报价结算清单'!$F390,"")</f>
        <v/>
      </c>
      <c r="B287" s="78" t="str">
        <f>_xlfn.IFNA(VLOOKUP(A287,'3.框架内物料'!$A:$I,3,0),A287)</f>
        <v/>
      </c>
      <c r="C287" s="78" t="str">
        <f>IF(AND('2.报价结算清单'!$P390&gt;0,'2.报价结算清单'!$B390&lt;&gt;0,'2.报价结算清单'!C390&lt;&gt;0),'2.报价结算清单'!C390,"")</f>
        <v/>
      </c>
      <c r="D287" s="78" t="str">
        <f>IF(AND('2.报价结算清单'!$P390&gt;0,'2.报价结算清单'!$B390&lt;&gt;0,'2.报价结算清单'!D390&lt;&gt;0),'2.报价结算清单'!D390,"")</f>
        <v/>
      </c>
      <c r="E287" s="78" t="str">
        <f>IF(AND('2.报价结算清单'!$P390&gt;0,'2.报价结算清单'!$B390&lt;&gt;0,'2.报价结算清单'!E390&lt;&gt;0),'2.报价结算清单'!E390,"")</f>
        <v/>
      </c>
      <c r="F287" s="105" t="str">
        <f>_xlfn.IFNA(IF($A287="","",IF(VLOOKUP($A287,'3.框架内物料'!$A:$I,2,0)="","",VLOOKUP($A287,'3.框架内物料'!$A:$I,2,0))),"")</f>
        <v/>
      </c>
      <c r="G287" s="87" t="str">
        <f>IF(AND('2.报价结算清单'!$P390&gt;0,'2.报价结算清单'!$B390&lt;&gt;0,'2.报价结算清单'!H390&lt;&gt;0),'2.报价结算清单'!H390,"")</f>
        <v/>
      </c>
      <c r="H287" s="122" t="str">
        <f>IF(AND('2.报价结算清单'!$P390&gt;0,'2.报价结算清单'!$B390&lt;&gt;0,'2.报价结算清单'!$F390&lt;&gt;0),'2.报价结算清单'!J390,"")</f>
        <v/>
      </c>
      <c r="I287" s="105" t="str">
        <f>IF(AND('2.报价结算清单'!$P390&gt;0,'2.报价结算清单'!$B390&lt;&gt;0,'2.报价结算清单'!$F390&lt;&gt;0),'2.报价结算清单'!L390,"")</f>
        <v/>
      </c>
      <c r="J287" s="105" t="str">
        <f>IF(AND('2.报价结算清单'!$P390&gt;0,'2.报价结算清单'!$B390&lt;&gt;0,'2.报价结算清单'!I390&lt;&gt;0),'2.报价结算清单'!I390,"")</f>
        <v/>
      </c>
      <c r="K287" s="105" t="str">
        <f>IF(AND('2.报价结算清单'!$P390&gt;0,'2.报价结算清单'!$B390&lt;&gt;0,'2.报价结算清单'!$F390&lt;&gt;0),'2.报价结算清单'!N390,"")</f>
        <v/>
      </c>
      <c r="L287" s="105" t="str">
        <f>IF(AND('2.报价结算清单'!$P390&gt;0,'2.报价结算清单'!$B390&lt;&gt;0,'2.报价结算清单'!I390&lt;&gt;0),"天","")</f>
        <v/>
      </c>
      <c r="M287" s="80" t="str">
        <f t="shared" si="12"/>
        <v/>
      </c>
      <c r="N287" s="78" t="str">
        <f t="shared" si="13"/>
        <v/>
      </c>
      <c r="O287" s="78" t="str">
        <f>IF(AND('2.报价结算清单'!$P390&gt;0,'2.报价结算清单'!$B390&lt;&gt;0,'2.报价结算清单'!S390&lt;&gt;0),'2.报价结算清单'!S390,"")</f>
        <v/>
      </c>
      <c r="P287" s="78" t="str">
        <f>IF(AND('2.报价结算清单'!$P390&gt;0,'2.报价结算清单'!$B390&lt;&gt;0,'2.报价结算清单'!T390&lt;&gt;0),'2.报价结算清单'!T390,"")</f>
        <v/>
      </c>
      <c r="Q287" s="78" t="str">
        <f>IF(F287="",J287,VLOOKUP(F287,框架条目清单!A:K,4,FALSE))</f>
        <v/>
      </c>
      <c r="R287" s="106" t="str">
        <f>IF($A287="","",'2.报价结算清单'!$K$183)</f>
        <v/>
      </c>
      <c r="S287" s="80" t="str">
        <f>IF($A287="","",'2.报价结算清单'!$E$183)</f>
        <v/>
      </c>
      <c r="T287" s="78" t="str">
        <f>IF(F287="","",VLOOKUP(F287,框架条目清单!A:K,7,FALSE))</f>
        <v/>
      </c>
      <c r="U287" s="78" t="str">
        <f>IF(F287="","",VLOOKUP(F287,框架条目清单!A:K,8,FALSE))</f>
        <v/>
      </c>
      <c r="V287" s="78" t="str">
        <f>IF(F287="","",VLOOKUP(F287,框架条目清单!A:K,9,FALSE))</f>
        <v/>
      </c>
    </row>
    <row r="288" spans="1:22">
      <c r="A288" s="78" t="str">
        <f>IF(AND('2.报价结算清单'!$P391&gt;0,'2.报价结算清单'!$B391&lt;&gt;0,'2.报价结算清单'!$F391&lt;&gt;0),'2.报价结算清单'!$F391,"")</f>
        <v/>
      </c>
      <c r="B288" s="78" t="str">
        <f>_xlfn.IFNA(VLOOKUP(A288,'3.框架内物料'!$A:$I,3,0),A288)</f>
        <v/>
      </c>
      <c r="C288" s="78" t="str">
        <f>IF(AND('2.报价结算清单'!$P391&gt;0,'2.报价结算清单'!$B391&lt;&gt;0,'2.报价结算清单'!C391&lt;&gt;0),'2.报价结算清单'!C391,"")</f>
        <v/>
      </c>
      <c r="D288" s="78" t="str">
        <f>IF(AND('2.报价结算清单'!$P391&gt;0,'2.报价结算清单'!$B391&lt;&gt;0,'2.报价结算清单'!D391&lt;&gt;0),'2.报价结算清单'!D391,"")</f>
        <v/>
      </c>
      <c r="E288" s="78" t="str">
        <f>IF(AND('2.报价结算清单'!$P391&gt;0,'2.报价结算清单'!$B391&lt;&gt;0,'2.报价结算清单'!E391&lt;&gt;0),'2.报价结算清单'!E391,"")</f>
        <v/>
      </c>
      <c r="F288" s="105" t="str">
        <f>_xlfn.IFNA(IF($A288="","",IF(VLOOKUP($A288,'3.框架内物料'!$A:$I,2,0)="","",VLOOKUP($A288,'3.框架内物料'!$A:$I,2,0))),"")</f>
        <v/>
      </c>
      <c r="G288" s="87" t="str">
        <f>IF(AND('2.报价结算清单'!$P391&gt;0,'2.报价结算清单'!$B391&lt;&gt;0,'2.报价结算清单'!H391&lt;&gt;0),'2.报价结算清单'!H391,"")</f>
        <v/>
      </c>
      <c r="H288" s="122" t="str">
        <f>IF(AND('2.报价结算清单'!$P391&gt;0,'2.报价结算清单'!$B391&lt;&gt;0,'2.报价结算清单'!$F391&lt;&gt;0),'2.报价结算清单'!J391,"")</f>
        <v/>
      </c>
      <c r="I288" s="105" t="str">
        <f>IF(AND('2.报价结算清单'!$P391&gt;0,'2.报价结算清单'!$B391&lt;&gt;0,'2.报价结算清单'!$F391&lt;&gt;0),'2.报价结算清单'!L391,"")</f>
        <v/>
      </c>
      <c r="J288" s="105" t="str">
        <f>IF(AND('2.报价结算清单'!$P391&gt;0,'2.报价结算清单'!$B391&lt;&gt;0,'2.报价结算清单'!I391&lt;&gt;0),'2.报价结算清单'!I391,"")</f>
        <v/>
      </c>
      <c r="K288" s="105" t="str">
        <f>IF(AND('2.报价结算清单'!$P391&gt;0,'2.报价结算清单'!$B391&lt;&gt;0,'2.报价结算清单'!$F391&lt;&gt;0),'2.报价结算清单'!N391,"")</f>
        <v/>
      </c>
      <c r="L288" s="105" t="str">
        <f>IF(AND('2.报价结算清单'!$P391&gt;0,'2.报价结算清单'!$B391&lt;&gt;0,'2.报价结算清单'!I391&lt;&gt;0),"天","")</f>
        <v/>
      </c>
      <c r="M288" s="80" t="str">
        <f t="shared" si="12"/>
        <v/>
      </c>
      <c r="N288" s="78" t="str">
        <f t="shared" si="13"/>
        <v/>
      </c>
      <c r="O288" s="78" t="str">
        <f>IF(AND('2.报价结算清单'!$P391&gt;0,'2.报价结算清单'!$B391&lt;&gt;0,'2.报价结算清单'!S391&lt;&gt;0),'2.报价结算清单'!S391,"")</f>
        <v/>
      </c>
      <c r="P288" s="78" t="str">
        <f>IF(AND('2.报价结算清单'!$P391&gt;0,'2.报价结算清单'!$B391&lt;&gt;0,'2.报价结算清单'!T391&lt;&gt;0),'2.报价结算清单'!T391,"")</f>
        <v/>
      </c>
      <c r="Q288" s="78" t="str">
        <f>IF(F288="",J288,VLOOKUP(F288,框架条目清单!A:K,4,FALSE))</f>
        <v/>
      </c>
      <c r="R288" s="106" t="str">
        <f>IF($A288="","",'2.报价结算清单'!$K$183)</f>
        <v/>
      </c>
      <c r="S288" s="80" t="str">
        <f>IF($A288="","",'2.报价结算清单'!$E$183)</f>
        <v/>
      </c>
      <c r="T288" s="78" t="str">
        <f>IF(F288="","",VLOOKUP(F288,框架条目清单!A:K,7,FALSE))</f>
        <v/>
      </c>
      <c r="U288" s="78" t="str">
        <f>IF(F288="","",VLOOKUP(F288,框架条目清单!A:K,8,FALSE))</f>
        <v/>
      </c>
      <c r="V288" s="78" t="str">
        <f>IF(F288="","",VLOOKUP(F288,框架条目清单!A:K,9,FALSE))</f>
        <v/>
      </c>
    </row>
    <row r="289" spans="1:22">
      <c r="A289" s="78" t="str">
        <f>IF(AND('2.报价结算清单'!$P392&gt;0,'2.报价结算清单'!$B392&lt;&gt;0,'2.报价结算清单'!$F392&lt;&gt;0),'2.报价结算清单'!$F392,"")</f>
        <v/>
      </c>
      <c r="B289" s="78" t="str">
        <f>_xlfn.IFNA(VLOOKUP(A289,'3.框架内物料'!$A:$I,3,0),A289)</f>
        <v/>
      </c>
      <c r="C289" s="78" t="str">
        <f>IF(AND('2.报价结算清单'!$P392&gt;0,'2.报价结算清单'!$B392&lt;&gt;0,'2.报价结算清单'!C392&lt;&gt;0),'2.报价结算清单'!C392,"")</f>
        <v/>
      </c>
      <c r="D289" s="78" t="str">
        <f>IF(AND('2.报价结算清单'!$P392&gt;0,'2.报价结算清单'!$B392&lt;&gt;0,'2.报价结算清单'!D392&lt;&gt;0),'2.报价结算清单'!D392,"")</f>
        <v/>
      </c>
      <c r="E289" s="78" t="str">
        <f>IF(AND('2.报价结算清单'!$P392&gt;0,'2.报价结算清单'!$B392&lt;&gt;0,'2.报价结算清单'!E392&lt;&gt;0),'2.报价结算清单'!E392,"")</f>
        <v/>
      </c>
      <c r="F289" s="105" t="str">
        <f>_xlfn.IFNA(IF($A289="","",IF(VLOOKUP($A289,'3.框架内物料'!$A:$I,2,0)="","",VLOOKUP($A289,'3.框架内物料'!$A:$I,2,0))),"")</f>
        <v/>
      </c>
      <c r="G289" s="87" t="str">
        <f>IF(AND('2.报价结算清单'!$P392&gt;0,'2.报价结算清单'!$B392&lt;&gt;0,'2.报价结算清单'!H392&lt;&gt;0),'2.报价结算清单'!H392,"")</f>
        <v/>
      </c>
      <c r="H289" s="122" t="str">
        <f>IF(AND('2.报价结算清单'!$P392&gt;0,'2.报价结算清单'!$B392&lt;&gt;0,'2.报价结算清单'!$F392&lt;&gt;0),'2.报价结算清单'!J392,"")</f>
        <v/>
      </c>
      <c r="I289" s="105" t="str">
        <f>IF(AND('2.报价结算清单'!$P392&gt;0,'2.报价结算清单'!$B392&lt;&gt;0,'2.报价结算清单'!$F392&lt;&gt;0),'2.报价结算清单'!L392,"")</f>
        <v/>
      </c>
      <c r="J289" s="105" t="str">
        <f>IF(AND('2.报价结算清单'!$P392&gt;0,'2.报价结算清单'!$B392&lt;&gt;0,'2.报价结算清单'!I392&lt;&gt;0),'2.报价结算清单'!I392,"")</f>
        <v/>
      </c>
      <c r="K289" s="105" t="str">
        <f>IF(AND('2.报价结算清单'!$P392&gt;0,'2.报价结算清单'!$B392&lt;&gt;0,'2.报价结算清单'!$F392&lt;&gt;0),'2.报价结算清单'!N392,"")</f>
        <v/>
      </c>
      <c r="L289" s="105" t="str">
        <f>IF(AND('2.报价结算清单'!$P392&gt;0,'2.报价结算清单'!$B392&lt;&gt;0,'2.报价结算清单'!I392&lt;&gt;0),"天","")</f>
        <v/>
      </c>
      <c r="M289" s="80" t="str">
        <f t="shared" si="12"/>
        <v/>
      </c>
      <c r="N289" s="78" t="str">
        <f t="shared" si="13"/>
        <v/>
      </c>
      <c r="O289" s="78" t="str">
        <f>IF(AND('2.报价结算清单'!$P392&gt;0,'2.报价结算清单'!$B392&lt;&gt;0,'2.报价结算清单'!S392&lt;&gt;0),'2.报价结算清单'!S392,"")</f>
        <v/>
      </c>
      <c r="P289" s="78" t="str">
        <f>IF(AND('2.报价结算清单'!$P392&gt;0,'2.报价结算清单'!$B392&lt;&gt;0,'2.报价结算清单'!T392&lt;&gt;0),'2.报价结算清单'!T392,"")</f>
        <v/>
      </c>
      <c r="Q289" s="78" t="str">
        <f>IF(F289="",J289,VLOOKUP(F289,框架条目清单!A:K,4,FALSE))</f>
        <v/>
      </c>
      <c r="R289" s="106" t="str">
        <f>IF($A289="","",'2.报价结算清单'!$K$183)</f>
        <v/>
      </c>
      <c r="S289" s="80" t="str">
        <f>IF($A289="","",'2.报价结算清单'!$E$183)</f>
        <v/>
      </c>
      <c r="T289" s="78" t="str">
        <f>IF(F289="","",VLOOKUP(F289,框架条目清单!A:K,7,FALSE))</f>
        <v/>
      </c>
      <c r="U289" s="78" t="str">
        <f>IF(F289="","",VLOOKUP(F289,框架条目清单!A:K,8,FALSE))</f>
        <v/>
      </c>
      <c r="V289" s="78" t="str">
        <f>IF(F289="","",VLOOKUP(F289,框架条目清单!A:K,9,FALSE))</f>
        <v/>
      </c>
    </row>
    <row r="290" spans="1:22">
      <c r="A290" s="78" t="str">
        <f>IF(AND('2.报价结算清单'!$P393&gt;0,'2.报价结算清单'!$B393&lt;&gt;0,'2.报价结算清单'!$F393&lt;&gt;0),'2.报价结算清单'!$F393,"")</f>
        <v/>
      </c>
      <c r="B290" s="78" t="str">
        <f>_xlfn.IFNA(VLOOKUP(A290,'3.框架内物料'!$A:$I,3,0),A290)</f>
        <v/>
      </c>
      <c r="C290" s="78" t="str">
        <f>IF(AND('2.报价结算清单'!$P393&gt;0,'2.报价结算清单'!$B393&lt;&gt;0,'2.报价结算清单'!C393&lt;&gt;0),'2.报价结算清单'!C393,"")</f>
        <v/>
      </c>
      <c r="D290" s="78" t="str">
        <f>IF(AND('2.报价结算清单'!$P393&gt;0,'2.报价结算清单'!$B393&lt;&gt;0,'2.报价结算清单'!D393&lt;&gt;0),'2.报价结算清单'!D393,"")</f>
        <v/>
      </c>
      <c r="E290" s="78" t="str">
        <f>IF(AND('2.报价结算清单'!$P393&gt;0,'2.报价结算清单'!$B393&lt;&gt;0,'2.报价结算清单'!E393&lt;&gt;0),'2.报价结算清单'!E393,"")</f>
        <v/>
      </c>
      <c r="F290" s="105" t="str">
        <f>_xlfn.IFNA(IF($A290="","",IF(VLOOKUP($A290,'3.框架内物料'!$A:$I,2,0)="","",VLOOKUP($A290,'3.框架内物料'!$A:$I,2,0))),"")</f>
        <v/>
      </c>
      <c r="G290" s="87" t="str">
        <f>IF(AND('2.报价结算清单'!$P393&gt;0,'2.报价结算清单'!$B393&lt;&gt;0,'2.报价结算清单'!H393&lt;&gt;0),'2.报价结算清单'!H393,"")</f>
        <v/>
      </c>
      <c r="H290" s="122" t="str">
        <f>IF(AND('2.报价结算清单'!$P393&gt;0,'2.报价结算清单'!$B393&lt;&gt;0,'2.报价结算清单'!$F393&lt;&gt;0),'2.报价结算清单'!J393,"")</f>
        <v/>
      </c>
      <c r="I290" s="105" t="str">
        <f>IF(AND('2.报价结算清单'!$P393&gt;0,'2.报价结算清单'!$B393&lt;&gt;0,'2.报价结算清单'!$F393&lt;&gt;0),'2.报价结算清单'!L393,"")</f>
        <v/>
      </c>
      <c r="J290" s="105" t="str">
        <f>IF(AND('2.报价结算清单'!$P393&gt;0,'2.报价结算清单'!$B393&lt;&gt;0,'2.报价结算清单'!I393&lt;&gt;0),'2.报价结算清单'!I393,"")</f>
        <v/>
      </c>
      <c r="K290" s="105" t="str">
        <f>IF(AND('2.报价结算清单'!$P393&gt;0,'2.报价结算清单'!$B393&lt;&gt;0,'2.报价结算清单'!$F393&lt;&gt;0),'2.报价结算清单'!N393,"")</f>
        <v/>
      </c>
      <c r="L290" s="105" t="str">
        <f>IF(AND('2.报价结算清单'!$P393&gt;0,'2.报价结算清单'!$B393&lt;&gt;0,'2.报价结算清单'!I393&lt;&gt;0),"天","")</f>
        <v/>
      </c>
      <c r="M290" s="80" t="str">
        <f t="shared" si="12"/>
        <v/>
      </c>
      <c r="N290" s="78" t="str">
        <f t="shared" si="13"/>
        <v/>
      </c>
      <c r="O290" s="78" t="str">
        <f>IF(AND('2.报价结算清单'!$P393&gt;0,'2.报价结算清单'!$B393&lt;&gt;0,'2.报价结算清单'!S393&lt;&gt;0),'2.报价结算清单'!S393,"")</f>
        <v/>
      </c>
      <c r="P290" s="78" t="str">
        <f>IF(AND('2.报价结算清单'!$P393&gt;0,'2.报价结算清单'!$B393&lt;&gt;0,'2.报价结算清单'!T393&lt;&gt;0),'2.报价结算清单'!T393,"")</f>
        <v/>
      </c>
      <c r="Q290" s="78" t="str">
        <f>IF(F290="",J290,VLOOKUP(F290,框架条目清单!A:K,4,FALSE))</f>
        <v/>
      </c>
      <c r="R290" s="106" t="str">
        <f>IF($A290="","",'2.报价结算清单'!$K$183)</f>
        <v/>
      </c>
      <c r="S290" s="80" t="str">
        <f>IF($A290="","",'2.报价结算清单'!$E$183)</f>
        <v/>
      </c>
      <c r="T290" s="78" t="str">
        <f>IF(F290="","",VLOOKUP(F290,框架条目清单!A:K,7,FALSE))</f>
        <v/>
      </c>
      <c r="U290" s="78" t="str">
        <f>IF(F290="","",VLOOKUP(F290,框架条目清单!A:K,8,FALSE))</f>
        <v/>
      </c>
      <c r="V290" s="78" t="str">
        <f>IF(F290="","",VLOOKUP(F290,框架条目清单!A:K,9,FALSE))</f>
        <v/>
      </c>
    </row>
    <row r="291" spans="1:22">
      <c r="A291" s="78" t="str">
        <f>IF(AND('2.报价结算清单'!$P394&gt;0,'2.报价结算清单'!$B394&lt;&gt;0,'2.报价结算清单'!$F394&lt;&gt;0),'2.报价结算清单'!$F394,"")</f>
        <v/>
      </c>
      <c r="B291" s="78" t="str">
        <f>_xlfn.IFNA(VLOOKUP(A291,'3.框架内物料'!$A:$I,3,0),A291)</f>
        <v/>
      </c>
      <c r="C291" s="78" t="str">
        <f>IF(AND('2.报价结算清单'!$P394&gt;0,'2.报价结算清单'!$B394&lt;&gt;0,'2.报价结算清单'!C394&lt;&gt;0),'2.报价结算清单'!C394,"")</f>
        <v/>
      </c>
      <c r="D291" s="78" t="str">
        <f>IF(AND('2.报价结算清单'!$P394&gt;0,'2.报价结算清单'!$B394&lt;&gt;0,'2.报价结算清单'!D394&lt;&gt;0),'2.报价结算清单'!D394,"")</f>
        <v/>
      </c>
      <c r="E291" s="78" t="str">
        <f>IF(AND('2.报价结算清单'!$P394&gt;0,'2.报价结算清单'!$B394&lt;&gt;0,'2.报价结算清单'!E394&lt;&gt;0),'2.报价结算清单'!E394,"")</f>
        <v/>
      </c>
      <c r="F291" s="105" t="str">
        <f>_xlfn.IFNA(IF($A291="","",IF(VLOOKUP($A291,'3.框架内物料'!$A:$I,2,0)="","",VLOOKUP($A291,'3.框架内物料'!$A:$I,2,0))),"")</f>
        <v/>
      </c>
      <c r="G291" s="87" t="str">
        <f>IF(AND('2.报价结算清单'!$P394&gt;0,'2.报价结算清单'!$B394&lt;&gt;0,'2.报价结算清单'!H394&lt;&gt;0),'2.报价结算清单'!H394,"")</f>
        <v/>
      </c>
      <c r="H291" s="122" t="str">
        <f>IF(AND('2.报价结算清单'!$P394&gt;0,'2.报价结算清单'!$B394&lt;&gt;0,'2.报价结算清单'!$F394&lt;&gt;0),'2.报价结算清单'!J394,"")</f>
        <v/>
      </c>
      <c r="I291" s="105" t="str">
        <f>IF(AND('2.报价结算清单'!$P394&gt;0,'2.报价结算清单'!$B394&lt;&gt;0,'2.报价结算清单'!$F394&lt;&gt;0),'2.报价结算清单'!L394,"")</f>
        <v/>
      </c>
      <c r="J291" s="105" t="str">
        <f>IF(AND('2.报价结算清单'!$P394&gt;0,'2.报价结算清单'!$B394&lt;&gt;0,'2.报价结算清单'!I394&lt;&gt;0),'2.报价结算清单'!I394,"")</f>
        <v/>
      </c>
      <c r="K291" s="105" t="str">
        <f>IF(AND('2.报价结算清单'!$P394&gt;0,'2.报价结算清单'!$B394&lt;&gt;0,'2.报价结算清单'!$F394&lt;&gt;0),'2.报价结算清单'!N394,"")</f>
        <v/>
      </c>
      <c r="L291" s="105" t="str">
        <f>IF(AND('2.报价结算清单'!$P394&gt;0,'2.报价结算清单'!$B394&lt;&gt;0,'2.报价结算清单'!I394&lt;&gt;0),"天","")</f>
        <v/>
      </c>
      <c r="M291" s="80" t="str">
        <f t="shared" si="12"/>
        <v/>
      </c>
      <c r="N291" s="78" t="str">
        <f t="shared" si="13"/>
        <v/>
      </c>
      <c r="O291" s="78" t="str">
        <f>IF(AND('2.报价结算清单'!$P394&gt;0,'2.报价结算清单'!$B394&lt;&gt;0,'2.报价结算清单'!S394&lt;&gt;0),'2.报价结算清单'!S394,"")</f>
        <v/>
      </c>
      <c r="P291" s="78" t="str">
        <f>IF(AND('2.报价结算清单'!$P394&gt;0,'2.报价结算清单'!$B394&lt;&gt;0,'2.报价结算清单'!T394&lt;&gt;0),'2.报价结算清单'!T394,"")</f>
        <v/>
      </c>
      <c r="Q291" s="78" t="str">
        <f>IF(F291="",J291,VLOOKUP(F291,框架条目清单!A:K,4,FALSE))</f>
        <v/>
      </c>
      <c r="R291" s="106" t="str">
        <f>IF($A291="","",'2.报价结算清单'!$K$183)</f>
        <v/>
      </c>
      <c r="S291" s="80" t="str">
        <f>IF($A291="","",'2.报价结算清单'!$E$183)</f>
        <v/>
      </c>
      <c r="T291" s="78" t="str">
        <f>IF(F291="","",VLOOKUP(F291,框架条目清单!A:K,7,FALSE))</f>
        <v/>
      </c>
      <c r="U291" s="78" t="str">
        <f>IF(F291="","",VLOOKUP(F291,框架条目清单!A:K,8,FALSE))</f>
        <v/>
      </c>
      <c r="V291" s="78" t="str">
        <f>IF(F291="","",VLOOKUP(F291,框架条目清单!A:K,9,FALSE))</f>
        <v/>
      </c>
    </row>
    <row r="292" spans="1:22">
      <c r="A292" s="78" t="str">
        <f>IF(AND('2.报价结算清单'!$P395&gt;0,'2.报价结算清单'!$B395&lt;&gt;0,'2.报价结算清单'!$F395&lt;&gt;0),'2.报价结算清单'!$F395,"")</f>
        <v/>
      </c>
      <c r="B292" s="78" t="str">
        <f>_xlfn.IFNA(VLOOKUP(A292,'3.框架内物料'!$A:$I,3,0),A292)</f>
        <v/>
      </c>
      <c r="C292" s="78" t="str">
        <f>IF(AND('2.报价结算清单'!$P395&gt;0,'2.报价结算清单'!$B395&lt;&gt;0,'2.报价结算清单'!C395&lt;&gt;0),'2.报价结算清单'!C395,"")</f>
        <v/>
      </c>
      <c r="D292" s="78" t="str">
        <f>IF(AND('2.报价结算清单'!$P395&gt;0,'2.报价结算清单'!$B395&lt;&gt;0,'2.报价结算清单'!D395&lt;&gt;0),'2.报价结算清单'!D395,"")</f>
        <v/>
      </c>
      <c r="E292" s="78" t="str">
        <f>IF(AND('2.报价结算清单'!$P395&gt;0,'2.报价结算清单'!$B395&lt;&gt;0,'2.报价结算清单'!E395&lt;&gt;0),'2.报价结算清单'!E395,"")</f>
        <v/>
      </c>
      <c r="F292" s="105" t="str">
        <f>_xlfn.IFNA(IF($A292="","",IF(VLOOKUP($A292,'3.框架内物料'!$A:$I,2,0)="","",VLOOKUP($A292,'3.框架内物料'!$A:$I,2,0))),"")</f>
        <v/>
      </c>
      <c r="G292" s="87" t="str">
        <f>IF(AND('2.报价结算清单'!$P395&gt;0,'2.报价结算清单'!$B395&lt;&gt;0,'2.报价结算清单'!H395&lt;&gt;0),'2.报价结算清单'!H395,"")</f>
        <v/>
      </c>
      <c r="H292" s="122" t="str">
        <f>IF(AND('2.报价结算清单'!$P395&gt;0,'2.报价结算清单'!$B395&lt;&gt;0,'2.报价结算清单'!$F395&lt;&gt;0),'2.报价结算清单'!J395,"")</f>
        <v/>
      </c>
      <c r="I292" s="105" t="str">
        <f>IF(AND('2.报价结算清单'!$P395&gt;0,'2.报价结算清单'!$B395&lt;&gt;0,'2.报价结算清单'!$F395&lt;&gt;0),'2.报价结算清单'!L395,"")</f>
        <v/>
      </c>
      <c r="J292" s="105" t="str">
        <f>IF(AND('2.报价结算清单'!$P395&gt;0,'2.报价结算清单'!$B395&lt;&gt;0,'2.报价结算清单'!I395&lt;&gt;0),'2.报价结算清单'!I395,"")</f>
        <v/>
      </c>
      <c r="K292" s="105" t="str">
        <f>IF(AND('2.报价结算清单'!$P395&gt;0,'2.报价结算清单'!$B395&lt;&gt;0,'2.报价结算清单'!$F395&lt;&gt;0),'2.报价结算清单'!N395,"")</f>
        <v/>
      </c>
      <c r="L292" s="105" t="str">
        <f>IF(AND('2.报价结算清单'!$P395&gt;0,'2.报价结算清单'!$B395&lt;&gt;0,'2.报价结算清单'!I395&lt;&gt;0),"天","")</f>
        <v/>
      </c>
      <c r="M292" s="80" t="str">
        <f t="shared" si="12"/>
        <v/>
      </c>
      <c r="N292" s="78" t="str">
        <f t="shared" si="13"/>
        <v/>
      </c>
      <c r="O292" s="78" t="str">
        <f>IF(AND('2.报价结算清单'!$P395&gt;0,'2.报价结算清单'!$B395&lt;&gt;0,'2.报价结算清单'!S395&lt;&gt;0),'2.报价结算清单'!S395,"")</f>
        <v/>
      </c>
      <c r="P292" s="78" t="str">
        <f>IF(AND('2.报价结算清单'!$P395&gt;0,'2.报价结算清单'!$B395&lt;&gt;0,'2.报价结算清单'!T395&lt;&gt;0),'2.报价结算清单'!T395,"")</f>
        <v/>
      </c>
      <c r="Q292" s="78" t="str">
        <f>IF(F292="",J292,VLOOKUP(F292,框架条目清单!A:K,4,FALSE))</f>
        <v/>
      </c>
      <c r="R292" s="106" t="str">
        <f>IF($A292="","",'2.报价结算清单'!$K$183)</f>
        <v/>
      </c>
      <c r="S292" s="80" t="str">
        <f>IF($A292="","",'2.报价结算清单'!$E$183)</f>
        <v/>
      </c>
      <c r="T292" s="78" t="str">
        <f>IF(F292="","",VLOOKUP(F292,框架条目清单!A:K,7,FALSE))</f>
        <v/>
      </c>
      <c r="U292" s="78" t="str">
        <f>IF(F292="","",VLOOKUP(F292,框架条目清单!A:K,8,FALSE))</f>
        <v/>
      </c>
      <c r="V292" s="78" t="str">
        <f>IF(F292="","",VLOOKUP(F292,框架条目清单!A:K,9,FALSE))</f>
        <v/>
      </c>
    </row>
    <row r="293" spans="1:22">
      <c r="A293" s="78" t="str">
        <f>IF(AND('2.报价结算清单'!$P396&gt;0,'2.报价结算清单'!$B396&lt;&gt;0,'2.报价结算清单'!$F396&lt;&gt;0),'2.报价结算清单'!$F396,"")</f>
        <v/>
      </c>
      <c r="B293" s="78" t="str">
        <f>_xlfn.IFNA(VLOOKUP(A293,'3.框架内物料'!$A:$I,3,0),A293)</f>
        <v/>
      </c>
      <c r="C293" s="78" t="str">
        <f>IF(AND('2.报价结算清单'!$P396&gt;0,'2.报价结算清单'!$B396&lt;&gt;0,'2.报价结算清单'!C396&lt;&gt;0),'2.报价结算清单'!C396,"")</f>
        <v/>
      </c>
      <c r="D293" s="78" t="str">
        <f>IF(AND('2.报价结算清单'!$P396&gt;0,'2.报价结算清单'!$B396&lt;&gt;0,'2.报价结算清单'!D396&lt;&gt;0),'2.报价结算清单'!D396,"")</f>
        <v/>
      </c>
      <c r="E293" s="78" t="str">
        <f>IF(AND('2.报价结算清单'!$P396&gt;0,'2.报价结算清单'!$B396&lt;&gt;0,'2.报价结算清单'!E396&lt;&gt;0),'2.报价结算清单'!E396,"")</f>
        <v/>
      </c>
      <c r="F293" s="105" t="str">
        <f>_xlfn.IFNA(IF($A293="","",IF(VLOOKUP($A293,'3.框架内物料'!$A:$I,2,0)="","",VLOOKUP($A293,'3.框架内物料'!$A:$I,2,0))),"")</f>
        <v/>
      </c>
      <c r="G293" s="87" t="str">
        <f>IF(AND('2.报价结算清单'!$P396&gt;0,'2.报价结算清单'!$B396&lt;&gt;0,'2.报价结算清单'!H396&lt;&gt;0),'2.报价结算清单'!H396,"")</f>
        <v/>
      </c>
      <c r="H293" s="122" t="str">
        <f>IF(AND('2.报价结算清单'!$P396&gt;0,'2.报价结算清单'!$B396&lt;&gt;0,'2.报价结算清单'!$F396&lt;&gt;0),'2.报价结算清单'!J396,"")</f>
        <v/>
      </c>
      <c r="I293" s="105" t="str">
        <f>IF(AND('2.报价结算清单'!$P396&gt;0,'2.报价结算清单'!$B396&lt;&gt;0,'2.报价结算清单'!$F396&lt;&gt;0),'2.报价结算清单'!L396,"")</f>
        <v/>
      </c>
      <c r="J293" s="105" t="str">
        <f>IF(AND('2.报价结算清单'!$P396&gt;0,'2.报价结算清单'!$B396&lt;&gt;0,'2.报价结算清单'!I396&lt;&gt;0),'2.报价结算清单'!I396,"")</f>
        <v/>
      </c>
      <c r="K293" s="105" t="str">
        <f>IF(AND('2.报价结算清单'!$P396&gt;0,'2.报价结算清单'!$B396&lt;&gt;0,'2.报价结算清单'!$F396&lt;&gt;0),'2.报价结算清单'!N396,"")</f>
        <v/>
      </c>
      <c r="L293" s="105" t="str">
        <f>IF(AND('2.报价结算清单'!$P396&gt;0,'2.报价结算清单'!$B396&lt;&gt;0,'2.报价结算清单'!I396&lt;&gt;0),"天","")</f>
        <v/>
      </c>
      <c r="M293" s="80" t="str">
        <f t="shared" si="12"/>
        <v/>
      </c>
      <c r="N293" s="78" t="str">
        <f t="shared" si="13"/>
        <v/>
      </c>
      <c r="O293" s="78" t="str">
        <f>IF(AND('2.报价结算清单'!$P396&gt;0,'2.报价结算清单'!$B396&lt;&gt;0,'2.报价结算清单'!S396&lt;&gt;0),'2.报价结算清单'!S396,"")</f>
        <v/>
      </c>
      <c r="P293" s="78" t="str">
        <f>IF(AND('2.报价结算清单'!$P396&gt;0,'2.报价结算清单'!$B396&lt;&gt;0,'2.报价结算清单'!T396&lt;&gt;0),'2.报价结算清单'!T396,"")</f>
        <v/>
      </c>
      <c r="Q293" s="78" t="str">
        <f>IF(F293="",J293,VLOOKUP(F293,框架条目清单!A:K,4,FALSE))</f>
        <v/>
      </c>
      <c r="R293" s="106" t="str">
        <f>IF($A293="","",'2.报价结算清单'!$K$183)</f>
        <v/>
      </c>
      <c r="S293" s="80" t="str">
        <f>IF($A293="","",'2.报价结算清单'!$E$183)</f>
        <v/>
      </c>
      <c r="T293" s="78" t="str">
        <f>IF(F293="","",VLOOKUP(F293,框架条目清单!A:K,7,FALSE))</f>
        <v/>
      </c>
      <c r="U293" s="78" t="str">
        <f>IF(F293="","",VLOOKUP(F293,框架条目清单!A:K,8,FALSE))</f>
        <v/>
      </c>
      <c r="V293" s="78" t="str">
        <f>IF(F293="","",VLOOKUP(F293,框架条目清单!A:K,9,FALSE))</f>
        <v/>
      </c>
    </row>
    <row r="294" spans="1:22">
      <c r="A294" s="78" t="str">
        <f>IF(AND('2.报价结算清单'!$P397&gt;0,'2.报价结算清单'!$B397&lt;&gt;0,'2.报价结算清单'!$F397&lt;&gt;0),'2.报价结算清单'!$F397,"")</f>
        <v/>
      </c>
      <c r="B294" s="78" t="str">
        <f>_xlfn.IFNA(VLOOKUP(A294,'3.框架内物料'!$A:$I,3,0),A294)</f>
        <v/>
      </c>
      <c r="C294" s="78" t="str">
        <f>IF(AND('2.报价结算清单'!$P397&gt;0,'2.报价结算清单'!$B397&lt;&gt;0,'2.报价结算清单'!C397&lt;&gt;0),'2.报价结算清单'!C397,"")</f>
        <v/>
      </c>
      <c r="D294" s="78" t="str">
        <f>IF(AND('2.报价结算清单'!$P397&gt;0,'2.报价结算清单'!$B397&lt;&gt;0,'2.报价结算清单'!D397&lt;&gt;0),'2.报价结算清单'!D397,"")</f>
        <v/>
      </c>
      <c r="E294" s="78" t="str">
        <f>IF(AND('2.报价结算清单'!$P397&gt;0,'2.报价结算清单'!$B397&lt;&gt;0,'2.报价结算清单'!E397&lt;&gt;0),'2.报价结算清单'!E397,"")</f>
        <v/>
      </c>
      <c r="F294" s="105" t="str">
        <f>_xlfn.IFNA(IF($A294="","",IF(VLOOKUP($A294,'3.框架内物料'!$A:$I,2,0)="","",VLOOKUP($A294,'3.框架内物料'!$A:$I,2,0))),"")</f>
        <v/>
      </c>
      <c r="G294" s="87" t="str">
        <f>IF(AND('2.报价结算清单'!$P397&gt;0,'2.报价结算清单'!$B397&lt;&gt;0,'2.报价结算清单'!H397&lt;&gt;0),'2.报价结算清单'!H397,"")</f>
        <v/>
      </c>
      <c r="H294" s="122" t="str">
        <f>IF(AND('2.报价结算清单'!$P397&gt;0,'2.报价结算清单'!$B397&lt;&gt;0,'2.报价结算清单'!$F397&lt;&gt;0),'2.报价结算清单'!J397,"")</f>
        <v/>
      </c>
      <c r="I294" s="105" t="str">
        <f>IF(AND('2.报价结算清单'!$P397&gt;0,'2.报价结算清单'!$B397&lt;&gt;0,'2.报价结算清单'!$F397&lt;&gt;0),'2.报价结算清单'!L397,"")</f>
        <v/>
      </c>
      <c r="J294" s="105" t="str">
        <f>IF(AND('2.报价结算清单'!$P397&gt;0,'2.报价结算清单'!$B397&lt;&gt;0,'2.报价结算清单'!I397&lt;&gt;0),'2.报价结算清单'!I397,"")</f>
        <v/>
      </c>
      <c r="K294" s="105" t="str">
        <f>IF(AND('2.报价结算清单'!$P397&gt;0,'2.报价结算清单'!$B397&lt;&gt;0,'2.报价结算清单'!$F397&lt;&gt;0),'2.报价结算清单'!N397,"")</f>
        <v/>
      </c>
      <c r="L294" s="105" t="str">
        <f>IF(AND('2.报价结算清单'!$P397&gt;0,'2.报价结算清单'!$B397&lt;&gt;0,'2.报价结算清单'!I397&lt;&gt;0),"天","")</f>
        <v/>
      </c>
      <c r="M294" s="80" t="str">
        <f t="shared" si="12"/>
        <v/>
      </c>
      <c r="N294" s="78" t="str">
        <f t="shared" si="13"/>
        <v/>
      </c>
      <c r="O294" s="78" t="str">
        <f>IF(AND('2.报价结算清单'!$P397&gt;0,'2.报价结算清单'!$B397&lt;&gt;0,'2.报价结算清单'!S397&lt;&gt;0),'2.报价结算清单'!S397,"")</f>
        <v/>
      </c>
      <c r="P294" s="78" t="str">
        <f>IF(AND('2.报价结算清单'!$P397&gt;0,'2.报价结算清单'!$B397&lt;&gt;0,'2.报价结算清单'!T397&lt;&gt;0),'2.报价结算清单'!T397,"")</f>
        <v/>
      </c>
      <c r="Q294" s="78" t="str">
        <f>IF(F294="",J294,VLOOKUP(F294,框架条目清单!A:K,4,FALSE))</f>
        <v/>
      </c>
      <c r="R294" s="106" t="str">
        <f>IF($A294="","",'2.报价结算清单'!$K$183)</f>
        <v/>
      </c>
      <c r="S294" s="80" t="str">
        <f>IF($A294="","",'2.报价结算清单'!$E$183)</f>
        <v/>
      </c>
      <c r="T294" s="78" t="str">
        <f>IF(F294="","",VLOOKUP(F294,框架条目清单!A:K,7,FALSE))</f>
        <v/>
      </c>
      <c r="U294" s="78" t="str">
        <f>IF(F294="","",VLOOKUP(F294,框架条目清单!A:K,8,FALSE))</f>
        <v/>
      </c>
      <c r="V294" s="78" t="str">
        <f>IF(F294="","",VLOOKUP(F294,框架条目清单!A:K,9,FALSE))</f>
        <v/>
      </c>
    </row>
    <row r="295" spans="1:22">
      <c r="A295" s="78" t="str">
        <f>IF(AND('2.报价结算清单'!$P398&gt;0,'2.报价结算清单'!$B398&lt;&gt;0,'2.报价结算清单'!$F398&lt;&gt;0),'2.报价结算清单'!$F398,"")</f>
        <v/>
      </c>
      <c r="B295" s="78" t="str">
        <f>_xlfn.IFNA(VLOOKUP(A295,'3.框架内物料'!$A:$I,3,0),A295)</f>
        <v/>
      </c>
      <c r="C295" s="78" t="str">
        <f>IF(AND('2.报价结算清单'!$P398&gt;0,'2.报价结算清单'!$B398&lt;&gt;0,'2.报价结算清单'!C398&lt;&gt;0),'2.报价结算清单'!C398,"")</f>
        <v/>
      </c>
      <c r="D295" s="78" t="str">
        <f>IF(AND('2.报价结算清单'!$P398&gt;0,'2.报价结算清单'!$B398&lt;&gt;0,'2.报价结算清单'!D398&lt;&gt;0),'2.报价结算清单'!D398,"")</f>
        <v/>
      </c>
      <c r="E295" s="78" t="str">
        <f>IF(AND('2.报价结算清单'!$P398&gt;0,'2.报价结算清单'!$B398&lt;&gt;0,'2.报价结算清单'!E398&lt;&gt;0),'2.报价结算清单'!E398,"")</f>
        <v/>
      </c>
      <c r="F295" s="105" t="str">
        <f>_xlfn.IFNA(IF($A295="","",IF(VLOOKUP($A295,'3.框架内物料'!$A:$I,2,0)="","",VLOOKUP($A295,'3.框架内物料'!$A:$I,2,0))),"")</f>
        <v/>
      </c>
      <c r="G295" s="87" t="str">
        <f>IF(AND('2.报价结算清单'!$P398&gt;0,'2.报价结算清单'!$B398&lt;&gt;0,'2.报价结算清单'!H398&lt;&gt;0),'2.报价结算清单'!H398,"")</f>
        <v/>
      </c>
      <c r="H295" s="122" t="str">
        <f>IF(AND('2.报价结算清单'!$P398&gt;0,'2.报价结算清单'!$B398&lt;&gt;0,'2.报价结算清单'!$F398&lt;&gt;0),'2.报价结算清单'!J398,"")</f>
        <v/>
      </c>
      <c r="I295" s="105" t="str">
        <f>IF(AND('2.报价结算清单'!$P398&gt;0,'2.报价结算清单'!$B398&lt;&gt;0,'2.报价结算清单'!$F398&lt;&gt;0),'2.报价结算清单'!L398,"")</f>
        <v/>
      </c>
      <c r="J295" s="105" t="str">
        <f>IF(AND('2.报价结算清单'!$P398&gt;0,'2.报价结算清单'!$B398&lt;&gt;0,'2.报价结算清单'!I398&lt;&gt;0),'2.报价结算清单'!I398,"")</f>
        <v/>
      </c>
      <c r="K295" s="105" t="str">
        <f>IF(AND('2.报价结算清单'!$P398&gt;0,'2.报价结算清单'!$B398&lt;&gt;0,'2.报价结算清单'!$F398&lt;&gt;0),'2.报价结算清单'!N398,"")</f>
        <v/>
      </c>
      <c r="L295" s="105" t="str">
        <f>IF(AND('2.报价结算清单'!$P398&gt;0,'2.报价结算清单'!$B398&lt;&gt;0,'2.报价结算清单'!I398&lt;&gt;0),"天","")</f>
        <v/>
      </c>
      <c r="M295" s="80" t="str">
        <f t="shared" si="12"/>
        <v/>
      </c>
      <c r="N295" s="78" t="str">
        <f t="shared" si="13"/>
        <v/>
      </c>
      <c r="O295" s="78" t="str">
        <f>IF(AND('2.报价结算清单'!$P398&gt;0,'2.报价结算清单'!$B398&lt;&gt;0,'2.报价结算清单'!S398&lt;&gt;0),'2.报价结算清单'!S398,"")</f>
        <v/>
      </c>
      <c r="P295" s="78" t="str">
        <f>IF(AND('2.报价结算清单'!$P398&gt;0,'2.报价结算清单'!$B398&lt;&gt;0,'2.报价结算清单'!T398&lt;&gt;0),'2.报价结算清单'!T398,"")</f>
        <v/>
      </c>
      <c r="Q295" s="78" t="str">
        <f>IF(F295="",J295,VLOOKUP(F295,框架条目清单!A:K,4,FALSE))</f>
        <v/>
      </c>
      <c r="R295" s="106" t="str">
        <f>IF($A295="","",'2.报价结算清单'!$K$183)</f>
        <v/>
      </c>
      <c r="S295" s="80" t="str">
        <f>IF($A295="","",'2.报价结算清单'!$E$183)</f>
        <v/>
      </c>
      <c r="T295" s="78" t="str">
        <f>IF(F295="","",VLOOKUP(F295,框架条目清单!A:K,7,FALSE))</f>
        <v/>
      </c>
      <c r="U295" s="78" t="str">
        <f>IF(F295="","",VLOOKUP(F295,框架条目清单!A:K,8,FALSE))</f>
        <v/>
      </c>
      <c r="V295" s="78" t="str">
        <f>IF(F295="","",VLOOKUP(F295,框架条目清单!A:K,9,FALSE))</f>
        <v/>
      </c>
    </row>
    <row r="296" spans="1:22">
      <c r="A296" s="78" t="str">
        <f>IF(AND('2.报价结算清单'!$P399&gt;0,'2.报价结算清单'!$B399&lt;&gt;0,'2.报价结算清单'!$F399&lt;&gt;0),'2.报价结算清单'!$F399,"")</f>
        <v/>
      </c>
      <c r="B296" s="78" t="str">
        <f>_xlfn.IFNA(VLOOKUP(A296,'3.框架内物料'!$A:$I,3,0),A296)</f>
        <v/>
      </c>
      <c r="C296" s="78" t="str">
        <f>IF(AND('2.报价结算清单'!$P399&gt;0,'2.报价结算清单'!$B399&lt;&gt;0,'2.报价结算清单'!C399&lt;&gt;0),'2.报价结算清单'!C399,"")</f>
        <v/>
      </c>
      <c r="D296" s="78" t="str">
        <f>IF(AND('2.报价结算清单'!$P399&gt;0,'2.报价结算清单'!$B399&lt;&gt;0,'2.报价结算清单'!D399&lt;&gt;0),'2.报价结算清单'!D399,"")</f>
        <v/>
      </c>
      <c r="E296" s="78" t="str">
        <f>IF(AND('2.报价结算清单'!$P399&gt;0,'2.报价结算清单'!$B399&lt;&gt;0,'2.报价结算清单'!E399&lt;&gt;0),'2.报价结算清单'!E399,"")</f>
        <v/>
      </c>
      <c r="F296" s="105" t="str">
        <f>_xlfn.IFNA(IF($A296="","",IF(VLOOKUP($A296,'3.框架内物料'!$A:$I,2,0)="","",VLOOKUP($A296,'3.框架内物料'!$A:$I,2,0))),"")</f>
        <v/>
      </c>
      <c r="G296" s="87" t="str">
        <f>IF(AND('2.报价结算清单'!$P399&gt;0,'2.报价结算清单'!$B399&lt;&gt;0,'2.报价结算清单'!H399&lt;&gt;0),'2.报价结算清单'!H399,"")</f>
        <v/>
      </c>
      <c r="H296" s="122" t="str">
        <f>IF(AND('2.报价结算清单'!$P399&gt;0,'2.报价结算清单'!$B399&lt;&gt;0,'2.报价结算清单'!$F399&lt;&gt;0),'2.报价结算清单'!J399,"")</f>
        <v/>
      </c>
      <c r="I296" s="105" t="str">
        <f>IF(AND('2.报价结算清单'!$P399&gt;0,'2.报价结算清单'!$B399&lt;&gt;0,'2.报价结算清单'!$F399&lt;&gt;0),'2.报价结算清单'!L399,"")</f>
        <v/>
      </c>
      <c r="J296" s="105" t="str">
        <f>IF(AND('2.报价结算清单'!$P399&gt;0,'2.报价结算清单'!$B399&lt;&gt;0,'2.报价结算清单'!I399&lt;&gt;0),'2.报价结算清单'!I399,"")</f>
        <v/>
      </c>
      <c r="K296" s="105" t="str">
        <f>IF(AND('2.报价结算清单'!$P399&gt;0,'2.报价结算清单'!$B399&lt;&gt;0,'2.报价结算清单'!$F399&lt;&gt;0),'2.报价结算清单'!N399,"")</f>
        <v/>
      </c>
      <c r="L296" s="105" t="str">
        <f>IF(AND('2.报价结算清单'!$P399&gt;0,'2.报价结算清单'!$B399&lt;&gt;0,'2.报价结算清单'!I399&lt;&gt;0),"天","")</f>
        <v/>
      </c>
      <c r="M296" s="80" t="str">
        <f t="shared" si="12"/>
        <v/>
      </c>
      <c r="N296" s="78" t="str">
        <f t="shared" si="13"/>
        <v/>
      </c>
      <c r="O296" s="78" t="str">
        <f>IF(AND('2.报价结算清单'!$P399&gt;0,'2.报价结算清单'!$B399&lt;&gt;0,'2.报价结算清单'!S399&lt;&gt;0),'2.报价结算清单'!S399,"")</f>
        <v/>
      </c>
      <c r="P296" s="78" t="str">
        <f>IF(AND('2.报价结算清单'!$P399&gt;0,'2.报价结算清单'!$B399&lt;&gt;0,'2.报价结算清单'!T399&lt;&gt;0),'2.报价结算清单'!T399,"")</f>
        <v/>
      </c>
      <c r="Q296" s="78" t="str">
        <f>IF(F296="",J296,VLOOKUP(F296,框架条目清单!A:K,4,FALSE))</f>
        <v/>
      </c>
      <c r="R296" s="106" t="str">
        <f>IF($A296="","",'2.报价结算清单'!$K$183)</f>
        <v/>
      </c>
      <c r="S296" s="80" t="str">
        <f>IF($A296="","",'2.报价结算清单'!$E$183)</f>
        <v/>
      </c>
      <c r="T296" s="78" t="str">
        <f>IF(F296="","",VLOOKUP(F296,框架条目清单!A:K,7,FALSE))</f>
        <v/>
      </c>
      <c r="U296" s="78" t="str">
        <f>IF(F296="","",VLOOKUP(F296,框架条目清单!A:K,8,FALSE))</f>
        <v/>
      </c>
      <c r="V296" s="78" t="str">
        <f>IF(F296="","",VLOOKUP(F296,框架条目清单!A:K,9,FALSE))</f>
        <v/>
      </c>
    </row>
    <row r="297" spans="1:22">
      <c r="A297" s="78" t="str">
        <f>IF(AND('2.报价结算清单'!$P400&gt;0,'2.报价结算清单'!$B400&lt;&gt;0,'2.报价结算清单'!$F400&lt;&gt;0),'2.报价结算清单'!$F400,"")</f>
        <v/>
      </c>
      <c r="B297" s="78" t="str">
        <f>_xlfn.IFNA(VLOOKUP(A297,'3.框架内物料'!$A:$I,3,0),A297)</f>
        <v/>
      </c>
      <c r="C297" s="78" t="str">
        <f>IF(AND('2.报价结算清单'!$P400&gt;0,'2.报价结算清单'!$B400&lt;&gt;0,'2.报价结算清单'!C400&lt;&gt;0),'2.报价结算清单'!C400,"")</f>
        <v/>
      </c>
      <c r="D297" s="78" t="str">
        <f>IF(AND('2.报价结算清单'!$P400&gt;0,'2.报价结算清单'!$B400&lt;&gt;0,'2.报价结算清单'!D400&lt;&gt;0),'2.报价结算清单'!D400,"")</f>
        <v/>
      </c>
      <c r="E297" s="78" t="str">
        <f>IF(AND('2.报价结算清单'!$P400&gt;0,'2.报价结算清单'!$B400&lt;&gt;0,'2.报价结算清单'!E400&lt;&gt;0),'2.报价结算清单'!E400,"")</f>
        <v/>
      </c>
      <c r="F297" s="105" t="str">
        <f>_xlfn.IFNA(IF($A297="","",IF(VLOOKUP($A297,'3.框架内物料'!$A:$I,2,0)="","",VLOOKUP($A297,'3.框架内物料'!$A:$I,2,0))),"")</f>
        <v/>
      </c>
      <c r="G297" s="87" t="str">
        <f>IF(AND('2.报价结算清单'!$P400&gt;0,'2.报价结算清单'!$B400&lt;&gt;0,'2.报价结算清单'!H400&lt;&gt;0),'2.报价结算清单'!H400,"")</f>
        <v/>
      </c>
      <c r="H297" s="122" t="str">
        <f>IF(AND('2.报价结算清单'!$P400&gt;0,'2.报价结算清单'!$B400&lt;&gt;0,'2.报价结算清单'!$F400&lt;&gt;0),'2.报价结算清单'!J400,"")</f>
        <v/>
      </c>
      <c r="I297" s="105" t="str">
        <f>IF(AND('2.报价结算清单'!$P400&gt;0,'2.报价结算清单'!$B400&lt;&gt;0,'2.报价结算清单'!$F400&lt;&gt;0),'2.报价结算清单'!L400,"")</f>
        <v/>
      </c>
      <c r="J297" s="105" t="str">
        <f>IF(AND('2.报价结算清单'!$P400&gt;0,'2.报价结算清单'!$B400&lt;&gt;0,'2.报价结算清单'!I400&lt;&gt;0),'2.报价结算清单'!I400,"")</f>
        <v/>
      </c>
      <c r="K297" s="105" t="str">
        <f>IF(AND('2.报价结算清单'!$P400&gt;0,'2.报价结算清单'!$B400&lt;&gt;0,'2.报价结算清单'!$F400&lt;&gt;0),'2.报价结算清单'!N400,"")</f>
        <v/>
      </c>
      <c r="L297" s="105" t="str">
        <f>IF(AND('2.报价结算清单'!$P400&gt;0,'2.报价结算清单'!$B400&lt;&gt;0,'2.报价结算清单'!I400&lt;&gt;0),"天","")</f>
        <v/>
      </c>
      <c r="M297" s="80" t="str">
        <f t="shared" si="12"/>
        <v/>
      </c>
      <c r="N297" s="78" t="str">
        <f t="shared" si="13"/>
        <v/>
      </c>
      <c r="O297" s="78" t="str">
        <f>IF(AND('2.报价结算清单'!$P400&gt;0,'2.报价结算清单'!$B400&lt;&gt;0,'2.报价结算清单'!S400&lt;&gt;0),'2.报价结算清单'!S400,"")</f>
        <v/>
      </c>
      <c r="P297" s="78" t="str">
        <f>IF(AND('2.报价结算清单'!$P400&gt;0,'2.报价结算清单'!$B400&lt;&gt;0,'2.报价结算清单'!T400&lt;&gt;0),'2.报价结算清单'!T400,"")</f>
        <v/>
      </c>
      <c r="Q297" s="78" t="str">
        <f>IF(F297="",J297,VLOOKUP(F297,框架条目清单!A:K,4,FALSE))</f>
        <v/>
      </c>
      <c r="R297" s="106" t="str">
        <f>IF($A297="","",'2.报价结算清单'!$K$183)</f>
        <v/>
      </c>
      <c r="S297" s="80" t="str">
        <f>IF($A297="","",'2.报价结算清单'!$E$183)</f>
        <v/>
      </c>
      <c r="T297" s="78" t="str">
        <f>IF(F297="","",VLOOKUP(F297,框架条目清单!A:K,7,FALSE))</f>
        <v/>
      </c>
      <c r="U297" s="78" t="str">
        <f>IF(F297="","",VLOOKUP(F297,框架条目清单!A:K,8,FALSE))</f>
        <v/>
      </c>
      <c r="V297" s="78" t="str">
        <f>IF(F297="","",VLOOKUP(F297,框架条目清单!A:K,9,FALSE))</f>
        <v/>
      </c>
    </row>
    <row r="298" spans="1:22">
      <c r="A298" s="78" t="str">
        <f>IF(AND('2.报价结算清单'!$P401&gt;0,'2.报价结算清单'!$B401&lt;&gt;0,'2.报价结算清单'!$F401&lt;&gt;0),'2.报价结算清单'!$F401,"")</f>
        <v/>
      </c>
      <c r="B298" s="78" t="str">
        <f>_xlfn.IFNA(VLOOKUP(A298,'3.框架内物料'!$A:$I,3,0),A298)</f>
        <v/>
      </c>
      <c r="C298" s="78" t="str">
        <f>IF(AND('2.报价结算清单'!$P401&gt;0,'2.报价结算清单'!$B401&lt;&gt;0,'2.报价结算清单'!C401&lt;&gt;0),'2.报价结算清单'!C401,"")</f>
        <v/>
      </c>
      <c r="D298" s="78" t="str">
        <f>IF(AND('2.报价结算清单'!$P401&gt;0,'2.报价结算清单'!$B401&lt;&gt;0,'2.报价结算清单'!D401&lt;&gt;0),'2.报价结算清单'!D401,"")</f>
        <v/>
      </c>
      <c r="E298" s="78" t="str">
        <f>IF(AND('2.报价结算清单'!$P401&gt;0,'2.报价结算清单'!$B401&lt;&gt;0,'2.报价结算清单'!E401&lt;&gt;0),'2.报价结算清单'!E401,"")</f>
        <v/>
      </c>
      <c r="F298" s="105" t="str">
        <f>_xlfn.IFNA(IF($A298="","",IF(VLOOKUP($A298,'3.框架内物料'!$A:$I,2,0)="","",VLOOKUP($A298,'3.框架内物料'!$A:$I,2,0))),"")</f>
        <v/>
      </c>
      <c r="G298" s="87" t="str">
        <f>IF(AND('2.报价结算清单'!$P401&gt;0,'2.报价结算清单'!$B401&lt;&gt;0,'2.报价结算清单'!H401&lt;&gt;0),'2.报价结算清单'!H401,"")</f>
        <v/>
      </c>
      <c r="H298" s="122" t="str">
        <f>IF(AND('2.报价结算清单'!$P401&gt;0,'2.报价结算清单'!$B401&lt;&gt;0,'2.报价结算清单'!$F401&lt;&gt;0),'2.报价结算清单'!J401,"")</f>
        <v/>
      </c>
      <c r="I298" s="105" t="str">
        <f>IF(AND('2.报价结算清单'!$P401&gt;0,'2.报价结算清单'!$B401&lt;&gt;0,'2.报价结算清单'!$F401&lt;&gt;0),'2.报价结算清单'!L401,"")</f>
        <v/>
      </c>
      <c r="J298" s="105" t="str">
        <f>IF(AND('2.报价结算清单'!$P401&gt;0,'2.报价结算清单'!$B401&lt;&gt;0,'2.报价结算清单'!I401&lt;&gt;0),'2.报价结算清单'!I401,"")</f>
        <v/>
      </c>
      <c r="K298" s="105" t="str">
        <f>IF(AND('2.报价结算清单'!$P401&gt;0,'2.报价结算清单'!$B401&lt;&gt;0,'2.报价结算清单'!$F401&lt;&gt;0),'2.报价结算清单'!N401,"")</f>
        <v/>
      </c>
      <c r="L298" s="105" t="str">
        <f>IF(AND('2.报价结算清单'!$P401&gt;0,'2.报价结算清单'!$B401&lt;&gt;0,'2.报价结算清单'!I401&lt;&gt;0),"天","")</f>
        <v/>
      </c>
      <c r="M298" s="80" t="str">
        <f t="shared" si="12"/>
        <v/>
      </c>
      <c r="N298" s="78" t="str">
        <f t="shared" si="13"/>
        <v/>
      </c>
      <c r="O298" s="78" t="str">
        <f>IF(AND('2.报价结算清单'!$P401&gt;0,'2.报价结算清单'!$B401&lt;&gt;0,'2.报价结算清单'!S401&lt;&gt;0),'2.报价结算清单'!S401,"")</f>
        <v/>
      </c>
      <c r="P298" s="78" t="str">
        <f>IF(AND('2.报价结算清单'!$P401&gt;0,'2.报价结算清单'!$B401&lt;&gt;0,'2.报价结算清单'!T401&lt;&gt;0),'2.报价结算清单'!T401,"")</f>
        <v/>
      </c>
      <c r="Q298" s="78" t="str">
        <f>IF(F298="",J298,VLOOKUP(F298,框架条目清单!A:K,4,FALSE))</f>
        <v/>
      </c>
      <c r="R298" s="106" t="str">
        <f>IF($A298="","",'2.报价结算清单'!$K$183)</f>
        <v/>
      </c>
      <c r="S298" s="80" t="str">
        <f>IF($A298="","",'2.报价结算清单'!$E$183)</f>
        <v/>
      </c>
      <c r="T298" s="78" t="str">
        <f>IF(F298="","",VLOOKUP(F298,框架条目清单!A:K,7,FALSE))</f>
        <v/>
      </c>
      <c r="U298" s="78" t="str">
        <f>IF(F298="","",VLOOKUP(F298,框架条目清单!A:K,8,FALSE))</f>
        <v/>
      </c>
      <c r="V298" s="78" t="str">
        <f>IF(F298="","",VLOOKUP(F298,框架条目清单!A:K,9,FALSE))</f>
        <v/>
      </c>
    </row>
    <row r="299" spans="1:22">
      <c r="A299" s="78" t="str">
        <f>IF(AND('2.报价结算清单'!$P402&gt;0,'2.报价结算清单'!$B402&lt;&gt;0,'2.报价结算清单'!$F402&lt;&gt;0),'2.报价结算清单'!$F402,"")</f>
        <v/>
      </c>
      <c r="B299" s="78" t="str">
        <f>_xlfn.IFNA(VLOOKUP(A299,'3.框架内物料'!$A:$I,3,0),A299)</f>
        <v/>
      </c>
      <c r="C299" s="78" t="str">
        <f>IF(AND('2.报价结算清单'!$P402&gt;0,'2.报价结算清单'!$B402&lt;&gt;0,'2.报价结算清单'!C402&lt;&gt;0),'2.报价结算清单'!C402,"")</f>
        <v/>
      </c>
      <c r="D299" s="78" t="str">
        <f>IF(AND('2.报价结算清单'!$P402&gt;0,'2.报价结算清单'!$B402&lt;&gt;0,'2.报价结算清单'!D402&lt;&gt;0),'2.报价结算清单'!D402,"")</f>
        <v/>
      </c>
      <c r="E299" s="78" t="str">
        <f>IF(AND('2.报价结算清单'!$P402&gt;0,'2.报价结算清单'!$B402&lt;&gt;0,'2.报价结算清单'!E402&lt;&gt;0),'2.报价结算清单'!E402,"")</f>
        <v/>
      </c>
      <c r="F299" s="105" t="str">
        <f>_xlfn.IFNA(IF($A299="","",IF(VLOOKUP($A299,'3.框架内物料'!$A:$I,2,0)="","",VLOOKUP($A299,'3.框架内物料'!$A:$I,2,0))),"")</f>
        <v/>
      </c>
      <c r="G299" s="87" t="str">
        <f>IF(AND('2.报价结算清单'!$P402&gt;0,'2.报价结算清单'!$B402&lt;&gt;0,'2.报价结算清单'!H402&lt;&gt;0),'2.报价结算清单'!H402,"")</f>
        <v/>
      </c>
      <c r="H299" s="122" t="str">
        <f>IF(AND('2.报价结算清单'!$P402&gt;0,'2.报价结算清单'!$B402&lt;&gt;0,'2.报价结算清单'!$F402&lt;&gt;0),'2.报价结算清单'!J402,"")</f>
        <v/>
      </c>
      <c r="I299" s="105" t="str">
        <f>IF(AND('2.报价结算清单'!$P402&gt;0,'2.报价结算清单'!$B402&lt;&gt;0,'2.报价结算清单'!$F402&lt;&gt;0),'2.报价结算清单'!L402,"")</f>
        <v/>
      </c>
      <c r="J299" s="105" t="str">
        <f>IF(AND('2.报价结算清单'!$P402&gt;0,'2.报价结算清单'!$B402&lt;&gt;0,'2.报价结算清单'!I402&lt;&gt;0),'2.报价结算清单'!I402,"")</f>
        <v/>
      </c>
      <c r="K299" s="105" t="str">
        <f>IF(AND('2.报价结算清单'!$P402&gt;0,'2.报价结算清单'!$B402&lt;&gt;0,'2.报价结算清单'!$F402&lt;&gt;0),'2.报价结算清单'!N402,"")</f>
        <v/>
      </c>
      <c r="L299" s="105" t="str">
        <f>IF(AND('2.报价结算清单'!$P402&gt;0,'2.报价结算清单'!$B402&lt;&gt;0,'2.报价结算清单'!I402&lt;&gt;0),"天","")</f>
        <v/>
      </c>
      <c r="M299" s="80" t="str">
        <f t="shared" si="12"/>
        <v/>
      </c>
      <c r="N299" s="78" t="str">
        <f t="shared" si="13"/>
        <v/>
      </c>
      <c r="O299" s="78" t="str">
        <f>IF(AND('2.报价结算清单'!$P402&gt;0,'2.报价结算清单'!$B402&lt;&gt;0,'2.报价结算清单'!S402&lt;&gt;0),'2.报价结算清单'!S402,"")</f>
        <v/>
      </c>
      <c r="P299" s="78" t="str">
        <f>IF(AND('2.报价结算清单'!$P402&gt;0,'2.报价结算清单'!$B402&lt;&gt;0,'2.报价结算清单'!T402&lt;&gt;0),'2.报价结算清单'!T402,"")</f>
        <v/>
      </c>
      <c r="Q299" s="78" t="str">
        <f>IF(F299="",J299,VLOOKUP(F299,框架条目清单!A:K,4,FALSE))</f>
        <v/>
      </c>
      <c r="R299" s="106" t="str">
        <f>IF($A299="","",'2.报价结算清单'!$K$183)</f>
        <v/>
      </c>
      <c r="S299" s="80" t="str">
        <f>IF($A299="","",'2.报价结算清单'!$E$183)</f>
        <v/>
      </c>
      <c r="T299" s="78" t="str">
        <f>IF(F299="","",VLOOKUP(F299,框架条目清单!A:K,7,FALSE))</f>
        <v/>
      </c>
      <c r="U299" s="78" t="str">
        <f>IF(F299="","",VLOOKUP(F299,框架条目清单!A:K,8,FALSE))</f>
        <v/>
      </c>
      <c r="V299" s="78" t="str">
        <f>IF(F299="","",VLOOKUP(F299,框架条目清单!A:K,9,FALSE))</f>
        <v/>
      </c>
    </row>
    <row r="300" spans="1:22">
      <c r="A300" s="78" t="str">
        <f>IF(AND('2.报价结算清单'!$P403&gt;0,'2.报价结算清单'!$B403&lt;&gt;0,'2.报价结算清单'!$F403&lt;&gt;0),'2.报价结算清单'!$F403,"")</f>
        <v/>
      </c>
      <c r="B300" s="78" t="str">
        <f>_xlfn.IFNA(VLOOKUP(A300,'3.框架内物料'!$A:$I,3,0),A300)</f>
        <v/>
      </c>
      <c r="C300" s="78" t="str">
        <f>IF(AND('2.报价结算清单'!$P403&gt;0,'2.报价结算清单'!$B403&lt;&gt;0,'2.报价结算清单'!C403&lt;&gt;0),'2.报价结算清单'!C403,"")</f>
        <v/>
      </c>
      <c r="D300" s="78" t="str">
        <f>IF(AND('2.报价结算清单'!$P403&gt;0,'2.报价结算清单'!$B403&lt;&gt;0,'2.报价结算清单'!D403&lt;&gt;0),'2.报价结算清单'!D403,"")</f>
        <v/>
      </c>
      <c r="E300" s="78" t="str">
        <f>IF(AND('2.报价结算清单'!$P403&gt;0,'2.报价结算清单'!$B403&lt;&gt;0,'2.报价结算清单'!E403&lt;&gt;0),'2.报价结算清单'!E403,"")</f>
        <v/>
      </c>
      <c r="F300" s="105" t="str">
        <f>_xlfn.IFNA(IF($A300="","",IF(VLOOKUP($A300,'3.框架内物料'!$A:$I,2,0)="","",VLOOKUP($A300,'3.框架内物料'!$A:$I,2,0))),"")</f>
        <v/>
      </c>
      <c r="G300" s="87" t="str">
        <f>IF(AND('2.报价结算清单'!$P403&gt;0,'2.报价结算清单'!$B403&lt;&gt;0,'2.报价结算清单'!H403&lt;&gt;0),'2.报价结算清单'!H403,"")</f>
        <v/>
      </c>
      <c r="H300" s="122" t="str">
        <f>IF(AND('2.报价结算清单'!$P403&gt;0,'2.报价结算清单'!$B403&lt;&gt;0,'2.报价结算清单'!$F403&lt;&gt;0),'2.报价结算清单'!J403,"")</f>
        <v/>
      </c>
      <c r="I300" s="105" t="str">
        <f>IF(AND('2.报价结算清单'!$P403&gt;0,'2.报价结算清单'!$B403&lt;&gt;0,'2.报价结算清单'!$F403&lt;&gt;0),'2.报价结算清单'!L403,"")</f>
        <v/>
      </c>
      <c r="J300" s="105" t="str">
        <f>IF(AND('2.报价结算清单'!$P403&gt;0,'2.报价结算清单'!$B403&lt;&gt;0,'2.报价结算清单'!I403&lt;&gt;0),'2.报价结算清单'!I403,"")</f>
        <v/>
      </c>
      <c r="K300" s="105" t="str">
        <f>IF(AND('2.报价结算清单'!$P403&gt;0,'2.报价结算清单'!$B403&lt;&gt;0,'2.报价结算清单'!$F403&lt;&gt;0),'2.报价结算清单'!N403,"")</f>
        <v/>
      </c>
      <c r="L300" s="105" t="str">
        <f>IF(AND('2.报价结算清单'!$P403&gt;0,'2.报价结算清单'!$B403&lt;&gt;0,'2.报价结算清单'!I403&lt;&gt;0),"天","")</f>
        <v/>
      </c>
      <c r="M300" s="80" t="str">
        <f t="shared" si="12"/>
        <v/>
      </c>
      <c r="N300" s="78" t="str">
        <f t="shared" si="13"/>
        <v/>
      </c>
      <c r="O300" s="78" t="str">
        <f>IF(AND('2.报价结算清单'!$P403&gt;0,'2.报价结算清单'!$B403&lt;&gt;0,'2.报价结算清单'!S403&lt;&gt;0),'2.报价结算清单'!S403,"")</f>
        <v/>
      </c>
      <c r="P300" s="78" t="str">
        <f>IF(AND('2.报价结算清单'!$P403&gt;0,'2.报价结算清单'!$B403&lt;&gt;0,'2.报价结算清单'!T403&lt;&gt;0),'2.报价结算清单'!T403,"")</f>
        <v/>
      </c>
      <c r="Q300" s="78" t="str">
        <f>IF(F300="",J300,VLOOKUP(F300,框架条目清单!A:K,4,FALSE))</f>
        <v/>
      </c>
      <c r="R300" s="106" t="str">
        <f>IF($A300="","",'2.报价结算清单'!$K$183)</f>
        <v/>
      </c>
      <c r="S300" s="80" t="str">
        <f>IF($A300="","",'2.报价结算清单'!$E$183)</f>
        <v/>
      </c>
      <c r="T300" s="78" t="str">
        <f>IF(F300="","",VLOOKUP(F300,框架条目清单!A:K,7,FALSE))</f>
        <v/>
      </c>
      <c r="U300" s="78" t="str">
        <f>IF(F300="","",VLOOKUP(F300,框架条目清单!A:K,8,FALSE))</f>
        <v/>
      </c>
      <c r="V300" s="78" t="str">
        <f>IF(F300="","",VLOOKUP(F300,框架条目清单!A:K,9,FALSE))</f>
        <v/>
      </c>
    </row>
    <row r="301" spans="1:22">
      <c r="A301" s="78" t="str">
        <f>IF(AND('2.报价结算清单'!$P404&gt;0,'2.报价结算清单'!$B404&lt;&gt;0,'2.报价结算清单'!$F404&lt;&gt;0),'2.报价结算清单'!$F404,"")</f>
        <v/>
      </c>
      <c r="B301" s="78" t="str">
        <f>_xlfn.IFNA(VLOOKUP(A301,'3.框架内物料'!$A:$I,3,0),A301)</f>
        <v/>
      </c>
      <c r="C301" s="78" t="str">
        <f>IF(AND('2.报价结算清单'!$P404&gt;0,'2.报价结算清单'!$B404&lt;&gt;0,'2.报价结算清单'!C404&lt;&gt;0),'2.报价结算清单'!C404,"")</f>
        <v/>
      </c>
      <c r="D301" s="78" t="str">
        <f>IF(AND('2.报价结算清单'!$P404&gt;0,'2.报价结算清单'!$B404&lt;&gt;0,'2.报价结算清单'!D404&lt;&gt;0),'2.报价结算清单'!D404,"")</f>
        <v/>
      </c>
      <c r="E301" s="78" t="str">
        <f>IF(AND('2.报价结算清单'!$P404&gt;0,'2.报价结算清单'!$B404&lt;&gt;0,'2.报价结算清单'!E404&lt;&gt;0),'2.报价结算清单'!E404,"")</f>
        <v/>
      </c>
      <c r="F301" s="105" t="str">
        <f>_xlfn.IFNA(IF($A301="","",IF(VLOOKUP($A301,'3.框架内物料'!$A:$I,2,0)="","",VLOOKUP($A301,'3.框架内物料'!$A:$I,2,0))),"")</f>
        <v/>
      </c>
      <c r="G301" s="87" t="str">
        <f>IF(AND('2.报价结算清单'!$P404&gt;0,'2.报价结算清单'!$B404&lt;&gt;0,'2.报价结算清单'!H404&lt;&gt;0),'2.报价结算清单'!H404,"")</f>
        <v/>
      </c>
      <c r="H301" s="122" t="str">
        <f>IF(AND('2.报价结算清单'!$P404&gt;0,'2.报价结算清单'!$B404&lt;&gt;0,'2.报价结算清单'!$F404&lt;&gt;0),'2.报价结算清单'!J404,"")</f>
        <v/>
      </c>
      <c r="I301" s="105" t="str">
        <f>IF(AND('2.报价结算清单'!$P404&gt;0,'2.报价结算清单'!$B404&lt;&gt;0,'2.报价结算清单'!$F404&lt;&gt;0),'2.报价结算清单'!L404,"")</f>
        <v/>
      </c>
      <c r="J301" s="105" t="str">
        <f>IF(AND('2.报价结算清单'!$P404&gt;0,'2.报价结算清单'!$B404&lt;&gt;0,'2.报价结算清单'!I404&lt;&gt;0),'2.报价结算清单'!I404,"")</f>
        <v/>
      </c>
      <c r="K301" s="105" t="str">
        <f>IF(AND('2.报价结算清单'!$P404&gt;0,'2.报价结算清单'!$B404&lt;&gt;0,'2.报价结算清单'!$F404&lt;&gt;0),'2.报价结算清单'!N404,"")</f>
        <v/>
      </c>
      <c r="L301" s="105" t="str">
        <f>IF(AND('2.报价结算清单'!$P404&gt;0,'2.报价结算清单'!$B404&lt;&gt;0,'2.报价结算清单'!I404&lt;&gt;0),"天","")</f>
        <v/>
      </c>
      <c r="M301" s="80" t="str">
        <f t="shared" si="12"/>
        <v/>
      </c>
      <c r="N301" s="78" t="str">
        <f t="shared" si="13"/>
        <v/>
      </c>
      <c r="O301" s="78" t="str">
        <f>IF(AND('2.报价结算清单'!$P404&gt;0,'2.报价结算清单'!$B404&lt;&gt;0,'2.报价结算清单'!S404&lt;&gt;0),'2.报价结算清单'!S404,"")</f>
        <v/>
      </c>
      <c r="P301" s="78" t="str">
        <f>IF(AND('2.报价结算清单'!$P404&gt;0,'2.报价结算清单'!$B404&lt;&gt;0,'2.报价结算清单'!T404&lt;&gt;0),'2.报价结算清单'!T404,"")</f>
        <v/>
      </c>
      <c r="Q301" s="78" t="str">
        <f>IF(F301="",J301,VLOOKUP(F301,框架条目清单!A:K,4,FALSE))</f>
        <v/>
      </c>
      <c r="R301" s="106" t="str">
        <f>IF($A301="","",'2.报价结算清单'!$K$183)</f>
        <v/>
      </c>
      <c r="S301" s="80" t="str">
        <f>IF($A301="","",'2.报价结算清单'!$E$183)</f>
        <v/>
      </c>
      <c r="T301" s="78" t="str">
        <f>IF(F301="","",VLOOKUP(F301,框架条目清单!A:K,7,FALSE))</f>
        <v/>
      </c>
      <c r="U301" s="78" t="str">
        <f>IF(F301="","",VLOOKUP(F301,框架条目清单!A:K,8,FALSE))</f>
        <v/>
      </c>
      <c r="V301" s="78" t="str">
        <f>IF(F301="","",VLOOKUP(F301,框架条目清单!A:K,9,FALSE))</f>
        <v/>
      </c>
    </row>
    <row r="302" spans="1:22">
      <c r="A302" s="78" t="str">
        <f>IF(AND('2.报价结算清单'!$P405&gt;0,'2.报价结算清单'!$B405&lt;&gt;0,'2.报价结算清单'!$F405&lt;&gt;0),'2.报价结算清单'!$F405,"")</f>
        <v/>
      </c>
      <c r="B302" s="78" t="str">
        <f>_xlfn.IFNA(VLOOKUP(A302,'3.框架内物料'!$A:$I,3,0),A302)</f>
        <v/>
      </c>
      <c r="C302" s="78" t="str">
        <f>IF(AND('2.报价结算清单'!$P405&gt;0,'2.报价结算清单'!$B405&lt;&gt;0,'2.报价结算清单'!C405&lt;&gt;0),'2.报价结算清单'!C405,"")</f>
        <v/>
      </c>
      <c r="D302" s="78" t="str">
        <f>IF(AND('2.报价结算清单'!$P405&gt;0,'2.报价结算清单'!$B405&lt;&gt;0,'2.报价结算清单'!D405&lt;&gt;0),'2.报价结算清单'!D405,"")</f>
        <v/>
      </c>
      <c r="E302" s="78" t="str">
        <f>IF(AND('2.报价结算清单'!$P405&gt;0,'2.报价结算清单'!$B405&lt;&gt;0,'2.报价结算清单'!E405&lt;&gt;0),'2.报价结算清单'!E405,"")</f>
        <v/>
      </c>
      <c r="F302" s="105" t="str">
        <f>_xlfn.IFNA(IF($A302="","",IF(VLOOKUP($A302,'3.框架内物料'!$A:$I,2,0)="","",VLOOKUP($A302,'3.框架内物料'!$A:$I,2,0))),"")</f>
        <v/>
      </c>
      <c r="G302" s="87" t="str">
        <f>IF(AND('2.报价结算清单'!$P405&gt;0,'2.报价结算清单'!$B405&lt;&gt;0,'2.报价结算清单'!H405&lt;&gt;0),'2.报价结算清单'!H405,"")</f>
        <v/>
      </c>
      <c r="H302" s="122" t="str">
        <f>IF(AND('2.报价结算清单'!$P405&gt;0,'2.报价结算清单'!$B405&lt;&gt;0,'2.报价结算清单'!$F405&lt;&gt;0),'2.报价结算清单'!J405,"")</f>
        <v/>
      </c>
      <c r="I302" s="105" t="str">
        <f>IF(AND('2.报价结算清单'!$P405&gt;0,'2.报价结算清单'!$B405&lt;&gt;0,'2.报价结算清单'!$F405&lt;&gt;0),'2.报价结算清单'!L405,"")</f>
        <v/>
      </c>
      <c r="J302" s="105" t="str">
        <f>IF(AND('2.报价结算清单'!$P405&gt;0,'2.报价结算清单'!$B405&lt;&gt;0,'2.报价结算清单'!I405&lt;&gt;0),'2.报价结算清单'!I405,"")</f>
        <v/>
      </c>
      <c r="K302" s="105" t="str">
        <f>IF(AND('2.报价结算清单'!$P405&gt;0,'2.报价结算清单'!$B405&lt;&gt;0,'2.报价结算清单'!$F405&lt;&gt;0),'2.报价结算清单'!N405,"")</f>
        <v/>
      </c>
      <c r="L302" s="105" t="str">
        <f>IF(AND('2.报价结算清单'!$P405&gt;0,'2.报价结算清单'!$B405&lt;&gt;0,'2.报价结算清单'!I405&lt;&gt;0),"天","")</f>
        <v/>
      </c>
      <c r="M302" s="80" t="str">
        <f t="shared" si="12"/>
        <v/>
      </c>
      <c r="N302" s="78" t="str">
        <f t="shared" si="13"/>
        <v/>
      </c>
      <c r="O302" s="78" t="str">
        <f>IF(AND('2.报价结算清单'!$P405&gt;0,'2.报价结算清单'!$B405&lt;&gt;0,'2.报价结算清单'!S405&lt;&gt;0),'2.报价结算清单'!S405,"")</f>
        <v/>
      </c>
      <c r="P302" s="78" t="str">
        <f>IF(AND('2.报价结算清单'!$P405&gt;0,'2.报价结算清单'!$B405&lt;&gt;0,'2.报价结算清单'!T405&lt;&gt;0),'2.报价结算清单'!T405,"")</f>
        <v/>
      </c>
      <c r="Q302" s="78" t="str">
        <f>IF(F302="",J302,VLOOKUP(F302,框架条目清单!A:K,4,FALSE))</f>
        <v/>
      </c>
      <c r="R302" s="106" t="str">
        <f>IF($A302="","",'2.报价结算清单'!$K$183)</f>
        <v/>
      </c>
      <c r="S302" s="80" t="str">
        <f>IF($A302="","",'2.报价结算清单'!$E$183)</f>
        <v/>
      </c>
      <c r="T302" s="78" t="str">
        <f>IF(F302="","",VLOOKUP(F302,框架条目清单!A:K,7,FALSE))</f>
        <v/>
      </c>
      <c r="U302" s="78" t="str">
        <f>IF(F302="","",VLOOKUP(F302,框架条目清单!A:K,8,FALSE))</f>
        <v/>
      </c>
      <c r="V302" s="78" t="str">
        <f>IF(F302="","",VLOOKUP(F302,框架条目清单!A:K,9,FALSE))</f>
        <v/>
      </c>
    </row>
    <row r="303" spans="1:22">
      <c r="A303" s="78" t="str">
        <f>IF(AND('2.报价结算清单'!$P406&gt;0,'2.报价结算清单'!$B406&lt;&gt;0,'2.报价结算清单'!$F406&lt;&gt;0),'2.报价结算清单'!$F406,"")</f>
        <v/>
      </c>
      <c r="B303" s="78" t="str">
        <f>_xlfn.IFNA(VLOOKUP(A303,'3.框架内物料'!$A:$I,3,0),A303)</f>
        <v/>
      </c>
      <c r="C303" s="78" t="str">
        <f>IF(AND('2.报价结算清单'!$P406&gt;0,'2.报价结算清单'!$B406&lt;&gt;0,'2.报价结算清单'!C406&lt;&gt;0),'2.报价结算清单'!C406,"")</f>
        <v/>
      </c>
      <c r="D303" s="78" t="str">
        <f>IF(AND('2.报价结算清单'!$P406&gt;0,'2.报价结算清单'!$B406&lt;&gt;0,'2.报价结算清单'!D406&lt;&gt;0),'2.报价结算清单'!D406,"")</f>
        <v/>
      </c>
      <c r="E303" s="78" t="str">
        <f>IF(AND('2.报价结算清单'!$P406&gt;0,'2.报价结算清单'!$B406&lt;&gt;0,'2.报价结算清单'!E406&lt;&gt;0),'2.报价结算清单'!E406,"")</f>
        <v/>
      </c>
      <c r="F303" s="105" t="str">
        <f>_xlfn.IFNA(IF($A303="","",IF(VLOOKUP($A303,'3.框架内物料'!$A:$I,2,0)="","",VLOOKUP($A303,'3.框架内物料'!$A:$I,2,0))),"")</f>
        <v/>
      </c>
      <c r="G303" s="87" t="str">
        <f>IF(AND('2.报价结算清单'!$P406&gt;0,'2.报价结算清单'!$B406&lt;&gt;0,'2.报价结算清单'!H406&lt;&gt;0),'2.报价结算清单'!H406,"")</f>
        <v/>
      </c>
      <c r="H303" s="122" t="str">
        <f>IF(AND('2.报价结算清单'!$P406&gt;0,'2.报价结算清单'!$B406&lt;&gt;0,'2.报价结算清单'!$F406&lt;&gt;0),'2.报价结算清单'!J406,"")</f>
        <v/>
      </c>
      <c r="I303" s="105" t="str">
        <f>IF(AND('2.报价结算清单'!$P406&gt;0,'2.报价结算清单'!$B406&lt;&gt;0,'2.报价结算清单'!$F406&lt;&gt;0),'2.报价结算清单'!L406,"")</f>
        <v/>
      </c>
      <c r="J303" s="105" t="str">
        <f>IF(AND('2.报价结算清单'!$P406&gt;0,'2.报价结算清单'!$B406&lt;&gt;0,'2.报价结算清单'!I406&lt;&gt;0),'2.报价结算清单'!I406,"")</f>
        <v/>
      </c>
      <c r="K303" s="105" t="str">
        <f>IF(AND('2.报价结算清单'!$P406&gt;0,'2.报价结算清单'!$B406&lt;&gt;0,'2.报价结算清单'!$F406&lt;&gt;0),'2.报价结算清单'!N406,"")</f>
        <v/>
      </c>
      <c r="L303" s="105" t="str">
        <f>IF(AND('2.报价结算清单'!$P406&gt;0,'2.报价结算清单'!$B406&lt;&gt;0,'2.报价结算清单'!I406&lt;&gt;0),"天","")</f>
        <v/>
      </c>
      <c r="M303" s="80" t="str">
        <f t="shared" si="12"/>
        <v/>
      </c>
      <c r="N303" s="78" t="str">
        <f t="shared" si="13"/>
        <v/>
      </c>
      <c r="O303" s="78" t="str">
        <f>IF(AND('2.报价结算清单'!$P406&gt;0,'2.报价结算清单'!$B406&lt;&gt;0,'2.报价结算清单'!S406&lt;&gt;0),'2.报价结算清单'!S406,"")</f>
        <v/>
      </c>
      <c r="P303" s="78" t="str">
        <f>IF(AND('2.报价结算清单'!$P406&gt;0,'2.报价结算清单'!$B406&lt;&gt;0,'2.报价结算清单'!T406&lt;&gt;0),'2.报价结算清单'!T406,"")</f>
        <v/>
      </c>
      <c r="Q303" s="78" t="str">
        <f>IF(F303="",J303,VLOOKUP(F303,框架条目清单!A:K,4,FALSE))</f>
        <v/>
      </c>
      <c r="R303" s="106" t="str">
        <f>IF($A303="","",'2.报价结算清单'!$K$183)</f>
        <v/>
      </c>
      <c r="S303" s="80" t="str">
        <f>IF($A303="","",'2.报价结算清单'!$E$183)</f>
        <v/>
      </c>
      <c r="T303" s="78" t="str">
        <f>IF(F303="","",VLOOKUP(F303,框架条目清单!A:K,7,FALSE))</f>
        <v/>
      </c>
      <c r="U303" s="78" t="str">
        <f>IF(F303="","",VLOOKUP(F303,框架条目清单!A:K,8,FALSE))</f>
        <v/>
      </c>
      <c r="V303" s="78" t="str">
        <f>IF(F303="","",VLOOKUP(F303,框架条目清单!A:K,9,FALSE))</f>
        <v/>
      </c>
    </row>
    <row r="304" spans="1:22">
      <c r="A304" s="78" t="str">
        <f>IF(AND('2.报价结算清单'!$P407&gt;0,'2.报价结算清单'!$B407&lt;&gt;0,'2.报价结算清单'!$F407&lt;&gt;0),'2.报价结算清单'!$F407,"")</f>
        <v/>
      </c>
      <c r="B304" s="78" t="str">
        <f>_xlfn.IFNA(VLOOKUP(A304,'3.框架内物料'!$A:$I,3,0),A304)</f>
        <v/>
      </c>
      <c r="C304" s="78" t="str">
        <f>IF(AND('2.报价结算清单'!$P407&gt;0,'2.报价结算清单'!$B407&lt;&gt;0,'2.报价结算清单'!C407&lt;&gt;0),'2.报价结算清单'!C407,"")</f>
        <v/>
      </c>
      <c r="D304" s="78" t="str">
        <f>IF(AND('2.报价结算清单'!$P407&gt;0,'2.报价结算清单'!$B407&lt;&gt;0,'2.报价结算清单'!D407&lt;&gt;0),'2.报价结算清单'!D407,"")</f>
        <v/>
      </c>
      <c r="E304" s="78" t="str">
        <f>IF(AND('2.报价结算清单'!$P407&gt;0,'2.报价结算清单'!$B407&lt;&gt;0,'2.报价结算清单'!E407&lt;&gt;0),'2.报价结算清单'!E407,"")</f>
        <v/>
      </c>
      <c r="F304" s="105" t="str">
        <f>_xlfn.IFNA(IF($A304="","",IF(VLOOKUP($A304,'3.框架内物料'!$A:$I,2,0)="","",VLOOKUP($A304,'3.框架内物料'!$A:$I,2,0))),"")</f>
        <v/>
      </c>
      <c r="G304" s="87" t="str">
        <f>IF(AND('2.报价结算清单'!$P407&gt;0,'2.报价结算清单'!$B407&lt;&gt;0,'2.报价结算清单'!H407&lt;&gt;0),'2.报价结算清单'!H407,"")</f>
        <v/>
      </c>
      <c r="H304" s="122" t="str">
        <f>IF(AND('2.报价结算清单'!$P407&gt;0,'2.报价结算清单'!$B407&lt;&gt;0,'2.报价结算清单'!$F407&lt;&gt;0),'2.报价结算清单'!J407,"")</f>
        <v/>
      </c>
      <c r="I304" s="105" t="str">
        <f>IF(AND('2.报价结算清单'!$P407&gt;0,'2.报价结算清单'!$B407&lt;&gt;0,'2.报价结算清单'!$F407&lt;&gt;0),'2.报价结算清单'!L407,"")</f>
        <v/>
      </c>
      <c r="J304" s="105" t="str">
        <f>IF(AND('2.报价结算清单'!$P407&gt;0,'2.报价结算清单'!$B407&lt;&gt;0,'2.报价结算清单'!I407&lt;&gt;0),'2.报价结算清单'!I407,"")</f>
        <v/>
      </c>
      <c r="K304" s="105" t="str">
        <f>IF(AND('2.报价结算清单'!$P407&gt;0,'2.报价结算清单'!$B407&lt;&gt;0,'2.报价结算清单'!$F407&lt;&gt;0),'2.报价结算清单'!N407,"")</f>
        <v/>
      </c>
      <c r="L304" s="105" t="str">
        <f>IF(AND('2.报价结算清单'!$P407&gt;0,'2.报价结算清单'!$B407&lt;&gt;0,'2.报价结算清单'!I407&lt;&gt;0),"天","")</f>
        <v/>
      </c>
      <c r="M304" s="80" t="str">
        <f t="shared" si="12"/>
        <v/>
      </c>
      <c r="N304" s="78" t="str">
        <f t="shared" si="13"/>
        <v/>
      </c>
      <c r="O304" s="78" t="str">
        <f>IF(AND('2.报价结算清单'!$P407&gt;0,'2.报价结算清单'!$B407&lt;&gt;0,'2.报价结算清单'!S407&lt;&gt;0),'2.报价结算清单'!S407,"")</f>
        <v/>
      </c>
      <c r="P304" s="78" t="str">
        <f>IF(AND('2.报价结算清单'!$P407&gt;0,'2.报价结算清单'!$B407&lt;&gt;0,'2.报价结算清单'!T407&lt;&gt;0),'2.报价结算清单'!T407,"")</f>
        <v/>
      </c>
      <c r="Q304" s="78" t="str">
        <f>IF(F304="",J304,VLOOKUP(F304,框架条目清单!A:K,4,FALSE))</f>
        <v/>
      </c>
      <c r="R304" s="106" t="str">
        <f>IF($A304="","",'2.报价结算清单'!$K$183)</f>
        <v/>
      </c>
      <c r="S304" s="80" t="str">
        <f>IF($A304="","",'2.报价结算清单'!$E$183)</f>
        <v/>
      </c>
      <c r="T304" s="78" t="str">
        <f>IF(F304="","",VLOOKUP(F304,框架条目清单!A:K,7,FALSE))</f>
        <v/>
      </c>
      <c r="U304" s="78" t="str">
        <f>IF(F304="","",VLOOKUP(F304,框架条目清单!A:K,8,FALSE))</f>
        <v/>
      </c>
      <c r="V304" s="78" t="str">
        <f>IF(F304="","",VLOOKUP(F304,框架条目清单!A:K,9,FALSE))</f>
        <v/>
      </c>
    </row>
    <row r="305" spans="1:22">
      <c r="A305" s="78" t="str">
        <f>IF(AND('2.报价结算清单'!$P408&gt;0,'2.报价结算清单'!$B408&lt;&gt;0,'2.报价结算清单'!$F408&lt;&gt;0),'2.报价结算清单'!$F408,"")</f>
        <v/>
      </c>
      <c r="B305" s="78" t="str">
        <f>_xlfn.IFNA(VLOOKUP(A305,'3.框架内物料'!$A:$I,3,0),A305)</f>
        <v/>
      </c>
      <c r="C305" s="78" t="str">
        <f>IF(AND('2.报价结算清单'!$P408&gt;0,'2.报价结算清单'!$B408&lt;&gt;0,'2.报价结算清单'!C408&lt;&gt;0),'2.报价结算清单'!C408,"")</f>
        <v/>
      </c>
      <c r="D305" s="78" t="str">
        <f>IF(AND('2.报价结算清单'!$P408&gt;0,'2.报价结算清单'!$B408&lt;&gt;0,'2.报价结算清单'!D408&lt;&gt;0),'2.报价结算清单'!D408,"")</f>
        <v/>
      </c>
      <c r="E305" s="78" t="str">
        <f>IF(AND('2.报价结算清单'!$P408&gt;0,'2.报价结算清单'!$B408&lt;&gt;0,'2.报价结算清单'!E408&lt;&gt;0),'2.报价结算清单'!E408,"")</f>
        <v/>
      </c>
      <c r="F305" s="105" t="str">
        <f>_xlfn.IFNA(IF($A305="","",IF(VLOOKUP($A305,'3.框架内物料'!$A:$I,2,0)="","",VLOOKUP($A305,'3.框架内物料'!$A:$I,2,0))),"")</f>
        <v/>
      </c>
      <c r="G305" s="87" t="str">
        <f>IF(AND('2.报价结算清单'!$P408&gt;0,'2.报价结算清单'!$B408&lt;&gt;0,'2.报价结算清单'!H408&lt;&gt;0),'2.报价结算清单'!H408,"")</f>
        <v/>
      </c>
      <c r="H305" s="122" t="str">
        <f>IF(AND('2.报价结算清单'!$P408&gt;0,'2.报价结算清单'!$B408&lt;&gt;0,'2.报价结算清单'!$F408&lt;&gt;0),'2.报价结算清单'!J408,"")</f>
        <v/>
      </c>
      <c r="I305" s="105" t="str">
        <f>IF(AND('2.报价结算清单'!$P408&gt;0,'2.报价结算清单'!$B408&lt;&gt;0,'2.报价结算清单'!$F408&lt;&gt;0),'2.报价结算清单'!L408,"")</f>
        <v/>
      </c>
      <c r="J305" s="105" t="str">
        <f>IF(AND('2.报价结算清单'!$P408&gt;0,'2.报价结算清单'!$B408&lt;&gt;0,'2.报价结算清单'!I408&lt;&gt;0),'2.报价结算清单'!I408,"")</f>
        <v/>
      </c>
      <c r="K305" s="105" t="str">
        <f>IF(AND('2.报价结算清单'!$P408&gt;0,'2.报价结算清单'!$B408&lt;&gt;0,'2.报价结算清单'!$F408&lt;&gt;0),'2.报价结算清单'!N408,"")</f>
        <v/>
      </c>
      <c r="L305" s="105" t="str">
        <f>IF(AND('2.报价结算清单'!$P408&gt;0,'2.报价结算清单'!$B408&lt;&gt;0,'2.报价结算清单'!I408&lt;&gt;0),"天","")</f>
        <v/>
      </c>
      <c r="M305" s="80" t="str">
        <f t="shared" si="12"/>
        <v/>
      </c>
      <c r="N305" s="78" t="str">
        <f t="shared" si="13"/>
        <v/>
      </c>
      <c r="O305" s="78" t="str">
        <f>IF(AND('2.报价结算清单'!$P408&gt;0,'2.报价结算清单'!$B408&lt;&gt;0,'2.报价结算清单'!S408&lt;&gt;0),'2.报价结算清单'!S408,"")</f>
        <v/>
      </c>
      <c r="P305" s="78" t="str">
        <f>IF(AND('2.报价结算清单'!$P408&gt;0,'2.报价结算清单'!$B408&lt;&gt;0,'2.报价结算清单'!T408&lt;&gt;0),'2.报价结算清单'!T408,"")</f>
        <v/>
      </c>
      <c r="Q305" s="78" t="str">
        <f>IF(F305="",J305,VLOOKUP(F305,框架条目清单!A:K,4,FALSE))</f>
        <v/>
      </c>
      <c r="R305" s="106" t="str">
        <f>IF($A305="","",'2.报价结算清单'!$K$183)</f>
        <v/>
      </c>
      <c r="S305" s="80" t="str">
        <f>IF($A305="","",'2.报价结算清单'!$E$183)</f>
        <v/>
      </c>
      <c r="T305" s="78" t="str">
        <f>IF(F305="","",VLOOKUP(F305,框架条目清单!A:K,7,FALSE))</f>
        <v/>
      </c>
      <c r="U305" s="78" t="str">
        <f>IF(F305="","",VLOOKUP(F305,框架条目清单!A:K,8,FALSE))</f>
        <v/>
      </c>
      <c r="V305" s="78" t="str">
        <f>IF(F305="","",VLOOKUP(F305,框架条目清单!A:K,9,FALSE))</f>
        <v/>
      </c>
    </row>
    <row r="306" spans="1:22">
      <c r="A306" s="78" t="str">
        <f>IF(AND('2.报价结算清单'!$P409&gt;0,'2.报价结算清单'!$B409&lt;&gt;0,'2.报价结算清单'!$F409&lt;&gt;0),'2.报价结算清单'!$F409,"")</f>
        <v/>
      </c>
      <c r="B306" s="78" t="str">
        <f>_xlfn.IFNA(VLOOKUP(A306,'3.框架内物料'!$A:$I,3,0),A306)</f>
        <v/>
      </c>
      <c r="C306" s="78" t="str">
        <f>IF(AND('2.报价结算清单'!$P409&gt;0,'2.报价结算清单'!$B409&lt;&gt;0,'2.报价结算清单'!C409&lt;&gt;0),'2.报价结算清单'!C409,"")</f>
        <v/>
      </c>
      <c r="D306" s="78" t="str">
        <f>IF(AND('2.报价结算清单'!$P409&gt;0,'2.报价结算清单'!$B409&lt;&gt;0,'2.报价结算清单'!D409&lt;&gt;0),'2.报价结算清单'!D409,"")</f>
        <v/>
      </c>
      <c r="E306" s="78" t="str">
        <f>IF(AND('2.报价结算清单'!$P409&gt;0,'2.报价结算清单'!$B409&lt;&gt;0,'2.报价结算清单'!E409&lt;&gt;0),'2.报价结算清单'!E409,"")</f>
        <v/>
      </c>
      <c r="F306" s="105" t="str">
        <f>_xlfn.IFNA(IF($A306="","",IF(VLOOKUP($A306,'3.框架内物料'!$A:$I,2,0)="","",VLOOKUP($A306,'3.框架内物料'!$A:$I,2,0))),"")</f>
        <v/>
      </c>
      <c r="G306" s="87" t="str">
        <f>IF(AND('2.报价结算清单'!$P409&gt;0,'2.报价结算清单'!$B409&lt;&gt;0,'2.报价结算清单'!H409&lt;&gt;0),'2.报价结算清单'!H409,"")</f>
        <v/>
      </c>
      <c r="H306" s="122" t="str">
        <f>IF(AND('2.报价结算清单'!$P409&gt;0,'2.报价结算清单'!$B409&lt;&gt;0,'2.报价结算清单'!$F409&lt;&gt;0),'2.报价结算清单'!J409,"")</f>
        <v/>
      </c>
      <c r="I306" s="105" t="str">
        <f>IF(AND('2.报价结算清单'!$P409&gt;0,'2.报价结算清单'!$B409&lt;&gt;0,'2.报价结算清单'!$F409&lt;&gt;0),'2.报价结算清单'!L409,"")</f>
        <v/>
      </c>
      <c r="J306" s="105" t="str">
        <f>IF(AND('2.报价结算清单'!$P409&gt;0,'2.报价结算清单'!$B409&lt;&gt;0,'2.报价结算清单'!I409&lt;&gt;0),'2.报价结算清单'!I409,"")</f>
        <v/>
      </c>
      <c r="K306" s="105" t="str">
        <f>IF(AND('2.报价结算清单'!$P409&gt;0,'2.报价结算清单'!$B409&lt;&gt;0,'2.报价结算清单'!$F409&lt;&gt;0),'2.报价结算清单'!N409,"")</f>
        <v/>
      </c>
      <c r="L306" s="105" t="str">
        <f>IF(AND('2.报价结算清单'!$P409&gt;0,'2.报价结算清单'!$B409&lt;&gt;0,'2.报价结算清单'!I409&lt;&gt;0),"天","")</f>
        <v/>
      </c>
      <c r="M306" s="80" t="str">
        <f t="shared" si="12"/>
        <v/>
      </c>
      <c r="N306" s="78" t="str">
        <f t="shared" si="13"/>
        <v/>
      </c>
      <c r="O306" s="78" t="str">
        <f>IF(AND('2.报价结算清单'!$P409&gt;0,'2.报价结算清单'!$B409&lt;&gt;0,'2.报价结算清单'!S409&lt;&gt;0),'2.报价结算清单'!S409,"")</f>
        <v/>
      </c>
      <c r="P306" s="78" t="str">
        <f>IF(AND('2.报价结算清单'!$P409&gt;0,'2.报价结算清单'!$B409&lt;&gt;0,'2.报价结算清单'!T409&lt;&gt;0),'2.报价结算清单'!T409,"")</f>
        <v/>
      </c>
      <c r="Q306" s="78" t="str">
        <f>IF(F306="",J306,VLOOKUP(F306,框架条目清单!A:K,4,FALSE))</f>
        <v/>
      </c>
      <c r="R306" s="106" t="str">
        <f>IF($A306="","",'2.报价结算清单'!$K$183)</f>
        <v/>
      </c>
      <c r="S306" s="80" t="str">
        <f>IF($A306="","",'2.报价结算清单'!$E$183)</f>
        <v/>
      </c>
      <c r="T306" s="78" t="str">
        <f>IF(F306="","",VLOOKUP(F306,框架条目清单!A:K,7,FALSE))</f>
        <v/>
      </c>
      <c r="U306" s="78" t="str">
        <f>IF(F306="","",VLOOKUP(F306,框架条目清单!A:K,8,FALSE))</f>
        <v/>
      </c>
      <c r="V306" s="78" t="str">
        <f>IF(F306="","",VLOOKUP(F306,框架条目清单!A:K,9,FALSE))</f>
        <v/>
      </c>
    </row>
    <row r="307" spans="1:22">
      <c r="A307" s="78" t="str">
        <f>IF(AND('2.报价结算清单'!$P410&gt;0,'2.报价结算清单'!$B410&lt;&gt;0,'2.报价结算清单'!$F410&lt;&gt;0),'2.报价结算清单'!$F410,"")</f>
        <v/>
      </c>
      <c r="B307" s="78" t="str">
        <f>_xlfn.IFNA(VLOOKUP(A307,'3.框架内物料'!$A:$I,3,0),A307)</f>
        <v/>
      </c>
      <c r="C307" s="78" t="str">
        <f>IF(AND('2.报价结算清单'!$P410&gt;0,'2.报价结算清单'!$B410&lt;&gt;0,'2.报价结算清单'!C410&lt;&gt;0),'2.报价结算清单'!C410,"")</f>
        <v/>
      </c>
      <c r="D307" s="78" t="str">
        <f>IF(AND('2.报价结算清单'!$P410&gt;0,'2.报价结算清单'!$B410&lt;&gt;0,'2.报价结算清单'!D410&lt;&gt;0),'2.报价结算清单'!D410,"")</f>
        <v/>
      </c>
      <c r="E307" s="78" t="str">
        <f>IF(AND('2.报价结算清单'!$P410&gt;0,'2.报价结算清单'!$B410&lt;&gt;0,'2.报价结算清单'!E410&lt;&gt;0),'2.报价结算清单'!E410,"")</f>
        <v/>
      </c>
      <c r="F307" s="105" t="str">
        <f>_xlfn.IFNA(IF($A307="","",IF(VLOOKUP($A307,'3.框架内物料'!$A:$I,2,0)="","",VLOOKUP($A307,'3.框架内物料'!$A:$I,2,0))),"")</f>
        <v/>
      </c>
      <c r="G307" s="87" t="str">
        <f>IF(AND('2.报价结算清单'!$P410&gt;0,'2.报价结算清单'!$B410&lt;&gt;0,'2.报价结算清单'!H410&lt;&gt;0),'2.报价结算清单'!H410,"")</f>
        <v/>
      </c>
      <c r="H307" s="122" t="str">
        <f>IF(AND('2.报价结算清单'!$P410&gt;0,'2.报价结算清单'!$B410&lt;&gt;0,'2.报价结算清单'!$F410&lt;&gt;0),'2.报价结算清单'!J410,"")</f>
        <v/>
      </c>
      <c r="I307" s="105" t="str">
        <f>IF(AND('2.报价结算清单'!$P410&gt;0,'2.报价结算清单'!$B410&lt;&gt;0,'2.报价结算清单'!$F410&lt;&gt;0),'2.报价结算清单'!L410,"")</f>
        <v/>
      </c>
      <c r="J307" s="105" t="str">
        <f>IF(AND('2.报价结算清单'!$P410&gt;0,'2.报价结算清单'!$B410&lt;&gt;0,'2.报价结算清单'!I410&lt;&gt;0),'2.报价结算清单'!I410,"")</f>
        <v/>
      </c>
      <c r="K307" s="105" t="str">
        <f>IF(AND('2.报价结算清单'!$P410&gt;0,'2.报价结算清单'!$B410&lt;&gt;0,'2.报价结算清单'!$F410&lt;&gt;0),'2.报价结算清单'!N410,"")</f>
        <v/>
      </c>
      <c r="L307" s="105" t="str">
        <f>IF(AND('2.报价结算清单'!$P410&gt;0,'2.报价结算清单'!$B410&lt;&gt;0,'2.报价结算清单'!I410&lt;&gt;0),"天","")</f>
        <v/>
      </c>
      <c r="M307" s="80" t="str">
        <f t="shared" si="12"/>
        <v/>
      </c>
      <c r="N307" s="78" t="str">
        <f t="shared" si="13"/>
        <v/>
      </c>
      <c r="O307" s="78" t="str">
        <f>IF(AND('2.报价结算清单'!$P410&gt;0,'2.报价结算清单'!$B410&lt;&gt;0,'2.报价结算清单'!S410&lt;&gt;0),'2.报价结算清单'!S410,"")</f>
        <v/>
      </c>
      <c r="P307" s="78" t="str">
        <f>IF(AND('2.报价结算清单'!$P410&gt;0,'2.报价结算清单'!$B410&lt;&gt;0,'2.报价结算清单'!T410&lt;&gt;0),'2.报价结算清单'!T410,"")</f>
        <v/>
      </c>
      <c r="Q307" s="78" t="str">
        <f>IF(F307="",J307,VLOOKUP(F307,框架条目清单!A:K,4,FALSE))</f>
        <v/>
      </c>
      <c r="R307" s="106" t="str">
        <f>IF($A307="","",'2.报价结算清单'!$K$183)</f>
        <v/>
      </c>
      <c r="S307" s="80" t="str">
        <f>IF($A307="","",'2.报价结算清单'!$E$183)</f>
        <v/>
      </c>
      <c r="T307" s="78" t="str">
        <f>IF(F307="","",VLOOKUP(F307,框架条目清单!A:K,7,FALSE))</f>
        <v/>
      </c>
      <c r="U307" s="78" t="str">
        <f>IF(F307="","",VLOOKUP(F307,框架条目清单!A:K,8,FALSE))</f>
        <v/>
      </c>
      <c r="V307" s="78" t="str">
        <f>IF(F307="","",VLOOKUP(F307,框架条目清单!A:K,9,FALSE))</f>
        <v/>
      </c>
    </row>
    <row r="308" spans="1:22">
      <c r="A308" s="78" t="str">
        <f>IF(AND('2.报价结算清单'!$P411&gt;0,'2.报价结算清单'!$B411&lt;&gt;0,'2.报价结算清单'!$F411&lt;&gt;0),'2.报价结算清单'!$F411,"")</f>
        <v/>
      </c>
      <c r="B308" s="78" t="str">
        <f>_xlfn.IFNA(VLOOKUP(A308,'3.框架内物料'!$A:$I,3,0),A308)</f>
        <v/>
      </c>
      <c r="C308" s="78" t="str">
        <f>IF(AND('2.报价结算清单'!$P411&gt;0,'2.报价结算清单'!$B411&lt;&gt;0,'2.报价结算清单'!C411&lt;&gt;0),'2.报价结算清单'!C411,"")</f>
        <v/>
      </c>
      <c r="D308" s="78" t="str">
        <f>IF(AND('2.报价结算清单'!$P411&gt;0,'2.报价结算清单'!$B411&lt;&gt;0,'2.报价结算清单'!D411&lt;&gt;0),'2.报价结算清单'!D411,"")</f>
        <v/>
      </c>
      <c r="E308" s="78" t="str">
        <f>IF(AND('2.报价结算清单'!$P411&gt;0,'2.报价结算清单'!$B411&lt;&gt;0,'2.报价结算清单'!E411&lt;&gt;0),'2.报价结算清单'!E411,"")</f>
        <v/>
      </c>
      <c r="F308" s="105" t="str">
        <f>_xlfn.IFNA(IF($A308="","",IF(VLOOKUP($A308,'3.框架内物料'!$A:$I,2,0)="","",VLOOKUP($A308,'3.框架内物料'!$A:$I,2,0))),"")</f>
        <v/>
      </c>
      <c r="G308" s="87" t="str">
        <f>IF(AND('2.报价结算清单'!$P411&gt;0,'2.报价结算清单'!$B411&lt;&gt;0,'2.报价结算清单'!H411&lt;&gt;0),'2.报价结算清单'!H411,"")</f>
        <v/>
      </c>
      <c r="H308" s="122" t="str">
        <f>IF(AND('2.报价结算清单'!$P411&gt;0,'2.报价结算清单'!$B411&lt;&gt;0,'2.报价结算清单'!$F411&lt;&gt;0),'2.报价结算清单'!J411,"")</f>
        <v/>
      </c>
      <c r="I308" s="105" t="str">
        <f>IF(AND('2.报价结算清单'!$P411&gt;0,'2.报价结算清单'!$B411&lt;&gt;0,'2.报价结算清单'!$F411&lt;&gt;0),'2.报价结算清单'!L411,"")</f>
        <v/>
      </c>
      <c r="J308" s="105" t="str">
        <f>IF(AND('2.报价结算清单'!$P411&gt;0,'2.报价结算清单'!$B411&lt;&gt;0,'2.报价结算清单'!I411&lt;&gt;0),'2.报价结算清单'!I411,"")</f>
        <v/>
      </c>
      <c r="K308" s="105" t="str">
        <f>IF(AND('2.报价结算清单'!$P411&gt;0,'2.报价结算清单'!$B411&lt;&gt;0,'2.报价结算清单'!$F411&lt;&gt;0),'2.报价结算清单'!N411,"")</f>
        <v/>
      </c>
      <c r="L308" s="105" t="str">
        <f>IF(AND('2.报价结算清单'!$P411&gt;0,'2.报价结算清单'!$B411&lt;&gt;0,'2.报价结算清单'!I411&lt;&gt;0),"天","")</f>
        <v/>
      </c>
      <c r="M308" s="80" t="str">
        <f t="shared" si="12"/>
        <v/>
      </c>
      <c r="N308" s="78" t="str">
        <f t="shared" si="13"/>
        <v/>
      </c>
      <c r="O308" s="78" t="str">
        <f>IF(AND('2.报价结算清单'!$P411&gt;0,'2.报价结算清单'!$B411&lt;&gt;0,'2.报价结算清单'!S411&lt;&gt;0),'2.报价结算清单'!S411,"")</f>
        <v/>
      </c>
      <c r="P308" s="78" t="str">
        <f>IF(AND('2.报价结算清单'!$P411&gt;0,'2.报价结算清单'!$B411&lt;&gt;0,'2.报价结算清单'!T411&lt;&gt;0),'2.报价结算清单'!T411,"")</f>
        <v/>
      </c>
      <c r="Q308" s="78" t="str">
        <f>IF(F308="",J308,VLOOKUP(F308,框架条目清单!A:K,4,FALSE))</f>
        <v/>
      </c>
      <c r="R308" s="106" t="str">
        <f>IF($A308="","",'2.报价结算清单'!$K$183)</f>
        <v/>
      </c>
      <c r="S308" s="80" t="str">
        <f>IF($A308="","",'2.报价结算清单'!$E$183)</f>
        <v/>
      </c>
      <c r="T308" s="78" t="str">
        <f>IF(F308="","",VLOOKUP(F308,框架条目清单!A:K,7,FALSE))</f>
        <v/>
      </c>
      <c r="U308" s="78" t="str">
        <f>IF(F308="","",VLOOKUP(F308,框架条目清单!A:K,8,FALSE))</f>
        <v/>
      </c>
      <c r="V308" s="78" t="str">
        <f>IF(F308="","",VLOOKUP(F308,框架条目清单!A:K,9,FALSE))</f>
        <v/>
      </c>
    </row>
    <row r="309" spans="1:22">
      <c r="A309" s="78" t="str">
        <f>IF(AND('2.报价结算清单'!$P412&gt;0,'2.报价结算清单'!$B412&lt;&gt;0,'2.报价结算清单'!$F412&lt;&gt;0),'2.报价结算清单'!$F412,"")</f>
        <v/>
      </c>
      <c r="B309" s="78" t="str">
        <f>_xlfn.IFNA(VLOOKUP(A309,'3.框架内物料'!$A:$I,3,0),A309)</f>
        <v/>
      </c>
      <c r="C309" s="78" t="str">
        <f>IF(AND('2.报价结算清单'!$P412&gt;0,'2.报价结算清单'!$B412&lt;&gt;0,'2.报价结算清单'!C412&lt;&gt;0),'2.报价结算清单'!C412,"")</f>
        <v/>
      </c>
      <c r="D309" s="78" t="str">
        <f>IF(AND('2.报价结算清单'!$P412&gt;0,'2.报价结算清单'!$B412&lt;&gt;0,'2.报价结算清单'!D412&lt;&gt;0),'2.报价结算清单'!D412,"")</f>
        <v/>
      </c>
      <c r="E309" s="78" t="str">
        <f>IF(AND('2.报价结算清单'!$P412&gt;0,'2.报价结算清单'!$B412&lt;&gt;0,'2.报价结算清单'!E412&lt;&gt;0),'2.报价结算清单'!E412,"")</f>
        <v/>
      </c>
      <c r="F309" s="105" t="str">
        <f>_xlfn.IFNA(IF($A309="","",IF(VLOOKUP($A309,'3.框架内物料'!$A:$I,2,0)="","",VLOOKUP($A309,'3.框架内物料'!$A:$I,2,0))),"")</f>
        <v/>
      </c>
      <c r="G309" s="87" t="str">
        <f>IF(AND('2.报价结算清单'!$P412&gt;0,'2.报价结算清单'!$B412&lt;&gt;0,'2.报价结算清单'!H412&lt;&gt;0),'2.报价结算清单'!H412,"")</f>
        <v/>
      </c>
      <c r="H309" s="122" t="str">
        <f>IF(AND('2.报价结算清单'!$P412&gt;0,'2.报价结算清单'!$B412&lt;&gt;0,'2.报价结算清单'!$F412&lt;&gt;0),'2.报价结算清单'!J412,"")</f>
        <v/>
      </c>
      <c r="I309" s="105" t="str">
        <f>IF(AND('2.报价结算清单'!$P412&gt;0,'2.报价结算清单'!$B412&lt;&gt;0,'2.报价结算清单'!$F412&lt;&gt;0),'2.报价结算清单'!L412,"")</f>
        <v/>
      </c>
      <c r="J309" s="105" t="str">
        <f>IF(AND('2.报价结算清单'!$P412&gt;0,'2.报价结算清单'!$B412&lt;&gt;0,'2.报价结算清单'!I412&lt;&gt;0),'2.报价结算清单'!I412,"")</f>
        <v/>
      </c>
      <c r="K309" s="105" t="str">
        <f>IF(AND('2.报价结算清单'!$P412&gt;0,'2.报价结算清单'!$B412&lt;&gt;0,'2.报价结算清单'!$F412&lt;&gt;0),'2.报价结算清单'!N412,"")</f>
        <v/>
      </c>
      <c r="L309" s="105" t="str">
        <f>IF(AND('2.报价结算清单'!$P412&gt;0,'2.报价结算清单'!$B412&lt;&gt;0,'2.报价结算清单'!I412&lt;&gt;0),"天","")</f>
        <v/>
      </c>
      <c r="M309" s="80" t="str">
        <f t="shared" si="12"/>
        <v/>
      </c>
      <c r="N309" s="78" t="str">
        <f t="shared" si="13"/>
        <v/>
      </c>
      <c r="O309" s="78" t="str">
        <f>IF(AND('2.报价结算清单'!$P412&gt;0,'2.报价结算清单'!$B412&lt;&gt;0,'2.报价结算清单'!S412&lt;&gt;0),'2.报价结算清单'!S412,"")</f>
        <v/>
      </c>
      <c r="P309" s="78" t="str">
        <f>IF(AND('2.报价结算清单'!$P412&gt;0,'2.报价结算清单'!$B412&lt;&gt;0,'2.报价结算清单'!T412&lt;&gt;0),'2.报价结算清单'!T412,"")</f>
        <v/>
      </c>
      <c r="Q309" s="78" t="str">
        <f>IF(F309="",J309,VLOOKUP(F309,框架条目清单!A:K,4,FALSE))</f>
        <v/>
      </c>
      <c r="R309" s="106" t="str">
        <f>IF($A309="","",'2.报价结算清单'!$K$183)</f>
        <v/>
      </c>
      <c r="S309" s="80" t="str">
        <f>IF($A309="","",'2.报价结算清单'!$E$183)</f>
        <v/>
      </c>
      <c r="T309" s="78" t="str">
        <f>IF(F309="","",VLOOKUP(F309,框架条目清单!A:K,7,FALSE))</f>
        <v/>
      </c>
      <c r="U309" s="78" t="str">
        <f>IF(F309="","",VLOOKUP(F309,框架条目清单!A:K,8,FALSE))</f>
        <v/>
      </c>
      <c r="V309" s="78" t="str">
        <f>IF(F309="","",VLOOKUP(F309,框架条目清单!A:K,9,FALSE))</f>
        <v/>
      </c>
    </row>
    <row r="310" spans="1:22">
      <c r="A310" s="78" t="str">
        <f>IF(AND('2.报价结算清单'!$P413&gt;0,'2.报价结算清单'!$B413&lt;&gt;0,'2.报价结算清单'!$F413&lt;&gt;0),'2.报价结算清单'!$F413,"")</f>
        <v/>
      </c>
      <c r="B310" s="78" t="str">
        <f>_xlfn.IFNA(VLOOKUP(A310,'3.框架内物料'!$A:$I,3,0),A310)</f>
        <v/>
      </c>
      <c r="C310" s="78" t="str">
        <f>IF(AND('2.报价结算清单'!$P413&gt;0,'2.报价结算清单'!$B413&lt;&gt;0,'2.报价结算清单'!C413&lt;&gt;0),'2.报价结算清单'!C413,"")</f>
        <v/>
      </c>
      <c r="D310" s="78" t="str">
        <f>IF(AND('2.报价结算清单'!$P413&gt;0,'2.报价结算清单'!$B413&lt;&gt;0,'2.报价结算清单'!D413&lt;&gt;0),'2.报价结算清单'!D413,"")</f>
        <v/>
      </c>
      <c r="E310" s="78" t="str">
        <f>IF(AND('2.报价结算清单'!$P413&gt;0,'2.报价结算清单'!$B413&lt;&gt;0,'2.报价结算清单'!E413&lt;&gt;0),'2.报价结算清单'!E413,"")</f>
        <v/>
      </c>
      <c r="F310" s="105" t="str">
        <f>_xlfn.IFNA(IF($A310="","",IF(VLOOKUP($A310,'3.框架内物料'!$A:$I,2,0)="","",VLOOKUP($A310,'3.框架内物料'!$A:$I,2,0))),"")</f>
        <v/>
      </c>
      <c r="G310" s="87" t="str">
        <f>IF(AND('2.报价结算清单'!$P413&gt;0,'2.报价结算清单'!$B413&lt;&gt;0,'2.报价结算清单'!H413&lt;&gt;0),'2.报价结算清单'!H413,"")</f>
        <v/>
      </c>
      <c r="H310" s="122" t="str">
        <f>IF(AND('2.报价结算清单'!$P413&gt;0,'2.报价结算清单'!$B413&lt;&gt;0,'2.报价结算清单'!$F413&lt;&gt;0),'2.报价结算清单'!J413,"")</f>
        <v/>
      </c>
      <c r="I310" s="105" t="str">
        <f>IF(AND('2.报价结算清单'!$P413&gt;0,'2.报价结算清单'!$B413&lt;&gt;0,'2.报价结算清单'!$F413&lt;&gt;0),'2.报价结算清单'!L413,"")</f>
        <v/>
      </c>
      <c r="J310" s="105" t="str">
        <f>IF(AND('2.报价结算清单'!$P413&gt;0,'2.报价结算清单'!$B413&lt;&gt;0,'2.报价结算清单'!I413&lt;&gt;0),'2.报价结算清单'!I413,"")</f>
        <v/>
      </c>
      <c r="K310" s="105" t="str">
        <f>IF(AND('2.报价结算清单'!$P413&gt;0,'2.报价结算清单'!$B413&lt;&gt;0,'2.报价结算清单'!$F413&lt;&gt;0),'2.报价结算清单'!N413,"")</f>
        <v/>
      </c>
      <c r="L310" s="105" t="str">
        <f>IF(AND('2.报价结算清单'!$P413&gt;0,'2.报价结算清单'!$B413&lt;&gt;0,'2.报价结算清单'!I413&lt;&gt;0),"天","")</f>
        <v/>
      </c>
      <c r="M310" s="80" t="str">
        <f t="shared" si="12"/>
        <v/>
      </c>
      <c r="N310" s="78" t="str">
        <f t="shared" si="13"/>
        <v/>
      </c>
      <c r="O310" s="78" t="str">
        <f>IF(AND('2.报价结算清单'!$P413&gt;0,'2.报价结算清单'!$B413&lt;&gt;0,'2.报价结算清单'!S413&lt;&gt;0),'2.报价结算清单'!S413,"")</f>
        <v/>
      </c>
      <c r="P310" s="78" t="str">
        <f>IF(AND('2.报价结算清单'!$P413&gt;0,'2.报价结算清单'!$B413&lt;&gt;0,'2.报价结算清单'!T413&lt;&gt;0),'2.报价结算清单'!T413,"")</f>
        <v/>
      </c>
      <c r="Q310" s="78" t="str">
        <f>IF(F310="",J310,VLOOKUP(F310,框架条目清单!A:K,4,FALSE))</f>
        <v/>
      </c>
      <c r="R310" s="106" t="str">
        <f>IF($A310="","",'2.报价结算清单'!$K$183)</f>
        <v/>
      </c>
      <c r="S310" s="80" t="str">
        <f>IF($A310="","",'2.报价结算清单'!$E$183)</f>
        <v/>
      </c>
      <c r="T310" s="78" t="str">
        <f>IF(F310="","",VLOOKUP(F310,框架条目清单!A:K,7,FALSE))</f>
        <v/>
      </c>
      <c r="U310" s="78" t="str">
        <f>IF(F310="","",VLOOKUP(F310,框架条目清单!A:K,8,FALSE))</f>
        <v/>
      </c>
      <c r="V310" s="78" t="str">
        <f>IF(F310="","",VLOOKUP(F310,框架条目清单!A:K,9,FALSE))</f>
        <v/>
      </c>
    </row>
    <row r="311" spans="1:22">
      <c r="A311" s="78" t="str">
        <f>IF(AND('2.报价结算清单'!$P414&gt;0,'2.报价结算清单'!$B414&lt;&gt;0,'2.报价结算清单'!$F414&lt;&gt;0),'2.报价结算清单'!$F414,"")</f>
        <v/>
      </c>
      <c r="B311" s="78" t="str">
        <f>_xlfn.IFNA(VLOOKUP(A311,'3.框架内物料'!$A:$I,3,0),A311)</f>
        <v/>
      </c>
      <c r="C311" s="78" t="str">
        <f>IF(AND('2.报价结算清单'!$P414&gt;0,'2.报价结算清单'!$B414&lt;&gt;0,'2.报价结算清单'!C414&lt;&gt;0),'2.报价结算清单'!C414,"")</f>
        <v/>
      </c>
      <c r="D311" s="78" t="str">
        <f>IF(AND('2.报价结算清单'!$P414&gt;0,'2.报价结算清单'!$B414&lt;&gt;0,'2.报价结算清单'!D414&lt;&gt;0),'2.报价结算清单'!D414,"")</f>
        <v/>
      </c>
      <c r="E311" s="78" t="str">
        <f>IF(AND('2.报价结算清单'!$P414&gt;0,'2.报价结算清单'!$B414&lt;&gt;0,'2.报价结算清单'!E414&lt;&gt;0),'2.报价结算清单'!E414,"")</f>
        <v/>
      </c>
      <c r="F311" s="105" t="str">
        <f>_xlfn.IFNA(IF($A311="","",IF(VLOOKUP($A311,'3.框架内物料'!$A:$I,2,0)="","",VLOOKUP($A311,'3.框架内物料'!$A:$I,2,0))),"")</f>
        <v/>
      </c>
      <c r="G311" s="87" t="str">
        <f>IF(AND('2.报价结算清单'!$P414&gt;0,'2.报价结算清单'!$B414&lt;&gt;0,'2.报价结算清单'!H414&lt;&gt;0),'2.报价结算清单'!H414,"")</f>
        <v/>
      </c>
      <c r="H311" s="122" t="str">
        <f>IF(AND('2.报价结算清单'!$P414&gt;0,'2.报价结算清单'!$B414&lt;&gt;0,'2.报价结算清单'!$F414&lt;&gt;0),'2.报价结算清单'!J414,"")</f>
        <v/>
      </c>
      <c r="I311" s="105" t="str">
        <f>IF(AND('2.报价结算清单'!$P414&gt;0,'2.报价结算清单'!$B414&lt;&gt;0,'2.报价结算清单'!$F414&lt;&gt;0),'2.报价结算清单'!L414,"")</f>
        <v/>
      </c>
      <c r="J311" s="105" t="str">
        <f>IF(AND('2.报价结算清单'!$P414&gt;0,'2.报价结算清单'!$B414&lt;&gt;0,'2.报价结算清单'!I414&lt;&gt;0),'2.报价结算清单'!I414,"")</f>
        <v/>
      </c>
      <c r="K311" s="105" t="str">
        <f>IF(AND('2.报价结算清单'!$P414&gt;0,'2.报价结算清单'!$B414&lt;&gt;0,'2.报价结算清单'!$F414&lt;&gt;0),'2.报价结算清单'!N414,"")</f>
        <v/>
      </c>
      <c r="L311" s="105" t="str">
        <f>IF(AND('2.报价结算清单'!$P414&gt;0,'2.报价结算清单'!$B414&lt;&gt;0,'2.报价结算清单'!I414&lt;&gt;0),"天","")</f>
        <v/>
      </c>
      <c r="M311" s="80" t="str">
        <f t="shared" si="12"/>
        <v/>
      </c>
      <c r="N311" s="78" t="str">
        <f t="shared" si="13"/>
        <v/>
      </c>
      <c r="O311" s="78" t="str">
        <f>IF(AND('2.报价结算清单'!$P414&gt;0,'2.报价结算清单'!$B414&lt;&gt;0,'2.报价结算清单'!S414&lt;&gt;0),'2.报价结算清单'!S414,"")</f>
        <v/>
      </c>
      <c r="P311" s="78" t="str">
        <f>IF(AND('2.报价结算清单'!$P414&gt;0,'2.报价结算清单'!$B414&lt;&gt;0,'2.报价结算清单'!T414&lt;&gt;0),'2.报价结算清单'!T414,"")</f>
        <v/>
      </c>
      <c r="Q311" s="78" t="str">
        <f>IF(F311="",J311,VLOOKUP(F311,框架条目清单!A:K,4,FALSE))</f>
        <v/>
      </c>
      <c r="R311" s="106" t="str">
        <f>IF($A311="","",'2.报价结算清单'!$K$183)</f>
        <v/>
      </c>
      <c r="S311" s="80" t="str">
        <f>IF($A311="","",'2.报价结算清单'!$E$183)</f>
        <v/>
      </c>
      <c r="T311" s="78" t="str">
        <f>IF(F311="","",VLOOKUP(F311,框架条目清单!A:K,7,FALSE))</f>
        <v/>
      </c>
      <c r="U311" s="78" t="str">
        <f>IF(F311="","",VLOOKUP(F311,框架条目清单!A:K,8,FALSE))</f>
        <v/>
      </c>
      <c r="V311" s="78" t="str">
        <f>IF(F311="","",VLOOKUP(F311,框架条目清单!A:K,9,FALSE))</f>
        <v/>
      </c>
    </row>
    <row r="312" spans="1:22">
      <c r="A312" s="78" t="str">
        <f>IF(AND('2.报价结算清单'!$P415&gt;0,'2.报价结算清单'!$B415&lt;&gt;0,'2.报价结算清单'!$F415&lt;&gt;0),'2.报价结算清单'!$F415,"")</f>
        <v/>
      </c>
      <c r="B312" s="78" t="str">
        <f>_xlfn.IFNA(VLOOKUP(A312,'3.框架内物料'!$A:$I,3,0),A312)</f>
        <v/>
      </c>
      <c r="C312" s="78" t="str">
        <f>IF(AND('2.报价结算清单'!$P415&gt;0,'2.报价结算清单'!$B415&lt;&gt;0,'2.报价结算清单'!C415&lt;&gt;0),'2.报价结算清单'!C415,"")</f>
        <v/>
      </c>
      <c r="D312" s="78" t="str">
        <f>IF(AND('2.报价结算清单'!$P415&gt;0,'2.报价结算清单'!$B415&lt;&gt;0,'2.报价结算清单'!D415&lt;&gt;0),'2.报价结算清单'!D415,"")</f>
        <v/>
      </c>
      <c r="E312" s="78" t="str">
        <f>IF(AND('2.报价结算清单'!$P415&gt;0,'2.报价结算清单'!$B415&lt;&gt;0,'2.报价结算清单'!E415&lt;&gt;0),'2.报价结算清单'!E415,"")</f>
        <v/>
      </c>
      <c r="F312" s="105" t="str">
        <f>_xlfn.IFNA(IF($A312="","",IF(VLOOKUP($A312,'3.框架内物料'!$A:$I,2,0)="","",VLOOKUP($A312,'3.框架内物料'!$A:$I,2,0))),"")</f>
        <v/>
      </c>
      <c r="G312" s="87" t="str">
        <f>IF(AND('2.报价结算清单'!$P415&gt;0,'2.报价结算清单'!$B415&lt;&gt;0,'2.报价结算清单'!H415&lt;&gt;0),'2.报价结算清单'!H415,"")</f>
        <v/>
      </c>
      <c r="H312" s="122" t="str">
        <f>IF(AND('2.报价结算清单'!$P415&gt;0,'2.报价结算清单'!$B415&lt;&gt;0,'2.报价结算清单'!$F415&lt;&gt;0),'2.报价结算清单'!J415,"")</f>
        <v/>
      </c>
      <c r="I312" s="105" t="str">
        <f>IF(AND('2.报价结算清单'!$P415&gt;0,'2.报价结算清单'!$B415&lt;&gt;0,'2.报价结算清单'!$F415&lt;&gt;0),'2.报价结算清单'!L415,"")</f>
        <v/>
      </c>
      <c r="J312" s="105" t="str">
        <f>IF(AND('2.报价结算清单'!$P415&gt;0,'2.报价结算清单'!$B415&lt;&gt;0,'2.报价结算清单'!I415&lt;&gt;0),'2.报价结算清单'!I415,"")</f>
        <v/>
      </c>
      <c r="K312" s="105" t="str">
        <f>IF(AND('2.报价结算清单'!$P415&gt;0,'2.报价结算清单'!$B415&lt;&gt;0,'2.报价结算清单'!$F415&lt;&gt;0),'2.报价结算清单'!N415,"")</f>
        <v/>
      </c>
      <c r="L312" s="105" t="str">
        <f>IF(AND('2.报价结算清单'!$P415&gt;0,'2.报价结算清单'!$B415&lt;&gt;0,'2.报价结算清单'!I415&lt;&gt;0),"天","")</f>
        <v/>
      </c>
      <c r="M312" s="80" t="str">
        <f t="shared" si="12"/>
        <v/>
      </c>
      <c r="N312" s="78" t="str">
        <f t="shared" si="13"/>
        <v/>
      </c>
      <c r="O312" s="78" t="str">
        <f>IF(AND('2.报价结算清单'!$P415&gt;0,'2.报价结算清单'!$B415&lt;&gt;0,'2.报价结算清单'!S415&lt;&gt;0),'2.报价结算清单'!S415,"")</f>
        <v/>
      </c>
      <c r="P312" s="78" t="str">
        <f>IF(AND('2.报价结算清单'!$P415&gt;0,'2.报价结算清单'!$B415&lt;&gt;0,'2.报价结算清单'!T415&lt;&gt;0),'2.报价结算清单'!T415,"")</f>
        <v/>
      </c>
      <c r="Q312" s="78" t="str">
        <f>IF(F312="",J312,VLOOKUP(F312,框架条目清单!A:K,4,FALSE))</f>
        <v/>
      </c>
      <c r="R312" s="106" t="str">
        <f>IF($A312="","",'2.报价结算清单'!$K$183)</f>
        <v/>
      </c>
      <c r="S312" s="80" t="str">
        <f>IF($A312="","",'2.报价结算清单'!$E$183)</f>
        <v/>
      </c>
      <c r="T312" s="78" t="str">
        <f>IF(F312="","",VLOOKUP(F312,框架条目清单!A:K,7,FALSE))</f>
        <v/>
      </c>
      <c r="U312" s="78" t="str">
        <f>IF(F312="","",VLOOKUP(F312,框架条目清单!A:K,8,FALSE))</f>
        <v/>
      </c>
      <c r="V312" s="78" t="str">
        <f>IF(F312="","",VLOOKUP(F312,框架条目清单!A:K,9,FALSE))</f>
        <v/>
      </c>
    </row>
    <row r="313" spans="1:22">
      <c r="A313" s="78" t="str">
        <f>IF(AND('2.报价结算清单'!$P416&gt;0,'2.报价结算清单'!$B416&lt;&gt;0,'2.报价结算清单'!$F416&lt;&gt;0),'2.报价结算清单'!$F416,"")</f>
        <v/>
      </c>
      <c r="B313" s="78" t="str">
        <f>_xlfn.IFNA(VLOOKUP(A313,'3.框架内物料'!$A:$I,3,0),A313)</f>
        <v/>
      </c>
      <c r="C313" s="78" t="str">
        <f>IF(AND('2.报价结算清单'!$P416&gt;0,'2.报价结算清单'!$B416&lt;&gt;0,'2.报价结算清单'!C416&lt;&gt;0),'2.报价结算清单'!C416,"")</f>
        <v/>
      </c>
      <c r="D313" s="78" t="str">
        <f>IF(AND('2.报价结算清单'!$P416&gt;0,'2.报价结算清单'!$B416&lt;&gt;0,'2.报价结算清单'!D416&lt;&gt;0),'2.报价结算清单'!D416,"")</f>
        <v/>
      </c>
      <c r="E313" s="78" t="str">
        <f>IF(AND('2.报价结算清单'!$P416&gt;0,'2.报价结算清单'!$B416&lt;&gt;0,'2.报价结算清单'!E416&lt;&gt;0),'2.报价结算清单'!E416,"")</f>
        <v/>
      </c>
      <c r="F313" s="105" t="str">
        <f>_xlfn.IFNA(IF($A313="","",IF(VLOOKUP($A313,'3.框架内物料'!$A:$I,2,0)="","",VLOOKUP($A313,'3.框架内物料'!$A:$I,2,0))),"")</f>
        <v/>
      </c>
      <c r="G313" s="87" t="str">
        <f>IF(AND('2.报价结算清单'!$P416&gt;0,'2.报价结算清单'!$B416&lt;&gt;0,'2.报价结算清单'!H416&lt;&gt;0),'2.报价结算清单'!H416,"")</f>
        <v/>
      </c>
      <c r="H313" s="122" t="str">
        <f>IF(AND('2.报价结算清单'!$P416&gt;0,'2.报价结算清单'!$B416&lt;&gt;0,'2.报价结算清单'!$F416&lt;&gt;0),'2.报价结算清单'!J416,"")</f>
        <v/>
      </c>
      <c r="I313" s="105" t="str">
        <f>IF(AND('2.报价结算清单'!$P416&gt;0,'2.报价结算清单'!$B416&lt;&gt;0,'2.报价结算清单'!$F416&lt;&gt;0),'2.报价结算清单'!L416,"")</f>
        <v/>
      </c>
      <c r="J313" s="105" t="str">
        <f>IF(AND('2.报价结算清单'!$P416&gt;0,'2.报价结算清单'!$B416&lt;&gt;0,'2.报价结算清单'!I416&lt;&gt;0),'2.报价结算清单'!I416,"")</f>
        <v/>
      </c>
      <c r="K313" s="105" t="str">
        <f>IF(AND('2.报价结算清单'!$P416&gt;0,'2.报价结算清单'!$B416&lt;&gt;0,'2.报价结算清单'!$F416&lt;&gt;0),'2.报价结算清单'!N416,"")</f>
        <v/>
      </c>
      <c r="L313" s="105" t="str">
        <f>IF(AND('2.报价结算清单'!$P416&gt;0,'2.报价结算清单'!$B416&lt;&gt;0,'2.报价结算清单'!I416&lt;&gt;0),"天","")</f>
        <v/>
      </c>
      <c r="M313" s="80" t="str">
        <f t="shared" si="12"/>
        <v/>
      </c>
      <c r="N313" s="78" t="str">
        <f t="shared" si="13"/>
        <v/>
      </c>
      <c r="O313" s="78" t="str">
        <f>IF(AND('2.报价结算清单'!$P416&gt;0,'2.报价结算清单'!$B416&lt;&gt;0,'2.报价结算清单'!S416&lt;&gt;0),'2.报价结算清单'!S416,"")</f>
        <v/>
      </c>
      <c r="P313" s="78" t="str">
        <f>IF(AND('2.报价结算清单'!$P416&gt;0,'2.报价结算清单'!$B416&lt;&gt;0,'2.报价结算清单'!T416&lt;&gt;0),'2.报价结算清单'!T416,"")</f>
        <v/>
      </c>
      <c r="Q313" s="78" t="str">
        <f>IF(F313="",J313,VLOOKUP(F313,框架条目清单!A:K,4,FALSE))</f>
        <v/>
      </c>
      <c r="R313" s="106" t="str">
        <f>IF($A313="","",'2.报价结算清单'!$K$183)</f>
        <v/>
      </c>
      <c r="S313" s="80" t="str">
        <f>IF($A313="","",'2.报价结算清单'!$E$183)</f>
        <v/>
      </c>
      <c r="T313" s="78" t="str">
        <f>IF(F313="","",VLOOKUP(F313,框架条目清单!A:K,7,FALSE))</f>
        <v/>
      </c>
      <c r="U313" s="78" t="str">
        <f>IF(F313="","",VLOOKUP(F313,框架条目清单!A:K,8,FALSE))</f>
        <v/>
      </c>
      <c r="V313" s="78" t="str">
        <f>IF(F313="","",VLOOKUP(F313,框架条目清单!A:K,9,FALSE))</f>
        <v/>
      </c>
    </row>
    <row r="314" spans="1:22">
      <c r="A314" s="78" t="str">
        <f>IF(AND('2.报价结算清单'!$P417&gt;0,'2.报价结算清单'!$B417&lt;&gt;0,'2.报价结算清单'!$F417&lt;&gt;0),'2.报价结算清单'!$F417,"")</f>
        <v/>
      </c>
      <c r="B314" s="78" t="str">
        <f>_xlfn.IFNA(VLOOKUP(A314,'3.框架内物料'!$A:$I,3,0),A314)</f>
        <v/>
      </c>
      <c r="C314" s="78" t="str">
        <f>IF(AND('2.报价结算清单'!$P417&gt;0,'2.报价结算清单'!$B417&lt;&gt;0,'2.报价结算清单'!C417&lt;&gt;0),'2.报价结算清单'!C417,"")</f>
        <v/>
      </c>
      <c r="D314" s="78" t="str">
        <f>IF(AND('2.报价结算清单'!$P417&gt;0,'2.报价结算清单'!$B417&lt;&gt;0,'2.报价结算清单'!D417&lt;&gt;0),'2.报价结算清单'!D417,"")</f>
        <v/>
      </c>
      <c r="E314" s="78" t="str">
        <f>IF(AND('2.报价结算清单'!$P417&gt;0,'2.报价结算清单'!$B417&lt;&gt;0,'2.报价结算清单'!E417&lt;&gt;0),'2.报价结算清单'!E417,"")</f>
        <v/>
      </c>
      <c r="F314" s="105" t="str">
        <f>_xlfn.IFNA(IF($A314="","",IF(VLOOKUP($A314,'3.框架内物料'!$A:$I,2,0)="","",VLOOKUP($A314,'3.框架内物料'!$A:$I,2,0))),"")</f>
        <v/>
      </c>
      <c r="G314" s="87" t="str">
        <f>IF(AND('2.报价结算清单'!$P417&gt;0,'2.报价结算清单'!$B417&lt;&gt;0,'2.报价结算清单'!H417&lt;&gt;0),'2.报价结算清单'!H417,"")</f>
        <v/>
      </c>
      <c r="H314" s="122" t="str">
        <f>IF(AND('2.报价结算清单'!$P417&gt;0,'2.报价结算清单'!$B417&lt;&gt;0,'2.报价结算清单'!$F417&lt;&gt;0),'2.报价结算清单'!J417,"")</f>
        <v/>
      </c>
      <c r="I314" s="105" t="str">
        <f>IF(AND('2.报价结算清单'!$P417&gt;0,'2.报价结算清单'!$B417&lt;&gt;0,'2.报价结算清单'!$F417&lt;&gt;0),'2.报价结算清单'!L417,"")</f>
        <v/>
      </c>
      <c r="J314" s="105" t="str">
        <f>IF(AND('2.报价结算清单'!$P417&gt;0,'2.报价结算清单'!$B417&lt;&gt;0,'2.报价结算清单'!I417&lt;&gt;0),'2.报价结算清单'!I417,"")</f>
        <v/>
      </c>
      <c r="K314" s="105" t="str">
        <f>IF(AND('2.报价结算清单'!$P417&gt;0,'2.报价结算清单'!$B417&lt;&gt;0,'2.报价结算清单'!$F417&lt;&gt;0),'2.报价结算清单'!N417,"")</f>
        <v/>
      </c>
      <c r="L314" s="105" t="str">
        <f>IF(AND('2.报价结算清单'!$P417&gt;0,'2.报价结算清单'!$B417&lt;&gt;0,'2.报价结算清单'!I417&lt;&gt;0),"天","")</f>
        <v/>
      </c>
      <c r="M314" s="80" t="str">
        <f t="shared" si="12"/>
        <v/>
      </c>
      <c r="N314" s="78" t="str">
        <f t="shared" si="13"/>
        <v/>
      </c>
      <c r="O314" s="78" t="str">
        <f>IF(AND('2.报价结算清单'!$P417&gt;0,'2.报价结算清单'!$B417&lt;&gt;0,'2.报价结算清单'!S417&lt;&gt;0),'2.报价结算清单'!S417,"")</f>
        <v/>
      </c>
      <c r="P314" s="78" t="str">
        <f>IF(AND('2.报价结算清单'!$P417&gt;0,'2.报价结算清单'!$B417&lt;&gt;0,'2.报价结算清单'!T417&lt;&gt;0),'2.报价结算清单'!T417,"")</f>
        <v/>
      </c>
      <c r="Q314" s="78" t="str">
        <f>IF(F314="",J314,VLOOKUP(F314,框架条目清单!A:K,4,FALSE))</f>
        <v/>
      </c>
      <c r="R314" s="106" t="str">
        <f>IF($A314="","",'2.报价结算清单'!$K$183)</f>
        <v/>
      </c>
      <c r="S314" s="80" t="str">
        <f>IF($A314="","",'2.报价结算清单'!$E$183)</f>
        <v/>
      </c>
      <c r="T314" s="78" t="str">
        <f>IF(F314="","",VLOOKUP(F314,框架条目清单!A:K,7,FALSE))</f>
        <v/>
      </c>
      <c r="U314" s="78" t="str">
        <f>IF(F314="","",VLOOKUP(F314,框架条目清单!A:K,8,FALSE))</f>
        <v/>
      </c>
      <c r="V314" s="78" t="str">
        <f>IF(F314="","",VLOOKUP(F314,框架条目清单!A:K,9,FALSE))</f>
        <v/>
      </c>
    </row>
    <row r="315" spans="1:22">
      <c r="A315" s="78" t="str">
        <f>IF(AND('2.报价结算清单'!$P418&gt;0,'2.报价结算清单'!$B418&lt;&gt;0,'2.报价结算清单'!$F418&lt;&gt;0),'2.报价结算清单'!$F418,"")</f>
        <v/>
      </c>
      <c r="B315" s="78" t="str">
        <f>_xlfn.IFNA(VLOOKUP(A315,'3.框架内物料'!$A:$I,3,0),A315)</f>
        <v/>
      </c>
      <c r="C315" s="78" t="str">
        <f>IF(AND('2.报价结算清单'!$P418&gt;0,'2.报价结算清单'!$B418&lt;&gt;0,'2.报价结算清单'!C418&lt;&gt;0),'2.报价结算清单'!C418,"")</f>
        <v/>
      </c>
      <c r="D315" s="78" t="str">
        <f>IF(AND('2.报价结算清单'!$P418&gt;0,'2.报价结算清单'!$B418&lt;&gt;0,'2.报价结算清单'!D418&lt;&gt;0),'2.报价结算清单'!D418,"")</f>
        <v/>
      </c>
      <c r="E315" s="78" t="str">
        <f>IF(AND('2.报价结算清单'!$P418&gt;0,'2.报价结算清单'!$B418&lt;&gt;0,'2.报价结算清单'!E418&lt;&gt;0),'2.报价结算清单'!E418,"")</f>
        <v/>
      </c>
      <c r="F315" s="105" t="str">
        <f>_xlfn.IFNA(IF($A315="","",IF(VLOOKUP($A315,'3.框架内物料'!$A:$I,2,0)="","",VLOOKUP($A315,'3.框架内物料'!$A:$I,2,0))),"")</f>
        <v/>
      </c>
      <c r="G315" s="87" t="str">
        <f>IF(AND('2.报价结算清单'!$P418&gt;0,'2.报价结算清单'!$B418&lt;&gt;0,'2.报价结算清单'!H418&lt;&gt;0),'2.报价结算清单'!H418,"")</f>
        <v/>
      </c>
      <c r="H315" s="122" t="str">
        <f>IF(AND('2.报价结算清单'!$P418&gt;0,'2.报价结算清单'!$B418&lt;&gt;0,'2.报价结算清单'!$F418&lt;&gt;0),'2.报价结算清单'!J418,"")</f>
        <v/>
      </c>
      <c r="I315" s="105" t="str">
        <f>IF(AND('2.报价结算清单'!$P418&gt;0,'2.报价结算清单'!$B418&lt;&gt;0,'2.报价结算清单'!$F418&lt;&gt;0),'2.报价结算清单'!L418,"")</f>
        <v/>
      </c>
      <c r="J315" s="105" t="str">
        <f>IF(AND('2.报价结算清单'!$P418&gt;0,'2.报价结算清单'!$B418&lt;&gt;0,'2.报价结算清单'!I418&lt;&gt;0),'2.报价结算清单'!I418,"")</f>
        <v/>
      </c>
      <c r="K315" s="105" t="str">
        <f>IF(AND('2.报价结算清单'!$P418&gt;0,'2.报价结算清单'!$B418&lt;&gt;0,'2.报价结算清单'!$F418&lt;&gt;0),'2.报价结算清单'!N418,"")</f>
        <v/>
      </c>
      <c r="L315" s="105" t="str">
        <f>IF(AND('2.报价结算清单'!$P418&gt;0,'2.报价结算清单'!$B418&lt;&gt;0,'2.报价结算清单'!I418&lt;&gt;0),"天","")</f>
        <v/>
      </c>
      <c r="M315" s="80" t="str">
        <f t="shared" si="12"/>
        <v/>
      </c>
      <c r="N315" s="78" t="str">
        <f t="shared" si="13"/>
        <v/>
      </c>
      <c r="O315" s="78" t="str">
        <f>IF(AND('2.报价结算清单'!$P418&gt;0,'2.报价结算清单'!$B418&lt;&gt;0,'2.报价结算清单'!S418&lt;&gt;0),'2.报价结算清单'!S418,"")</f>
        <v/>
      </c>
      <c r="P315" s="78" t="str">
        <f>IF(AND('2.报价结算清单'!$P418&gt;0,'2.报价结算清单'!$B418&lt;&gt;0,'2.报价结算清单'!T418&lt;&gt;0),'2.报价结算清单'!T418,"")</f>
        <v/>
      </c>
      <c r="Q315" s="78" t="str">
        <f>IF(F315="",J315,VLOOKUP(F315,框架条目清单!A:K,4,FALSE))</f>
        <v/>
      </c>
      <c r="R315" s="106" t="str">
        <f>IF($A315="","",'2.报价结算清单'!$K$183)</f>
        <v/>
      </c>
      <c r="S315" s="80" t="str">
        <f>IF($A315="","",'2.报价结算清单'!$E$183)</f>
        <v/>
      </c>
      <c r="T315" s="78" t="str">
        <f>IF(F315="","",VLOOKUP(F315,框架条目清单!A:K,7,FALSE))</f>
        <v/>
      </c>
      <c r="U315" s="78" t="str">
        <f>IF(F315="","",VLOOKUP(F315,框架条目清单!A:K,8,FALSE))</f>
        <v/>
      </c>
      <c r="V315" s="78" t="str">
        <f>IF(F315="","",VLOOKUP(F315,框架条目清单!A:K,9,FALSE))</f>
        <v/>
      </c>
    </row>
    <row r="316" spans="1:22">
      <c r="A316" s="78" t="str">
        <f>IF(AND('2.报价结算清单'!$P419&gt;0,'2.报价结算清单'!$B419&lt;&gt;0,'2.报价结算清单'!$F419&lt;&gt;0),'2.报价结算清单'!$F419,"")</f>
        <v/>
      </c>
      <c r="B316" s="78" t="str">
        <f>_xlfn.IFNA(VLOOKUP(A316,'3.框架内物料'!$A:$I,3,0),A316)</f>
        <v/>
      </c>
      <c r="C316" s="78" t="str">
        <f>IF(AND('2.报价结算清单'!$P419&gt;0,'2.报价结算清单'!$B419&lt;&gt;0,'2.报价结算清单'!C419&lt;&gt;0),'2.报价结算清单'!C419,"")</f>
        <v/>
      </c>
      <c r="D316" s="78" t="str">
        <f>IF(AND('2.报价结算清单'!$P419&gt;0,'2.报价结算清单'!$B419&lt;&gt;0,'2.报价结算清单'!D419&lt;&gt;0),'2.报价结算清单'!D419,"")</f>
        <v/>
      </c>
      <c r="E316" s="78" t="str">
        <f>IF(AND('2.报价结算清单'!$P419&gt;0,'2.报价结算清单'!$B419&lt;&gt;0,'2.报价结算清单'!E419&lt;&gt;0),'2.报价结算清单'!E419,"")</f>
        <v/>
      </c>
      <c r="F316" s="105" t="str">
        <f>_xlfn.IFNA(IF($A316="","",IF(VLOOKUP($A316,'3.框架内物料'!$A:$I,2,0)="","",VLOOKUP($A316,'3.框架内物料'!$A:$I,2,0))),"")</f>
        <v/>
      </c>
      <c r="G316" s="87" t="str">
        <f>IF(AND('2.报价结算清单'!$P419&gt;0,'2.报价结算清单'!$B419&lt;&gt;0,'2.报价结算清单'!H419&lt;&gt;0),'2.报价结算清单'!H419,"")</f>
        <v/>
      </c>
      <c r="H316" s="122" t="str">
        <f>IF(AND('2.报价结算清单'!$P419&gt;0,'2.报价结算清单'!$B419&lt;&gt;0,'2.报价结算清单'!$F419&lt;&gt;0),'2.报价结算清单'!J419,"")</f>
        <v/>
      </c>
      <c r="I316" s="105" t="str">
        <f>IF(AND('2.报价结算清单'!$P419&gt;0,'2.报价结算清单'!$B419&lt;&gt;0,'2.报价结算清单'!$F419&lt;&gt;0),'2.报价结算清单'!L419,"")</f>
        <v/>
      </c>
      <c r="J316" s="105" t="str">
        <f>IF(AND('2.报价结算清单'!$P419&gt;0,'2.报价结算清单'!$B419&lt;&gt;0,'2.报价结算清单'!I419&lt;&gt;0),'2.报价结算清单'!I419,"")</f>
        <v/>
      </c>
      <c r="K316" s="105" t="str">
        <f>IF(AND('2.报价结算清单'!$P419&gt;0,'2.报价结算清单'!$B419&lt;&gt;0,'2.报价结算清单'!$F419&lt;&gt;0),'2.报价结算清单'!N419,"")</f>
        <v/>
      </c>
      <c r="L316" s="105" t="str">
        <f>IF(AND('2.报价结算清单'!$P419&gt;0,'2.报价结算清单'!$B419&lt;&gt;0,'2.报价结算清单'!I419&lt;&gt;0),"天","")</f>
        <v/>
      </c>
      <c r="M316" s="80" t="str">
        <f t="shared" si="12"/>
        <v/>
      </c>
      <c r="N316" s="78" t="str">
        <f t="shared" si="13"/>
        <v/>
      </c>
      <c r="O316" s="78" t="str">
        <f>IF(AND('2.报价结算清单'!$P419&gt;0,'2.报价结算清单'!$B419&lt;&gt;0,'2.报价结算清单'!S419&lt;&gt;0),'2.报价结算清单'!S419,"")</f>
        <v/>
      </c>
      <c r="P316" s="78" t="str">
        <f>IF(AND('2.报价结算清单'!$P419&gt;0,'2.报价结算清单'!$B419&lt;&gt;0,'2.报价结算清单'!T419&lt;&gt;0),'2.报价结算清单'!T419,"")</f>
        <v/>
      </c>
      <c r="Q316" s="78" t="str">
        <f>IF(F316="",J316,VLOOKUP(F316,框架条目清单!A:K,4,FALSE))</f>
        <v/>
      </c>
      <c r="R316" s="106" t="str">
        <f>IF($A316="","",'2.报价结算清单'!$K$183)</f>
        <v/>
      </c>
      <c r="S316" s="80" t="str">
        <f>IF($A316="","",'2.报价结算清单'!$E$183)</f>
        <v/>
      </c>
      <c r="T316" s="78" t="str">
        <f>IF(F316="","",VLOOKUP(F316,框架条目清单!A:K,7,FALSE))</f>
        <v/>
      </c>
      <c r="U316" s="78" t="str">
        <f>IF(F316="","",VLOOKUP(F316,框架条目清单!A:K,8,FALSE))</f>
        <v/>
      </c>
      <c r="V316" s="78" t="str">
        <f>IF(F316="","",VLOOKUP(F316,框架条目清单!A:K,9,FALSE))</f>
        <v/>
      </c>
    </row>
    <row r="317" spans="1:22">
      <c r="A317" s="78" t="str">
        <f>IF(AND('2.报价结算清单'!$P420&gt;0,'2.报价结算清单'!$B420&lt;&gt;0,'2.报价结算清单'!$F420&lt;&gt;0),'2.报价结算清单'!$F420,"")</f>
        <v/>
      </c>
      <c r="B317" s="78" t="str">
        <f>_xlfn.IFNA(VLOOKUP(A317,'3.框架内物料'!$A:$I,3,0),A317)</f>
        <v/>
      </c>
      <c r="C317" s="78" t="str">
        <f>IF(AND('2.报价结算清单'!$P420&gt;0,'2.报价结算清单'!$B420&lt;&gt;0,'2.报价结算清单'!C420&lt;&gt;0),'2.报价结算清单'!C420,"")</f>
        <v/>
      </c>
      <c r="D317" s="78" t="str">
        <f>IF(AND('2.报价结算清单'!$P420&gt;0,'2.报价结算清单'!$B420&lt;&gt;0,'2.报价结算清单'!D420&lt;&gt;0),'2.报价结算清单'!D420,"")</f>
        <v/>
      </c>
      <c r="E317" s="78" t="str">
        <f>IF(AND('2.报价结算清单'!$P420&gt;0,'2.报价结算清单'!$B420&lt;&gt;0,'2.报价结算清单'!E420&lt;&gt;0),'2.报价结算清单'!E420,"")</f>
        <v/>
      </c>
      <c r="F317" s="105" t="str">
        <f>_xlfn.IFNA(IF($A317="","",IF(VLOOKUP($A317,'3.框架内物料'!$A:$I,2,0)="","",VLOOKUP($A317,'3.框架内物料'!$A:$I,2,0))),"")</f>
        <v/>
      </c>
      <c r="G317" s="87" t="str">
        <f>IF(AND('2.报价结算清单'!$P420&gt;0,'2.报价结算清单'!$B420&lt;&gt;0,'2.报价结算清单'!H420&lt;&gt;0),'2.报价结算清单'!H420,"")</f>
        <v/>
      </c>
      <c r="H317" s="122" t="str">
        <f>IF(AND('2.报价结算清单'!$P420&gt;0,'2.报价结算清单'!$B420&lt;&gt;0,'2.报价结算清单'!$F420&lt;&gt;0),'2.报价结算清单'!J420,"")</f>
        <v/>
      </c>
      <c r="I317" s="105" t="str">
        <f>IF(AND('2.报价结算清单'!$P420&gt;0,'2.报价结算清单'!$B420&lt;&gt;0,'2.报价结算清单'!$F420&lt;&gt;0),'2.报价结算清单'!L420,"")</f>
        <v/>
      </c>
      <c r="J317" s="105" t="str">
        <f>IF(AND('2.报价结算清单'!$P420&gt;0,'2.报价结算清单'!$B420&lt;&gt;0,'2.报价结算清单'!I420&lt;&gt;0),'2.报价结算清单'!I420,"")</f>
        <v/>
      </c>
      <c r="K317" s="105" t="str">
        <f>IF(AND('2.报价结算清单'!$P420&gt;0,'2.报价结算清单'!$B420&lt;&gt;0,'2.报价结算清单'!$F420&lt;&gt;0),'2.报价结算清单'!N420,"")</f>
        <v/>
      </c>
      <c r="L317" s="105" t="str">
        <f>IF(AND('2.报价结算清单'!$P420&gt;0,'2.报价结算清单'!$B420&lt;&gt;0,'2.报价结算清单'!I420&lt;&gt;0),"天","")</f>
        <v/>
      </c>
      <c r="M317" s="80" t="str">
        <f t="shared" si="12"/>
        <v/>
      </c>
      <c r="N317" s="78" t="str">
        <f t="shared" si="13"/>
        <v/>
      </c>
      <c r="O317" s="78" t="str">
        <f>IF(AND('2.报价结算清单'!$P420&gt;0,'2.报价结算清单'!$B420&lt;&gt;0,'2.报价结算清单'!S420&lt;&gt;0),'2.报价结算清单'!S420,"")</f>
        <v/>
      </c>
      <c r="P317" s="78" t="str">
        <f>IF(AND('2.报价结算清单'!$P420&gt;0,'2.报价结算清单'!$B420&lt;&gt;0,'2.报价结算清单'!T420&lt;&gt;0),'2.报价结算清单'!T420,"")</f>
        <v/>
      </c>
      <c r="Q317" s="78" t="str">
        <f>IF(F317="",J317,VLOOKUP(F317,框架条目清单!A:K,4,FALSE))</f>
        <v/>
      </c>
      <c r="R317" s="106" t="str">
        <f>IF($A317="","",'2.报价结算清单'!$K$183)</f>
        <v/>
      </c>
      <c r="S317" s="80" t="str">
        <f>IF($A317="","",'2.报价结算清单'!$E$183)</f>
        <v/>
      </c>
      <c r="T317" s="78" t="str">
        <f>IF(F317="","",VLOOKUP(F317,框架条目清单!A:K,7,FALSE))</f>
        <v/>
      </c>
      <c r="U317" s="78" t="str">
        <f>IF(F317="","",VLOOKUP(F317,框架条目清单!A:K,8,FALSE))</f>
        <v/>
      </c>
      <c r="V317" s="78" t="str">
        <f>IF(F317="","",VLOOKUP(F317,框架条目清单!A:K,9,FALSE))</f>
        <v/>
      </c>
    </row>
    <row r="318" spans="1:22">
      <c r="A318" s="78" t="str">
        <f>IF(AND('2.报价结算清单'!$P421&gt;0,'2.报价结算清单'!$B421&lt;&gt;0,'2.报价结算清单'!$F421&lt;&gt;0),'2.报价结算清单'!$F421,"")</f>
        <v/>
      </c>
      <c r="B318" s="78" t="str">
        <f>_xlfn.IFNA(VLOOKUP(A318,'3.框架内物料'!$A:$I,3,0),A318)</f>
        <v/>
      </c>
      <c r="C318" s="78" t="str">
        <f>IF(AND('2.报价结算清单'!$P421&gt;0,'2.报价结算清单'!$B421&lt;&gt;0,'2.报价结算清单'!C421&lt;&gt;0),'2.报价结算清单'!C421,"")</f>
        <v/>
      </c>
      <c r="D318" s="78" t="str">
        <f>IF(AND('2.报价结算清单'!$P421&gt;0,'2.报价结算清单'!$B421&lt;&gt;0,'2.报价结算清单'!D421&lt;&gt;0),'2.报价结算清单'!D421,"")</f>
        <v/>
      </c>
      <c r="E318" s="78" t="str">
        <f>IF(AND('2.报价结算清单'!$P421&gt;0,'2.报价结算清单'!$B421&lt;&gt;0,'2.报价结算清单'!E421&lt;&gt;0),'2.报价结算清单'!E421,"")</f>
        <v/>
      </c>
      <c r="F318" s="105" t="str">
        <f>_xlfn.IFNA(IF($A318="","",IF(VLOOKUP($A318,'3.框架内物料'!$A:$I,2,0)="","",VLOOKUP($A318,'3.框架内物料'!$A:$I,2,0))),"")</f>
        <v/>
      </c>
      <c r="G318" s="87" t="str">
        <f>IF(AND('2.报价结算清单'!$P421&gt;0,'2.报价结算清单'!$B421&lt;&gt;0,'2.报价结算清单'!H421&lt;&gt;0),'2.报价结算清单'!H421,"")</f>
        <v/>
      </c>
      <c r="H318" s="122" t="str">
        <f>IF(AND('2.报价结算清单'!$P421&gt;0,'2.报价结算清单'!$B421&lt;&gt;0,'2.报价结算清单'!$F421&lt;&gt;0),'2.报价结算清单'!J421,"")</f>
        <v/>
      </c>
      <c r="I318" s="105" t="str">
        <f>IF(AND('2.报价结算清单'!$P421&gt;0,'2.报价结算清单'!$B421&lt;&gt;0,'2.报价结算清单'!$F421&lt;&gt;0),'2.报价结算清单'!L421,"")</f>
        <v/>
      </c>
      <c r="J318" s="105" t="str">
        <f>IF(AND('2.报价结算清单'!$P421&gt;0,'2.报价结算清单'!$B421&lt;&gt;0,'2.报价结算清单'!I421&lt;&gt;0),'2.报价结算清单'!I421,"")</f>
        <v/>
      </c>
      <c r="K318" s="105" t="str">
        <f>IF(AND('2.报价结算清单'!$P421&gt;0,'2.报价结算清单'!$B421&lt;&gt;0,'2.报价结算清单'!$F421&lt;&gt;0),'2.报价结算清单'!N421,"")</f>
        <v/>
      </c>
      <c r="L318" s="105" t="str">
        <f>IF(AND('2.报价结算清单'!$P421&gt;0,'2.报价结算清单'!$B421&lt;&gt;0,'2.报价结算清单'!I421&lt;&gt;0),"天","")</f>
        <v/>
      </c>
      <c r="M318" s="80" t="str">
        <f t="shared" si="12"/>
        <v/>
      </c>
      <c r="N318" s="78" t="str">
        <f t="shared" si="13"/>
        <v/>
      </c>
      <c r="O318" s="78" t="str">
        <f>IF(AND('2.报价结算清单'!$P421&gt;0,'2.报价结算清单'!$B421&lt;&gt;0,'2.报价结算清单'!S421&lt;&gt;0),'2.报价结算清单'!S421,"")</f>
        <v/>
      </c>
      <c r="P318" s="78" t="str">
        <f>IF(AND('2.报价结算清单'!$P421&gt;0,'2.报价结算清单'!$B421&lt;&gt;0,'2.报价结算清单'!T421&lt;&gt;0),'2.报价结算清单'!T421,"")</f>
        <v/>
      </c>
      <c r="Q318" s="78" t="str">
        <f>IF(F318="",J318,VLOOKUP(F318,框架条目清单!A:K,4,FALSE))</f>
        <v/>
      </c>
      <c r="R318" s="106" t="str">
        <f>IF($A318="","",'2.报价结算清单'!$K$183)</f>
        <v/>
      </c>
      <c r="S318" s="80" t="str">
        <f>IF($A318="","",'2.报价结算清单'!$E$183)</f>
        <v/>
      </c>
      <c r="T318" s="78" t="str">
        <f>IF(F318="","",VLOOKUP(F318,框架条目清单!A:K,7,FALSE))</f>
        <v/>
      </c>
      <c r="U318" s="78" t="str">
        <f>IF(F318="","",VLOOKUP(F318,框架条目清单!A:K,8,FALSE))</f>
        <v/>
      </c>
      <c r="V318" s="78" t="str">
        <f>IF(F318="","",VLOOKUP(F318,框架条目清单!A:K,9,FALSE))</f>
        <v/>
      </c>
    </row>
    <row r="319" spans="1:22">
      <c r="A319" s="78" t="str">
        <f>IF(AND('2.报价结算清单'!$P422&gt;0,'2.报价结算清单'!$B422&lt;&gt;0,'2.报价结算清单'!$F422&lt;&gt;0),'2.报价结算清单'!$F422,"")</f>
        <v/>
      </c>
      <c r="B319" s="78" t="str">
        <f>_xlfn.IFNA(VLOOKUP(A319,'3.框架内物料'!$A:$I,3,0),A319)</f>
        <v/>
      </c>
      <c r="C319" s="78" t="str">
        <f>IF(AND('2.报价结算清单'!$P422&gt;0,'2.报价结算清单'!$B422&lt;&gt;0,'2.报价结算清单'!C422&lt;&gt;0),'2.报价结算清单'!C422,"")</f>
        <v/>
      </c>
      <c r="D319" s="78" t="str">
        <f>IF(AND('2.报价结算清单'!$P422&gt;0,'2.报价结算清单'!$B422&lt;&gt;0,'2.报价结算清单'!D422&lt;&gt;0),'2.报价结算清单'!D422,"")</f>
        <v/>
      </c>
      <c r="E319" s="78" t="str">
        <f>IF(AND('2.报价结算清单'!$P422&gt;0,'2.报价结算清单'!$B422&lt;&gt;0,'2.报价结算清单'!E422&lt;&gt;0),'2.报价结算清单'!E422,"")</f>
        <v/>
      </c>
      <c r="F319" s="105" t="str">
        <f>_xlfn.IFNA(IF($A319="","",IF(VLOOKUP($A319,'3.框架内物料'!$A:$I,2,0)="","",VLOOKUP($A319,'3.框架内物料'!$A:$I,2,0))),"")</f>
        <v/>
      </c>
      <c r="G319" s="87" t="str">
        <f>IF(AND('2.报价结算清单'!$P422&gt;0,'2.报价结算清单'!$B422&lt;&gt;0,'2.报价结算清单'!H422&lt;&gt;0),'2.报价结算清单'!H422,"")</f>
        <v/>
      </c>
      <c r="H319" s="122" t="str">
        <f>IF(AND('2.报价结算清单'!$P422&gt;0,'2.报价结算清单'!$B422&lt;&gt;0,'2.报价结算清单'!$F422&lt;&gt;0),'2.报价结算清单'!J422,"")</f>
        <v/>
      </c>
      <c r="I319" s="105" t="str">
        <f>IF(AND('2.报价结算清单'!$P422&gt;0,'2.报价结算清单'!$B422&lt;&gt;0,'2.报价结算清单'!$F422&lt;&gt;0),'2.报价结算清单'!L422,"")</f>
        <v/>
      </c>
      <c r="J319" s="105" t="str">
        <f>IF(AND('2.报价结算清单'!$P422&gt;0,'2.报价结算清单'!$B422&lt;&gt;0,'2.报价结算清单'!I422&lt;&gt;0),'2.报价结算清单'!I422,"")</f>
        <v/>
      </c>
      <c r="K319" s="105" t="str">
        <f>IF(AND('2.报价结算清单'!$P422&gt;0,'2.报价结算清单'!$B422&lt;&gt;0,'2.报价结算清单'!$F422&lt;&gt;0),'2.报价结算清单'!N422,"")</f>
        <v/>
      </c>
      <c r="L319" s="105" t="str">
        <f>IF(AND('2.报价结算清单'!$P422&gt;0,'2.报价结算清单'!$B422&lt;&gt;0,'2.报价结算清单'!I422&lt;&gt;0),"天","")</f>
        <v/>
      </c>
      <c r="M319" s="80" t="str">
        <f t="shared" si="12"/>
        <v/>
      </c>
      <c r="N319" s="78" t="str">
        <f t="shared" si="13"/>
        <v/>
      </c>
      <c r="O319" s="78" t="str">
        <f>IF(AND('2.报价结算清单'!$P422&gt;0,'2.报价结算清单'!$B422&lt;&gt;0,'2.报价结算清单'!S422&lt;&gt;0),'2.报价结算清单'!S422,"")</f>
        <v/>
      </c>
      <c r="P319" s="78" t="str">
        <f>IF(AND('2.报价结算清单'!$P422&gt;0,'2.报价结算清单'!$B422&lt;&gt;0,'2.报价结算清单'!T422&lt;&gt;0),'2.报价结算清单'!T422,"")</f>
        <v/>
      </c>
      <c r="Q319" s="78" t="str">
        <f>IF(F319="",J319,VLOOKUP(F319,框架条目清单!A:K,4,FALSE))</f>
        <v/>
      </c>
      <c r="R319" s="106" t="str">
        <f>IF($A319="","",'2.报价结算清单'!$K$183)</f>
        <v/>
      </c>
      <c r="S319" s="80" t="str">
        <f>IF($A319="","",'2.报价结算清单'!$E$183)</f>
        <v/>
      </c>
      <c r="T319" s="78" t="str">
        <f>IF(F319="","",VLOOKUP(F319,框架条目清单!A:K,7,FALSE))</f>
        <v/>
      </c>
      <c r="U319" s="78" t="str">
        <f>IF(F319="","",VLOOKUP(F319,框架条目清单!A:K,8,FALSE))</f>
        <v/>
      </c>
      <c r="V319" s="78" t="str">
        <f>IF(F319="","",VLOOKUP(F319,框架条目清单!A:K,9,FALSE))</f>
        <v/>
      </c>
    </row>
    <row r="320" spans="1:22">
      <c r="A320" s="78" t="str">
        <f>IF(AND('2.报价结算清单'!$P423&gt;0,'2.报价结算清单'!$B423&lt;&gt;0,'2.报价结算清单'!$F423&lt;&gt;0),'2.报价结算清单'!$F423,"")</f>
        <v/>
      </c>
      <c r="B320" s="78" t="str">
        <f>_xlfn.IFNA(VLOOKUP(A320,'3.框架内物料'!$A:$I,3,0),A320)</f>
        <v/>
      </c>
      <c r="C320" s="78" t="str">
        <f>IF(AND('2.报价结算清单'!$P423&gt;0,'2.报价结算清单'!$B423&lt;&gt;0,'2.报价结算清单'!C423&lt;&gt;0),'2.报价结算清单'!C423,"")</f>
        <v/>
      </c>
      <c r="D320" s="78" t="str">
        <f>IF(AND('2.报价结算清单'!$P423&gt;0,'2.报价结算清单'!$B423&lt;&gt;0,'2.报价结算清单'!D423&lt;&gt;0),'2.报价结算清单'!D423,"")</f>
        <v/>
      </c>
      <c r="E320" s="78" t="str">
        <f>IF(AND('2.报价结算清单'!$P423&gt;0,'2.报价结算清单'!$B423&lt;&gt;0,'2.报价结算清单'!E423&lt;&gt;0),'2.报价结算清单'!E423,"")</f>
        <v/>
      </c>
      <c r="F320" s="105" t="str">
        <f>_xlfn.IFNA(IF($A320="","",IF(VLOOKUP($A320,'3.框架内物料'!$A:$I,2,0)="","",VLOOKUP($A320,'3.框架内物料'!$A:$I,2,0))),"")</f>
        <v/>
      </c>
      <c r="G320" s="87" t="str">
        <f>IF(AND('2.报价结算清单'!$P423&gt;0,'2.报价结算清单'!$B423&lt;&gt;0,'2.报价结算清单'!H423&lt;&gt;0),'2.报价结算清单'!H423,"")</f>
        <v/>
      </c>
      <c r="H320" s="122" t="str">
        <f>IF(AND('2.报价结算清单'!$P423&gt;0,'2.报价结算清单'!$B423&lt;&gt;0,'2.报价结算清单'!$F423&lt;&gt;0),'2.报价结算清单'!J423,"")</f>
        <v/>
      </c>
      <c r="I320" s="105" t="str">
        <f>IF(AND('2.报价结算清单'!$P423&gt;0,'2.报价结算清单'!$B423&lt;&gt;0,'2.报价结算清单'!$F423&lt;&gt;0),'2.报价结算清单'!L423,"")</f>
        <v/>
      </c>
      <c r="J320" s="105" t="str">
        <f>IF(AND('2.报价结算清单'!$P423&gt;0,'2.报价结算清单'!$B423&lt;&gt;0,'2.报价结算清单'!I423&lt;&gt;0),'2.报价结算清单'!I423,"")</f>
        <v/>
      </c>
      <c r="K320" s="105" t="str">
        <f>IF(AND('2.报价结算清单'!$P423&gt;0,'2.报价结算清单'!$B423&lt;&gt;0,'2.报价结算清单'!$F423&lt;&gt;0),'2.报价结算清单'!N423,"")</f>
        <v/>
      </c>
      <c r="L320" s="105" t="str">
        <f>IF(AND('2.报价结算清单'!$P423&gt;0,'2.报价结算清单'!$B423&lt;&gt;0,'2.报价结算清单'!I423&lt;&gt;0),"天","")</f>
        <v/>
      </c>
      <c r="M320" s="80" t="str">
        <f t="shared" si="12"/>
        <v/>
      </c>
      <c r="N320" s="78" t="str">
        <f t="shared" si="13"/>
        <v/>
      </c>
      <c r="O320" s="78" t="str">
        <f>IF(AND('2.报价结算清单'!$P423&gt;0,'2.报价结算清单'!$B423&lt;&gt;0,'2.报价结算清单'!S423&lt;&gt;0),'2.报价结算清单'!S423,"")</f>
        <v/>
      </c>
      <c r="P320" s="78" t="str">
        <f>IF(AND('2.报价结算清单'!$P423&gt;0,'2.报价结算清单'!$B423&lt;&gt;0,'2.报价结算清单'!T423&lt;&gt;0),'2.报价结算清单'!T423,"")</f>
        <v/>
      </c>
      <c r="Q320" s="78" t="str">
        <f>IF(F320="",J320,VLOOKUP(F320,框架条目清单!A:K,4,FALSE))</f>
        <v/>
      </c>
      <c r="R320" s="106" t="str">
        <f>IF($A320="","",'2.报价结算清单'!$K$183)</f>
        <v/>
      </c>
      <c r="S320" s="80" t="str">
        <f>IF($A320="","",'2.报价结算清单'!$E$183)</f>
        <v/>
      </c>
      <c r="T320" s="78" t="str">
        <f>IF(F320="","",VLOOKUP(F320,框架条目清单!A:K,7,FALSE))</f>
        <v/>
      </c>
      <c r="U320" s="78" t="str">
        <f>IF(F320="","",VLOOKUP(F320,框架条目清单!A:K,8,FALSE))</f>
        <v/>
      </c>
      <c r="V320" s="78" t="str">
        <f>IF(F320="","",VLOOKUP(F320,框架条目清单!A:K,9,FALSE))</f>
        <v/>
      </c>
    </row>
    <row r="321" spans="1:22">
      <c r="A321" s="78" t="str">
        <f>IF(AND('2.报价结算清单'!$P424&gt;0,'2.报价结算清单'!$B424&lt;&gt;0,'2.报价结算清单'!$F424&lt;&gt;0),'2.报价结算清单'!$F424,"")</f>
        <v/>
      </c>
      <c r="B321" s="78" t="str">
        <f>_xlfn.IFNA(VLOOKUP(A321,'3.框架内物料'!$A:$I,3,0),A321)</f>
        <v/>
      </c>
      <c r="C321" s="78" t="str">
        <f>IF(AND('2.报价结算清单'!$P424&gt;0,'2.报价结算清单'!$B424&lt;&gt;0,'2.报价结算清单'!C424&lt;&gt;0),'2.报价结算清单'!C424,"")</f>
        <v/>
      </c>
      <c r="D321" s="78" t="str">
        <f>IF(AND('2.报价结算清单'!$P424&gt;0,'2.报价结算清单'!$B424&lt;&gt;0,'2.报价结算清单'!D424&lt;&gt;0),'2.报价结算清单'!D424,"")</f>
        <v/>
      </c>
      <c r="E321" s="78" t="str">
        <f>IF(AND('2.报价结算清单'!$P424&gt;0,'2.报价结算清单'!$B424&lt;&gt;0,'2.报价结算清单'!E424&lt;&gt;0),'2.报价结算清单'!E424,"")</f>
        <v/>
      </c>
      <c r="F321" s="105" t="str">
        <f>_xlfn.IFNA(IF($A321="","",IF(VLOOKUP($A321,'3.框架内物料'!$A:$I,2,0)="","",VLOOKUP($A321,'3.框架内物料'!$A:$I,2,0))),"")</f>
        <v/>
      </c>
      <c r="G321" s="87" t="str">
        <f>IF(AND('2.报价结算清单'!$P424&gt;0,'2.报价结算清单'!$B424&lt;&gt;0,'2.报价结算清单'!H424&lt;&gt;0),'2.报价结算清单'!H424,"")</f>
        <v/>
      </c>
      <c r="H321" s="122" t="str">
        <f>IF(AND('2.报价结算清单'!$P424&gt;0,'2.报价结算清单'!$B424&lt;&gt;0,'2.报价结算清单'!$F424&lt;&gt;0),'2.报价结算清单'!J424,"")</f>
        <v/>
      </c>
      <c r="I321" s="105" t="str">
        <f>IF(AND('2.报价结算清单'!$P424&gt;0,'2.报价结算清单'!$B424&lt;&gt;0,'2.报价结算清单'!$F424&lt;&gt;0),'2.报价结算清单'!L424,"")</f>
        <v/>
      </c>
      <c r="J321" s="105" t="str">
        <f>IF(AND('2.报价结算清单'!$P424&gt;0,'2.报价结算清单'!$B424&lt;&gt;0,'2.报价结算清单'!I424&lt;&gt;0),'2.报价结算清单'!I424,"")</f>
        <v/>
      </c>
      <c r="K321" s="105" t="str">
        <f>IF(AND('2.报价结算清单'!$P424&gt;0,'2.报价结算清单'!$B424&lt;&gt;0,'2.报价结算清单'!$F424&lt;&gt;0),'2.报价结算清单'!N424,"")</f>
        <v/>
      </c>
      <c r="L321" s="105" t="str">
        <f>IF(AND('2.报价结算清单'!$P424&gt;0,'2.报价结算清单'!$B424&lt;&gt;0,'2.报价结算清单'!I424&lt;&gt;0),"天","")</f>
        <v/>
      </c>
      <c r="M321" s="80" t="str">
        <f t="shared" si="12"/>
        <v/>
      </c>
      <c r="N321" s="78" t="str">
        <f t="shared" si="13"/>
        <v/>
      </c>
      <c r="O321" s="78" t="str">
        <f>IF(AND('2.报价结算清单'!$P424&gt;0,'2.报价结算清单'!$B424&lt;&gt;0,'2.报价结算清单'!S424&lt;&gt;0),'2.报价结算清单'!S424,"")</f>
        <v/>
      </c>
      <c r="P321" s="78" t="str">
        <f>IF(AND('2.报价结算清单'!$P424&gt;0,'2.报价结算清单'!$B424&lt;&gt;0,'2.报价结算清单'!T424&lt;&gt;0),'2.报价结算清单'!T424,"")</f>
        <v/>
      </c>
      <c r="Q321" s="78" t="str">
        <f>IF(F321="",J321,VLOOKUP(F321,框架条目清单!A:K,4,FALSE))</f>
        <v/>
      </c>
      <c r="R321" s="106" t="str">
        <f>IF($A321="","",'2.报价结算清单'!$K$183)</f>
        <v/>
      </c>
      <c r="S321" s="80" t="str">
        <f>IF($A321="","",'2.报价结算清单'!$E$183)</f>
        <v/>
      </c>
      <c r="T321" s="78" t="str">
        <f>IF(F321="","",VLOOKUP(F321,框架条目清单!A:K,7,FALSE))</f>
        <v/>
      </c>
      <c r="U321" s="78" t="str">
        <f>IF(F321="","",VLOOKUP(F321,框架条目清单!A:K,8,FALSE))</f>
        <v/>
      </c>
      <c r="V321" s="78" t="str">
        <f>IF(F321="","",VLOOKUP(F321,框架条目清单!A:K,9,FALSE))</f>
        <v/>
      </c>
    </row>
    <row r="322" spans="1:22">
      <c r="A322" s="78" t="str">
        <f>IF(AND('2.报价结算清单'!$P425&gt;0,'2.报价结算清单'!$B425&lt;&gt;0,'2.报价结算清单'!$F425&lt;&gt;0),'2.报价结算清单'!$F425,"")</f>
        <v/>
      </c>
      <c r="B322" s="78" t="str">
        <f>_xlfn.IFNA(VLOOKUP(A322,'3.框架内物料'!$A:$I,3,0),A322)</f>
        <v/>
      </c>
      <c r="C322" s="78" t="str">
        <f>IF(AND('2.报价结算清单'!$P425&gt;0,'2.报价结算清单'!$B425&lt;&gt;0,'2.报价结算清单'!C425&lt;&gt;0),'2.报价结算清单'!C425,"")</f>
        <v/>
      </c>
      <c r="D322" s="78" t="str">
        <f>IF(AND('2.报价结算清单'!$P425&gt;0,'2.报价结算清单'!$B425&lt;&gt;0,'2.报价结算清单'!D425&lt;&gt;0),'2.报价结算清单'!D425,"")</f>
        <v/>
      </c>
      <c r="E322" s="78" t="str">
        <f>IF(AND('2.报价结算清单'!$P425&gt;0,'2.报价结算清单'!$B425&lt;&gt;0,'2.报价结算清单'!E425&lt;&gt;0),'2.报价结算清单'!E425,"")</f>
        <v/>
      </c>
      <c r="F322" s="105" t="str">
        <f>_xlfn.IFNA(IF($A322="","",IF(VLOOKUP($A322,'3.框架内物料'!$A:$I,2,0)="","",VLOOKUP($A322,'3.框架内物料'!$A:$I,2,0))),"")</f>
        <v/>
      </c>
      <c r="G322" s="87" t="str">
        <f>IF(AND('2.报价结算清单'!$P425&gt;0,'2.报价结算清单'!$B425&lt;&gt;0,'2.报价结算清单'!H425&lt;&gt;0),'2.报价结算清单'!H425,"")</f>
        <v/>
      </c>
      <c r="H322" s="122" t="str">
        <f>IF(AND('2.报价结算清单'!$P425&gt;0,'2.报价结算清单'!$B425&lt;&gt;0,'2.报价结算清单'!$F425&lt;&gt;0),'2.报价结算清单'!J425,"")</f>
        <v/>
      </c>
      <c r="I322" s="105" t="str">
        <f>IF(AND('2.报价结算清单'!$P425&gt;0,'2.报价结算清单'!$B425&lt;&gt;0,'2.报价结算清单'!$F425&lt;&gt;0),'2.报价结算清单'!L425,"")</f>
        <v/>
      </c>
      <c r="J322" s="105" t="str">
        <f>IF(AND('2.报价结算清单'!$P425&gt;0,'2.报价结算清单'!$B425&lt;&gt;0,'2.报价结算清单'!I425&lt;&gt;0),'2.报价结算清单'!I425,"")</f>
        <v/>
      </c>
      <c r="K322" s="105" t="str">
        <f>IF(AND('2.报价结算清单'!$P425&gt;0,'2.报价结算清单'!$B425&lt;&gt;0,'2.报价结算清单'!$F425&lt;&gt;0),'2.报价结算清单'!N425,"")</f>
        <v/>
      </c>
      <c r="L322" s="105" t="str">
        <f>IF(AND('2.报价结算清单'!$P425&gt;0,'2.报价结算清单'!$B425&lt;&gt;0,'2.报价结算清单'!I425&lt;&gt;0),"天","")</f>
        <v/>
      </c>
      <c r="M322" s="80" t="str">
        <f t="shared" si="12"/>
        <v/>
      </c>
      <c r="N322" s="78" t="str">
        <f t="shared" si="13"/>
        <v/>
      </c>
      <c r="O322" s="78" t="str">
        <f>IF(AND('2.报价结算清单'!$P425&gt;0,'2.报价结算清单'!$B425&lt;&gt;0,'2.报价结算清单'!S425&lt;&gt;0),'2.报价结算清单'!S425,"")</f>
        <v/>
      </c>
      <c r="P322" s="78" t="str">
        <f>IF(AND('2.报价结算清单'!$P425&gt;0,'2.报价结算清单'!$B425&lt;&gt;0,'2.报价结算清单'!T425&lt;&gt;0),'2.报价结算清单'!T425,"")</f>
        <v/>
      </c>
      <c r="Q322" s="78" t="str">
        <f>IF(F322="",J322,VLOOKUP(F322,框架条目清单!A:K,4,FALSE))</f>
        <v/>
      </c>
      <c r="R322" s="106" t="str">
        <f>IF($A322="","",'2.报价结算清单'!$K$183)</f>
        <v/>
      </c>
      <c r="S322" s="80" t="str">
        <f>IF($A322="","",'2.报价结算清单'!$E$183)</f>
        <v/>
      </c>
      <c r="T322" s="78" t="str">
        <f>IF(F322="","",VLOOKUP(F322,框架条目清单!A:K,7,FALSE))</f>
        <v/>
      </c>
      <c r="U322" s="78" t="str">
        <f>IF(F322="","",VLOOKUP(F322,框架条目清单!A:K,8,FALSE))</f>
        <v/>
      </c>
      <c r="V322" s="78" t="str">
        <f>IF(F322="","",VLOOKUP(F322,框架条目清单!A:K,9,FALSE))</f>
        <v/>
      </c>
    </row>
    <row r="323" spans="1:22">
      <c r="A323" s="78" t="str">
        <f>IF(AND('2.报价结算清单'!$P426&gt;0,'2.报价结算清单'!$B426&lt;&gt;0,'2.报价结算清单'!$F426&lt;&gt;0),'2.报价结算清单'!$F426,"")</f>
        <v/>
      </c>
      <c r="B323" s="78" t="str">
        <f>_xlfn.IFNA(VLOOKUP(A323,'3.框架内物料'!$A:$I,3,0),A323)</f>
        <v/>
      </c>
      <c r="C323" s="78" t="str">
        <f>IF(AND('2.报价结算清单'!$P426&gt;0,'2.报价结算清单'!$B426&lt;&gt;0,'2.报价结算清单'!C426&lt;&gt;0),'2.报价结算清单'!C426,"")</f>
        <v/>
      </c>
      <c r="D323" s="78" t="str">
        <f>IF(AND('2.报价结算清单'!$P426&gt;0,'2.报价结算清单'!$B426&lt;&gt;0,'2.报价结算清单'!D426&lt;&gt;0),'2.报价结算清单'!D426,"")</f>
        <v/>
      </c>
      <c r="E323" s="78" t="str">
        <f>IF(AND('2.报价结算清单'!$P426&gt;0,'2.报价结算清单'!$B426&lt;&gt;0,'2.报价结算清单'!E426&lt;&gt;0),'2.报价结算清单'!E426,"")</f>
        <v/>
      </c>
      <c r="F323" s="105" t="str">
        <f>_xlfn.IFNA(IF($A323="","",IF(VLOOKUP($A323,'3.框架内物料'!$A:$I,2,0)="","",VLOOKUP($A323,'3.框架内物料'!$A:$I,2,0))),"")</f>
        <v/>
      </c>
      <c r="G323" s="87" t="str">
        <f>IF(AND('2.报价结算清单'!$P426&gt;0,'2.报价结算清单'!$B426&lt;&gt;0,'2.报价结算清单'!H426&lt;&gt;0),'2.报价结算清单'!H426,"")</f>
        <v/>
      </c>
      <c r="H323" s="122" t="str">
        <f>IF(AND('2.报价结算清单'!$P426&gt;0,'2.报价结算清单'!$B426&lt;&gt;0,'2.报价结算清单'!$F426&lt;&gt;0),'2.报价结算清单'!J426,"")</f>
        <v/>
      </c>
      <c r="I323" s="105" t="str">
        <f>IF(AND('2.报价结算清单'!$P426&gt;0,'2.报价结算清单'!$B426&lt;&gt;0,'2.报价结算清单'!$F426&lt;&gt;0),'2.报价结算清单'!L426,"")</f>
        <v/>
      </c>
      <c r="J323" s="105" t="str">
        <f>IF(AND('2.报价结算清单'!$P426&gt;0,'2.报价结算清单'!$B426&lt;&gt;0,'2.报价结算清单'!I426&lt;&gt;0),'2.报价结算清单'!I426,"")</f>
        <v/>
      </c>
      <c r="K323" s="105" t="str">
        <f>IF(AND('2.报价结算清单'!$P426&gt;0,'2.报价结算清单'!$B426&lt;&gt;0,'2.报价结算清单'!$F426&lt;&gt;0),'2.报价结算清单'!N426,"")</f>
        <v/>
      </c>
      <c r="L323" s="105" t="str">
        <f>IF(AND('2.报价结算清单'!$P426&gt;0,'2.报价结算清单'!$B426&lt;&gt;0,'2.报价结算清单'!I426&lt;&gt;0),"天","")</f>
        <v/>
      </c>
      <c r="M323" s="80" t="str">
        <f t="shared" si="12"/>
        <v/>
      </c>
      <c r="N323" s="78" t="str">
        <f t="shared" si="13"/>
        <v/>
      </c>
      <c r="O323" s="78" t="str">
        <f>IF(AND('2.报价结算清单'!$P426&gt;0,'2.报价结算清单'!$B426&lt;&gt;0,'2.报价结算清单'!S426&lt;&gt;0),'2.报价结算清单'!S426,"")</f>
        <v/>
      </c>
      <c r="P323" s="78" t="str">
        <f>IF(AND('2.报价结算清单'!$P426&gt;0,'2.报价结算清单'!$B426&lt;&gt;0,'2.报价结算清单'!T426&lt;&gt;0),'2.报价结算清单'!T426,"")</f>
        <v/>
      </c>
      <c r="Q323" s="78" t="str">
        <f>IF(F323="",J323,VLOOKUP(F323,框架条目清单!A:K,4,FALSE))</f>
        <v/>
      </c>
      <c r="R323" s="106" t="str">
        <f>IF($A323="","",'2.报价结算清单'!$K$183)</f>
        <v/>
      </c>
      <c r="S323" s="80" t="str">
        <f>IF($A323="","",'2.报价结算清单'!$E$183)</f>
        <v/>
      </c>
      <c r="T323" s="78" t="str">
        <f>IF(F323="","",VLOOKUP(F323,框架条目清单!A:K,7,FALSE))</f>
        <v/>
      </c>
      <c r="U323" s="78" t="str">
        <f>IF(F323="","",VLOOKUP(F323,框架条目清单!A:K,8,FALSE))</f>
        <v/>
      </c>
      <c r="V323" s="78" t="str">
        <f>IF(F323="","",VLOOKUP(F323,框架条目清单!A:K,9,FALSE))</f>
        <v/>
      </c>
    </row>
    <row r="324" spans="1:22">
      <c r="A324" s="78" t="str">
        <f>IF(AND('2.报价结算清单'!$P427&gt;0,'2.报价结算清单'!$B427&lt;&gt;0,'2.报价结算清单'!$F427&lt;&gt;0),'2.报价结算清单'!$F427,"")</f>
        <v/>
      </c>
      <c r="B324" s="78" t="str">
        <f>_xlfn.IFNA(VLOOKUP(A324,'3.框架内物料'!$A:$I,3,0),A324)</f>
        <v/>
      </c>
      <c r="C324" s="78" t="str">
        <f>IF(AND('2.报价结算清单'!$P427&gt;0,'2.报价结算清单'!$B427&lt;&gt;0,'2.报价结算清单'!C427&lt;&gt;0),'2.报价结算清单'!C427,"")</f>
        <v/>
      </c>
      <c r="D324" s="78" t="str">
        <f>IF(AND('2.报价结算清单'!$P427&gt;0,'2.报价结算清单'!$B427&lt;&gt;0,'2.报价结算清单'!D427&lt;&gt;0),'2.报价结算清单'!D427,"")</f>
        <v/>
      </c>
      <c r="E324" s="78" t="str">
        <f>IF(AND('2.报价结算清单'!$P427&gt;0,'2.报价结算清单'!$B427&lt;&gt;0,'2.报价结算清单'!E427&lt;&gt;0),'2.报价结算清单'!E427,"")</f>
        <v/>
      </c>
      <c r="F324" s="105" t="str">
        <f>_xlfn.IFNA(IF($A324="","",IF(VLOOKUP($A324,'3.框架内物料'!$A:$I,2,0)="","",VLOOKUP($A324,'3.框架内物料'!$A:$I,2,0))),"")</f>
        <v/>
      </c>
      <c r="G324" s="87" t="str">
        <f>IF(AND('2.报价结算清单'!$P427&gt;0,'2.报价结算清单'!$B427&lt;&gt;0,'2.报价结算清单'!H427&lt;&gt;0),'2.报价结算清单'!H427,"")</f>
        <v/>
      </c>
      <c r="H324" s="122" t="str">
        <f>IF(AND('2.报价结算清单'!$P427&gt;0,'2.报价结算清单'!$B427&lt;&gt;0,'2.报价结算清单'!$F427&lt;&gt;0),'2.报价结算清单'!J427,"")</f>
        <v/>
      </c>
      <c r="I324" s="105" t="str">
        <f>IF(AND('2.报价结算清单'!$P427&gt;0,'2.报价结算清单'!$B427&lt;&gt;0,'2.报价结算清单'!$F427&lt;&gt;0),'2.报价结算清单'!L427,"")</f>
        <v/>
      </c>
      <c r="J324" s="105" t="str">
        <f>IF(AND('2.报价结算清单'!$P427&gt;0,'2.报价结算清单'!$B427&lt;&gt;0,'2.报价结算清单'!I427&lt;&gt;0),'2.报价结算清单'!I427,"")</f>
        <v/>
      </c>
      <c r="K324" s="105" t="str">
        <f>IF(AND('2.报价结算清单'!$P427&gt;0,'2.报价结算清单'!$B427&lt;&gt;0,'2.报价结算清单'!$F427&lt;&gt;0),'2.报价结算清单'!N427,"")</f>
        <v/>
      </c>
      <c r="L324" s="105" t="str">
        <f>IF(AND('2.报价结算清单'!$P427&gt;0,'2.报价结算清单'!$B427&lt;&gt;0,'2.报价结算清单'!I427&lt;&gt;0),"天","")</f>
        <v/>
      </c>
      <c r="M324" s="80" t="str">
        <f t="shared" si="12"/>
        <v/>
      </c>
      <c r="N324" s="78" t="str">
        <f t="shared" si="13"/>
        <v/>
      </c>
      <c r="O324" s="78" t="str">
        <f>IF(AND('2.报价结算清单'!$P427&gt;0,'2.报价结算清单'!$B427&lt;&gt;0,'2.报价结算清单'!S427&lt;&gt;0),'2.报价结算清单'!S427,"")</f>
        <v/>
      </c>
      <c r="P324" s="78" t="str">
        <f>IF(AND('2.报价结算清单'!$P427&gt;0,'2.报价结算清单'!$B427&lt;&gt;0,'2.报价结算清单'!T427&lt;&gt;0),'2.报价结算清单'!T427,"")</f>
        <v/>
      </c>
      <c r="Q324" s="78" t="str">
        <f>IF(F324="",J324,VLOOKUP(F324,框架条目清单!A:K,4,FALSE))</f>
        <v/>
      </c>
      <c r="R324" s="106" t="str">
        <f>IF($A324="","",'2.报价结算清单'!$K$183)</f>
        <v/>
      </c>
      <c r="S324" s="80" t="str">
        <f>IF($A324="","",'2.报价结算清单'!$E$183)</f>
        <v/>
      </c>
      <c r="T324" s="78" t="str">
        <f>IF(F324="","",VLOOKUP(F324,框架条目清单!A:K,7,FALSE))</f>
        <v/>
      </c>
      <c r="U324" s="78" t="str">
        <f>IF(F324="","",VLOOKUP(F324,框架条目清单!A:K,8,FALSE))</f>
        <v/>
      </c>
      <c r="V324" s="78" t="str">
        <f>IF(F324="","",VLOOKUP(F324,框架条目清单!A:K,9,FALSE))</f>
        <v/>
      </c>
    </row>
    <row r="325" spans="1:22">
      <c r="A325" s="78" t="str">
        <f>IF(AND('2.报价结算清单'!$P428&gt;0,'2.报价结算清单'!$B428&lt;&gt;0,'2.报价结算清单'!$F428&lt;&gt;0),'2.报价结算清单'!$F428,"")</f>
        <v/>
      </c>
      <c r="B325" s="78" t="str">
        <f>_xlfn.IFNA(VLOOKUP(A325,'3.框架内物料'!$A:$I,3,0),A325)</f>
        <v/>
      </c>
      <c r="C325" s="78" t="str">
        <f>IF(AND('2.报价结算清单'!$P428&gt;0,'2.报价结算清单'!$B428&lt;&gt;0,'2.报价结算清单'!C428&lt;&gt;0),'2.报价结算清单'!C428,"")</f>
        <v/>
      </c>
      <c r="D325" s="78" t="str">
        <f>IF(AND('2.报价结算清单'!$P428&gt;0,'2.报价结算清单'!$B428&lt;&gt;0,'2.报价结算清单'!D428&lt;&gt;0),'2.报价结算清单'!D428,"")</f>
        <v/>
      </c>
      <c r="E325" s="78" t="str">
        <f>IF(AND('2.报价结算清单'!$P428&gt;0,'2.报价结算清单'!$B428&lt;&gt;0,'2.报价结算清单'!E428&lt;&gt;0),'2.报价结算清单'!E428,"")</f>
        <v/>
      </c>
      <c r="F325" s="105" t="str">
        <f>_xlfn.IFNA(IF($A325="","",IF(VLOOKUP($A325,'3.框架内物料'!$A:$I,2,0)="","",VLOOKUP($A325,'3.框架内物料'!$A:$I,2,0))),"")</f>
        <v/>
      </c>
      <c r="G325" s="87" t="str">
        <f>IF(AND('2.报价结算清单'!$P428&gt;0,'2.报价结算清单'!$B428&lt;&gt;0,'2.报价结算清单'!H428&lt;&gt;0),'2.报价结算清单'!H428,"")</f>
        <v/>
      </c>
      <c r="H325" s="122" t="str">
        <f>IF(AND('2.报价结算清单'!$P428&gt;0,'2.报价结算清单'!$B428&lt;&gt;0,'2.报价结算清单'!$F428&lt;&gt;0),'2.报价结算清单'!J428,"")</f>
        <v/>
      </c>
      <c r="I325" s="105" t="str">
        <f>IF(AND('2.报价结算清单'!$P428&gt;0,'2.报价结算清单'!$B428&lt;&gt;0,'2.报价结算清单'!$F428&lt;&gt;0),'2.报价结算清单'!L428,"")</f>
        <v/>
      </c>
      <c r="J325" s="105" t="str">
        <f>IF(AND('2.报价结算清单'!$P428&gt;0,'2.报价结算清单'!$B428&lt;&gt;0,'2.报价结算清单'!I428&lt;&gt;0),'2.报价结算清单'!I428,"")</f>
        <v/>
      </c>
      <c r="K325" s="105" t="str">
        <f>IF(AND('2.报价结算清单'!$P428&gt;0,'2.报价结算清单'!$B428&lt;&gt;0,'2.报价结算清单'!$F428&lt;&gt;0),'2.报价结算清单'!N428,"")</f>
        <v/>
      </c>
      <c r="L325" s="105" t="str">
        <f>IF(AND('2.报价结算清单'!$P428&gt;0,'2.报价结算清单'!$B428&lt;&gt;0,'2.报价结算清单'!I428&lt;&gt;0),"天","")</f>
        <v/>
      </c>
      <c r="M325" s="80" t="str">
        <f t="shared" si="12"/>
        <v/>
      </c>
      <c r="N325" s="78" t="str">
        <f t="shared" si="13"/>
        <v/>
      </c>
      <c r="O325" s="78" t="str">
        <f>IF(AND('2.报价结算清单'!$P428&gt;0,'2.报价结算清单'!$B428&lt;&gt;0,'2.报价结算清单'!S428&lt;&gt;0),'2.报价结算清单'!S428,"")</f>
        <v/>
      </c>
      <c r="P325" s="78" t="str">
        <f>IF(AND('2.报价结算清单'!$P428&gt;0,'2.报价结算清单'!$B428&lt;&gt;0,'2.报价结算清单'!T428&lt;&gt;0),'2.报价结算清单'!T428,"")</f>
        <v/>
      </c>
      <c r="Q325" s="78" t="str">
        <f>IF(F325="",J325,VLOOKUP(F325,框架条目清单!A:K,4,FALSE))</f>
        <v/>
      </c>
      <c r="R325" s="106" t="str">
        <f>IF($A325="","",'2.报价结算清单'!$K$183)</f>
        <v/>
      </c>
      <c r="S325" s="80" t="str">
        <f>IF($A325="","",'2.报价结算清单'!$E$183)</f>
        <v/>
      </c>
      <c r="T325" s="78" t="str">
        <f>IF(F325="","",VLOOKUP(F325,框架条目清单!A:K,7,FALSE))</f>
        <v/>
      </c>
      <c r="U325" s="78" t="str">
        <f>IF(F325="","",VLOOKUP(F325,框架条目清单!A:K,8,FALSE))</f>
        <v/>
      </c>
      <c r="V325" s="78" t="str">
        <f>IF(F325="","",VLOOKUP(F325,框架条目清单!A:K,9,FALSE))</f>
        <v/>
      </c>
    </row>
    <row r="326" spans="1:22">
      <c r="A326" s="78" t="str">
        <f>IF(AND('2.报价结算清单'!$P429&gt;0,'2.报价结算清单'!$B429&lt;&gt;0,'2.报价结算清单'!$F429&lt;&gt;0),'2.报价结算清单'!$F429,"")</f>
        <v/>
      </c>
      <c r="B326" s="78" t="str">
        <f>_xlfn.IFNA(VLOOKUP(A326,'3.框架内物料'!$A:$I,3,0),A326)</f>
        <v/>
      </c>
      <c r="C326" s="78" t="str">
        <f>IF(AND('2.报价结算清单'!$P429&gt;0,'2.报价结算清单'!$B429&lt;&gt;0,'2.报价结算清单'!C429&lt;&gt;0),'2.报价结算清单'!C429,"")</f>
        <v/>
      </c>
      <c r="D326" s="78" t="str">
        <f>IF(AND('2.报价结算清单'!$P429&gt;0,'2.报价结算清单'!$B429&lt;&gt;0,'2.报价结算清单'!D429&lt;&gt;0),'2.报价结算清单'!D429,"")</f>
        <v/>
      </c>
      <c r="E326" s="78" t="str">
        <f>IF(AND('2.报价结算清单'!$P429&gt;0,'2.报价结算清单'!$B429&lt;&gt;0,'2.报价结算清单'!E429&lt;&gt;0),'2.报价结算清单'!E429,"")</f>
        <v/>
      </c>
      <c r="F326" s="105" t="str">
        <f>_xlfn.IFNA(IF($A326="","",IF(VLOOKUP($A326,'3.框架内物料'!$A:$I,2,0)="","",VLOOKUP($A326,'3.框架内物料'!$A:$I,2,0))),"")</f>
        <v/>
      </c>
      <c r="G326" s="87" t="str">
        <f>IF(AND('2.报价结算清单'!$P429&gt;0,'2.报价结算清单'!$B429&lt;&gt;0,'2.报价结算清单'!H429&lt;&gt;0),'2.报价结算清单'!H429,"")</f>
        <v/>
      </c>
      <c r="H326" s="122" t="str">
        <f>IF(AND('2.报价结算清单'!$P429&gt;0,'2.报价结算清单'!$B429&lt;&gt;0,'2.报价结算清单'!$F429&lt;&gt;0),'2.报价结算清单'!J429,"")</f>
        <v/>
      </c>
      <c r="I326" s="105" t="str">
        <f>IF(AND('2.报价结算清单'!$P429&gt;0,'2.报价结算清单'!$B429&lt;&gt;0,'2.报价结算清单'!$F429&lt;&gt;0),'2.报价结算清单'!L429,"")</f>
        <v/>
      </c>
      <c r="J326" s="105" t="str">
        <f>IF(AND('2.报价结算清单'!$P429&gt;0,'2.报价结算清单'!$B429&lt;&gt;0,'2.报价结算清单'!I429&lt;&gt;0),'2.报价结算清单'!I429,"")</f>
        <v/>
      </c>
      <c r="K326" s="105" t="str">
        <f>IF(AND('2.报价结算清单'!$P429&gt;0,'2.报价结算清单'!$B429&lt;&gt;0,'2.报价结算清单'!$F429&lt;&gt;0),'2.报价结算清单'!N429,"")</f>
        <v/>
      </c>
      <c r="L326" s="105" t="str">
        <f>IF(AND('2.报价结算清单'!$P429&gt;0,'2.报价结算清单'!$B429&lt;&gt;0,'2.报价结算清单'!I429&lt;&gt;0),"天","")</f>
        <v/>
      </c>
      <c r="M326" s="80" t="str">
        <f t="shared" si="12"/>
        <v/>
      </c>
      <c r="N326" s="78" t="str">
        <f t="shared" si="13"/>
        <v/>
      </c>
      <c r="O326" s="78" t="str">
        <f>IF(AND('2.报价结算清单'!$P429&gt;0,'2.报价结算清单'!$B429&lt;&gt;0,'2.报价结算清单'!S429&lt;&gt;0),'2.报价结算清单'!S429,"")</f>
        <v/>
      </c>
      <c r="P326" s="78" t="str">
        <f>IF(AND('2.报价结算清单'!$P429&gt;0,'2.报价结算清单'!$B429&lt;&gt;0,'2.报价结算清单'!T429&lt;&gt;0),'2.报价结算清单'!T429,"")</f>
        <v/>
      </c>
      <c r="Q326" s="78" t="str">
        <f>IF(F326="",J326,VLOOKUP(F326,框架条目清单!A:K,4,FALSE))</f>
        <v/>
      </c>
      <c r="R326" s="106" t="str">
        <f>IF($A326="","",'2.报价结算清单'!$K$183)</f>
        <v/>
      </c>
      <c r="S326" s="80" t="str">
        <f>IF($A326="","",'2.报价结算清单'!$E$183)</f>
        <v/>
      </c>
      <c r="T326" s="78" t="str">
        <f>IF(F326="","",VLOOKUP(F326,框架条目清单!A:K,7,FALSE))</f>
        <v/>
      </c>
      <c r="U326" s="78" t="str">
        <f>IF(F326="","",VLOOKUP(F326,框架条目清单!A:K,8,FALSE))</f>
        <v/>
      </c>
      <c r="V326" s="78" t="str">
        <f>IF(F326="","",VLOOKUP(F326,框架条目清单!A:K,9,FALSE))</f>
        <v/>
      </c>
    </row>
    <row r="327" spans="1:22">
      <c r="A327" s="78" t="str">
        <f>IF(AND('2.报价结算清单'!$P430&gt;0,'2.报价结算清单'!$B430&lt;&gt;0,'2.报价结算清单'!$F430&lt;&gt;0),'2.报价结算清单'!$F430,"")</f>
        <v/>
      </c>
      <c r="B327" s="78" t="str">
        <f>_xlfn.IFNA(VLOOKUP(A327,'3.框架内物料'!$A:$I,3,0),A327)</f>
        <v/>
      </c>
      <c r="C327" s="78" t="str">
        <f>IF(AND('2.报价结算清单'!$P430&gt;0,'2.报价结算清单'!$B430&lt;&gt;0,'2.报价结算清单'!C430&lt;&gt;0),'2.报价结算清单'!C430,"")</f>
        <v/>
      </c>
      <c r="D327" s="78" t="str">
        <f>IF(AND('2.报价结算清单'!$P430&gt;0,'2.报价结算清单'!$B430&lt;&gt;0,'2.报价结算清单'!D430&lt;&gt;0),'2.报价结算清单'!D430,"")</f>
        <v/>
      </c>
      <c r="E327" s="78" t="str">
        <f>IF(AND('2.报价结算清单'!$P430&gt;0,'2.报价结算清单'!$B430&lt;&gt;0,'2.报价结算清单'!E430&lt;&gt;0),'2.报价结算清单'!E430,"")</f>
        <v/>
      </c>
      <c r="F327" s="105" t="str">
        <f>_xlfn.IFNA(IF($A327="","",IF(VLOOKUP($A327,'3.框架内物料'!$A:$I,2,0)="","",VLOOKUP($A327,'3.框架内物料'!$A:$I,2,0))),"")</f>
        <v/>
      </c>
      <c r="G327" s="87" t="str">
        <f>IF(AND('2.报价结算清单'!$P430&gt;0,'2.报价结算清单'!$B430&lt;&gt;0,'2.报价结算清单'!H430&lt;&gt;0),'2.报价结算清单'!H430,"")</f>
        <v/>
      </c>
      <c r="H327" s="122" t="str">
        <f>IF(AND('2.报价结算清单'!$P430&gt;0,'2.报价结算清单'!$B430&lt;&gt;0,'2.报价结算清单'!$F430&lt;&gt;0),'2.报价结算清单'!J430,"")</f>
        <v/>
      </c>
      <c r="I327" s="105" t="str">
        <f>IF(AND('2.报价结算清单'!$P430&gt;0,'2.报价结算清单'!$B430&lt;&gt;0,'2.报价结算清单'!$F430&lt;&gt;0),'2.报价结算清单'!L430,"")</f>
        <v/>
      </c>
      <c r="J327" s="105" t="str">
        <f>IF(AND('2.报价结算清单'!$P430&gt;0,'2.报价结算清单'!$B430&lt;&gt;0,'2.报价结算清单'!I430&lt;&gt;0),'2.报价结算清单'!I430,"")</f>
        <v/>
      </c>
      <c r="K327" s="105" t="str">
        <f>IF(AND('2.报价结算清单'!$P430&gt;0,'2.报价结算清单'!$B430&lt;&gt;0,'2.报价结算清单'!$F430&lt;&gt;0),'2.报价结算清单'!N430,"")</f>
        <v/>
      </c>
      <c r="L327" s="105" t="str">
        <f>IF(AND('2.报价结算清单'!$P430&gt;0,'2.报价结算清单'!$B430&lt;&gt;0,'2.报价结算清单'!I430&lt;&gt;0),"天","")</f>
        <v/>
      </c>
      <c r="M327" s="80" t="str">
        <f t="shared" si="12"/>
        <v/>
      </c>
      <c r="N327" s="78" t="str">
        <f t="shared" si="13"/>
        <v/>
      </c>
      <c r="O327" s="78" t="str">
        <f>IF(AND('2.报价结算清单'!$P430&gt;0,'2.报价结算清单'!$B430&lt;&gt;0,'2.报价结算清单'!S430&lt;&gt;0),'2.报价结算清单'!S430,"")</f>
        <v/>
      </c>
      <c r="P327" s="78" t="str">
        <f>IF(AND('2.报价结算清单'!$P430&gt;0,'2.报价结算清单'!$B430&lt;&gt;0,'2.报价结算清单'!T430&lt;&gt;0),'2.报价结算清单'!T430,"")</f>
        <v/>
      </c>
      <c r="Q327" s="78" t="str">
        <f>IF(F327="",J327,VLOOKUP(F327,框架条目清单!A:K,4,FALSE))</f>
        <v/>
      </c>
      <c r="R327" s="106" t="str">
        <f>IF($A327="","",'2.报价结算清单'!$K$183)</f>
        <v/>
      </c>
      <c r="S327" s="80" t="str">
        <f>IF($A327="","",'2.报价结算清单'!$E$183)</f>
        <v/>
      </c>
      <c r="T327" s="78" t="str">
        <f>IF(F327="","",VLOOKUP(F327,框架条目清单!A:K,7,FALSE))</f>
        <v/>
      </c>
      <c r="U327" s="78" t="str">
        <f>IF(F327="","",VLOOKUP(F327,框架条目清单!A:K,8,FALSE))</f>
        <v/>
      </c>
      <c r="V327" s="78" t="str">
        <f>IF(F327="","",VLOOKUP(F327,框架条目清单!A:K,9,FALSE))</f>
        <v/>
      </c>
    </row>
    <row r="328" spans="1:22">
      <c r="A328" s="78" t="str">
        <f>IF(AND('2.报价结算清单'!$P431&gt;0,'2.报价结算清单'!$B431&lt;&gt;0,'2.报价结算清单'!$F431&lt;&gt;0),'2.报价结算清单'!$F431,"")</f>
        <v/>
      </c>
      <c r="B328" s="78" t="str">
        <f>_xlfn.IFNA(VLOOKUP(A328,'3.框架内物料'!$A:$I,3,0),A328)</f>
        <v/>
      </c>
      <c r="C328" s="78" t="str">
        <f>IF(AND('2.报价结算清单'!$P431&gt;0,'2.报价结算清单'!$B431&lt;&gt;0,'2.报价结算清单'!C431&lt;&gt;0),'2.报价结算清单'!C431,"")</f>
        <v/>
      </c>
      <c r="D328" s="78" t="str">
        <f>IF(AND('2.报价结算清单'!$P431&gt;0,'2.报价结算清单'!$B431&lt;&gt;0,'2.报价结算清单'!D431&lt;&gt;0),'2.报价结算清单'!D431,"")</f>
        <v/>
      </c>
      <c r="E328" s="78" t="str">
        <f>IF(AND('2.报价结算清单'!$P431&gt;0,'2.报价结算清单'!$B431&lt;&gt;0,'2.报价结算清单'!E431&lt;&gt;0),'2.报价结算清单'!E431,"")</f>
        <v/>
      </c>
      <c r="F328" s="105" t="str">
        <f>_xlfn.IFNA(IF($A328="","",IF(VLOOKUP($A328,'3.框架内物料'!$A:$I,2,0)="","",VLOOKUP($A328,'3.框架内物料'!$A:$I,2,0))),"")</f>
        <v/>
      </c>
      <c r="G328" s="87" t="str">
        <f>IF(AND('2.报价结算清单'!$P431&gt;0,'2.报价结算清单'!$B431&lt;&gt;0,'2.报价结算清单'!H431&lt;&gt;0),'2.报价结算清单'!H431,"")</f>
        <v/>
      </c>
      <c r="H328" s="122" t="str">
        <f>IF(AND('2.报价结算清单'!$P431&gt;0,'2.报价结算清单'!$B431&lt;&gt;0,'2.报价结算清单'!$F431&lt;&gt;0),'2.报价结算清单'!J431,"")</f>
        <v/>
      </c>
      <c r="I328" s="105" t="str">
        <f>IF(AND('2.报价结算清单'!$P431&gt;0,'2.报价结算清单'!$B431&lt;&gt;0,'2.报价结算清单'!$F431&lt;&gt;0),'2.报价结算清单'!L431,"")</f>
        <v/>
      </c>
      <c r="J328" s="105" t="str">
        <f>IF(AND('2.报价结算清单'!$P431&gt;0,'2.报价结算清单'!$B431&lt;&gt;0,'2.报价结算清单'!I431&lt;&gt;0),'2.报价结算清单'!I431,"")</f>
        <v/>
      </c>
      <c r="K328" s="105" t="str">
        <f>IF(AND('2.报价结算清单'!$P431&gt;0,'2.报价结算清单'!$B431&lt;&gt;0,'2.报价结算清单'!$F431&lt;&gt;0),'2.报价结算清单'!N431,"")</f>
        <v/>
      </c>
      <c r="L328" s="105" t="str">
        <f>IF(AND('2.报价结算清单'!$P431&gt;0,'2.报价结算清单'!$B431&lt;&gt;0,'2.报价结算清单'!I431&lt;&gt;0),"天","")</f>
        <v/>
      </c>
      <c r="M328" s="80" t="str">
        <f t="shared" ref="M328:M391" si="14">IF(A328="框架外物料","框架外",IF(A328="据实结算","据实结算",IF(A328="","","框架内")))</f>
        <v/>
      </c>
      <c r="N328" s="78" t="str">
        <f t="shared" ref="N328:N391" si="15">IFERROR(IF(H328*I328*K328=0,"",H328*I328*K328),"")</f>
        <v/>
      </c>
      <c r="O328" s="78" t="str">
        <f>IF(AND('2.报价结算清单'!$P431&gt;0,'2.报价结算清单'!$B431&lt;&gt;0,'2.报价结算清单'!S431&lt;&gt;0),'2.报价结算清单'!S431,"")</f>
        <v/>
      </c>
      <c r="P328" s="78" t="str">
        <f>IF(AND('2.报价结算清单'!$P431&gt;0,'2.报价结算清单'!$B431&lt;&gt;0,'2.报价结算清单'!T431&lt;&gt;0),'2.报价结算清单'!T431,"")</f>
        <v/>
      </c>
      <c r="Q328" s="78" t="str">
        <f>IF(F328="",J328,VLOOKUP(F328,框架条目清单!A:K,4,FALSE))</f>
        <v/>
      </c>
      <c r="R328" s="106" t="str">
        <f>IF($A328="","",'2.报价结算清单'!$K$183)</f>
        <v/>
      </c>
      <c r="S328" s="80" t="str">
        <f>IF($A328="","",'2.报价结算清单'!$E$183)</f>
        <v/>
      </c>
      <c r="T328" s="78" t="str">
        <f>IF(F328="","",VLOOKUP(F328,框架条目清单!A:K,7,FALSE))</f>
        <v/>
      </c>
      <c r="U328" s="78" t="str">
        <f>IF(F328="","",VLOOKUP(F328,框架条目清单!A:K,8,FALSE))</f>
        <v/>
      </c>
      <c r="V328" s="78" t="str">
        <f>IF(F328="","",VLOOKUP(F328,框架条目清单!A:K,9,FALSE))</f>
        <v/>
      </c>
    </row>
    <row r="329" spans="1:22">
      <c r="A329" s="78" t="str">
        <f>IF(AND('2.报价结算清单'!$P432&gt;0,'2.报价结算清单'!$B432&lt;&gt;0,'2.报价结算清单'!$F432&lt;&gt;0),'2.报价结算清单'!$F432,"")</f>
        <v/>
      </c>
      <c r="B329" s="78" t="str">
        <f>_xlfn.IFNA(VLOOKUP(A329,'3.框架内物料'!$A:$I,3,0),A329)</f>
        <v/>
      </c>
      <c r="C329" s="78" t="str">
        <f>IF(AND('2.报价结算清单'!$P432&gt;0,'2.报价结算清单'!$B432&lt;&gt;0,'2.报价结算清单'!C432&lt;&gt;0),'2.报价结算清单'!C432,"")</f>
        <v/>
      </c>
      <c r="D329" s="78" t="str">
        <f>IF(AND('2.报价结算清单'!$P432&gt;0,'2.报价结算清单'!$B432&lt;&gt;0,'2.报价结算清单'!D432&lt;&gt;0),'2.报价结算清单'!D432,"")</f>
        <v/>
      </c>
      <c r="E329" s="78" t="str">
        <f>IF(AND('2.报价结算清单'!$P432&gt;0,'2.报价结算清单'!$B432&lt;&gt;0,'2.报价结算清单'!E432&lt;&gt;0),'2.报价结算清单'!E432,"")</f>
        <v/>
      </c>
      <c r="F329" s="105" t="str">
        <f>_xlfn.IFNA(IF($A329="","",IF(VLOOKUP($A329,'3.框架内物料'!$A:$I,2,0)="","",VLOOKUP($A329,'3.框架内物料'!$A:$I,2,0))),"")</f>
        <v/>
      </c>
      <c r="G329" s="87" t="str">
        <f>IF(AND('2.报价结算清单'!$P432&gt;0,'2.报价结算清单'!$B432&lt;&gt;0,'2.报价结算清单'!H432&lt;&gt;0),'2.报价结算清单'!H432,"")</f>
        <v/>
      </c>
      <c r="H329" s="122" t="str">
        <f>IF(AND('2.报价结算清单'!$P432&gt;0,'2.报价结算清单'!$B432&lt;&gt;0,'2.报价结算清单'!$F432&lt;&gt;0),'2.报价结算清单'!J432,"")</f>
        <v/>
      </c>
      <c r="I329" s="105" t="str">
        <f>IF(AND('2.报价结算清单'!$P432&gt;0,'2.报价结算清单'!$B432&lt;&gt;0,'2.报价结算清单'!$F432&lt;&gt;0),'2.报价结算清单'!L432,"")</f>
        <v/>
      </c>
      <c r="J329" s="105" t="str">
        <f>IF(AND('2.报价结算清单'!$P432&gt;0,'2.报价结算清单'!$B432&lt;&gt;0,'2.报价结算清单'!I432&lt;&gt;0),'2.报价结算清单'!I432,"")</f>
        <v/>
      </c>
      <c r="K329" s="105" t="str">
        <f>IF(AND('2.报价结算清单'!$P432&gt;0,'2.报价结算清单'!$B432&lt;&gt;0,'2.报价结算清单'!$F432&lt;&gt;0),'2.报价结算清单'!N432,"")</f>
        <v/>
      </c>
      <c r="L329" s="105" t="str">
        <f>IF(AND('2.报价结算清单'!$P432&gt;0,'2.报价结算清单'!$B432&lt;&gt;0,'2.报价结算清单'!I432&lt;&gt;0),"天","")</f>
        <v/>
      </c>
      <c r="M329" s="80" t="str">
        <f t="shared" si="14"/>
        <v/>
      </c>
      <c r="N329" s="78" t="str">
        <f t="shared" si="15"/>
        <v/>
      </c>
      <c r="O329" s="78" t="str">
        <f>IF(AND('2.报价结算清单'!$P432&gt;0,'2.报价结算清单'!$B432&lt;&gt;0,'2.报价结算清单'!S432&lt;&gt;0),'2.报价结算清单'!S432,"")</f>
        <v/>
      </c>
      <c r="P329" s="78" t="str">
        <f>IF(AND('2.报价结算清单'!$P432&gt;0,'2.报价结算清单'!$B432&lt;&gt;0,'2.报价结算清单'!T432&lt;&gt;0),'2.报价结算清单'!T432,"")</f>
        <v/>
      </c>
      <c r="Q329" s="78" t="str">
        <f>IF(F329="",J329,VLOOKUP(F329,框架条目清单!A:K,4,FALSE))</f>
        <v/>
      </c>
      <c r="R329" s="106" t="str">
        <f>IF($A329="","",'2.报价结算清单'!$K$183)</f>
        <v/>
      </c>
      <c r="S329" s="80" t="str">
        <f>IF($A329="","",'2.报价结算清单'!$E$183)</f>
        <v/>
      </c>
      <c r="T329" s="78" t="str">
        <f>IF(F329="","",VLOOKUP(F329,框架条目清单!A:K,7,FALSE))</f>
        <v/>
      </c>
      <c r="U329" s="78" t="str">
        <f>IF(F329="","",VLOOKUP(F329,框架条目清单!A:K,8,FALSE))</f>
        <v/>
      </c>
      <c r="V329" s="78" t="str">
        <f>IF(F329="","",VLOOKUP(F329,框架条目清单!A:K,9,FALSE))</f>
        <v/>
      </c>
    </row>
    <row r="330" spans="1:22">
      <c r="A330" s="78" t="str">
        <f>IF(AND('2.报价结算清单'!$P433&gt;0,'2.报价结算清单'!$B433&lt;&gt;0,'2.报价结算清单'!$F433&lt;&gt;0),'2.报价结算清单'!$F433,"")</f>
        <v/>
      </c>
      <c r="B330" s="78" t="str">
        <f>_xlfn.IFNA(VLOOKUP(A330,'3.框架内物料'!$A:$I,3,0),A330)</f>
        <v/>
      </c>
      <c r="C330" s="78" t="str">
        <f>IF(AND('2.报价结算清单'!$P433&gt;0,'2.报价结算清单'!$B433&lt;&gt;0,'2.报价结算清单'!C433&lt;&gt;0),'2.报价结算清单'!C433,"")</f>
        <v/>
      </c>
      <c r="D330" s="78" t="str">
        <f>IF(AND('2.报价结算清单'!$P433&gt;0,'2.报价结算清单'!$B433&lt;&gt;0,'2.报价结算清单'!D433&lt;&gt;0),'2.报价结算清单'!D433,"")</f>
        <v/>
      </c>
      <c r="E330" s="78" t="str">
        <f>IF(AND('2.报价结算清单'!$P433&gt;0,'2.报价结算清单'!$B433&lt;&gt;0,'2.报价结算清单'!E433&lt;&gt;0),'2.报价结算清单'!E433,"")</f>
        <v/>
      </c>
      <c r="F330" s="105" t="str">
        <f>_xlfn.IFNA(IF($A330="","",IF(VLOOKUP($A330,'3.框架内物料'!$A:$I,2,0)="","",VLOOKUP($A330,'3.框架内物料'!$A:$I,2,0))),"")</f>
        <v/>
      </c>
      <c r="G330" s="87" t="str">
        <f>IF(AND('2.报价结算清单'!$P433&gt;0,'2.报价结算清单'!$B433&lt;&gt;0,'2.报价结算清单'!H433&lt;&gt;0),'2.报价结算清单'!H433,"")</f>
        <v/>
      </c>
      <c r="H330" s="122" t="str">
        <f>IF(AND('2.报价结算清单'!$P433&gt;0,'2.报价结算清单'!$B433&lt;&gt;0,'2.报价结算清单'!$F433&lt;&gt;0),'2.报价结算清单'!J433,"")</f>
        <v/>
      </c>
      <c r="I330" s="105" t="str">
        <f>IF(AND('2.报价结算清单'!$P433&gt;0,'2.报价结算清单'!$B433&lt;&gt;0,'2.报价结算清单'!$F433&lt;&gt;0),'2.报价结算清单'!L433,"")</f>
        <v/>
      </c>
      <c r="J330" s="105" t="str">
        <f>IF(AND('2.报价结算清单'!$P433&gt;0,'2.报价结算清单'!$B433&lt;&gt;0,'2.报价结算清单'!I433&lt;&gt;0),'2.报价结算清单'!I433,"")</f>
        <v/>
      </c>
      <c r="K330" s="105" t="str">
        <f>IF(AND('2.报价结算清单'!$P433&gt;0,'2.报价结算清单'!$B433&lt;&gt;0,'2.报价结算清单'!$F433&lt;&gt;0),'2.报价结算清单'!N433,"")</f>
        <v/>
      </c>
      <c r="L330" s="105" t="str">
        <f>IF(AND('2.报价结算清单'!$P433&gt;0,'2.报价结算清单'!$B433&lt;&gt;0,'2.报价结算清单'!I433&lt;&gt;0),"天","")</f>
        <v/>
      </c>
      <c r="M330" s="80" t="str">
        <f t="shared" si="14"/>
        <v/>
      </c>
      <c r="N330" s="78" t="str">
        <f t="shared" si="15"/>
        <v/>
      </c>
      <c r="O330" s="78" t="str">
        <f>IF(AND('2.报价结算清单'!$P433&gt;0,'2.报价结算清单'!$B433&lt;&gt;0,'2.报价结算清单'!S433&lt;&gt;0),'2.报价结算清单'!S433,"")</f>
        <v/>
      </c>
      <c r="P330" s="78" t="str">
        <f>IF(AND('2.报价结算清单'!$P433&gt;0,'2.报价结算清单'!$B433&lt;&gt;0,'2.报价结算清单'!T433&lt;&gt;0),'2.报价结算清单'!T433,"")</f>
        <v/>
      </c>
      <c r="Q330" s="78" t="str">
        <f>IF(F330="",J330,VLOOKUP(F330,框架条目清单!A:K,4,FALSE))</f>
        <v/>
      </c>
      <c r="R330" s="106" t="str">
        <f>IF($A330="","",'2.报价结算清单'!$K$183)</f>
        <v/>
      </c>
      <c r="S330" s="80" t="str">
        <f>IF($A330="","",'2.报价结算清单'!$E$183)</f>
        <v/>
      </c>
      <c r="T330" s="78" t="str">
        <f>IF(F330="","",VLOOKUP(F330,框架条目清单!A:K,7,FALSE))</f>
        <v/>
      </c>
      <c r="U330" s="78" t="str">
        <f>IF(F330="","",VLOOKUP(F330,框架条目清单!A:K,8,FALSE))</f>
        <v/>
      </c>
      <c r="V330" s="78" t="str">
        <f>IF(F330="","",VLOOKUP(F330,框架条目清单!A:K,9,FALSE))</f>
        <v/>
      </c>
    </row>
    <row r="331" spans="1:22">
      <c r="A331" s="78" t="str">
        <f>IF(AND('2.报价结算清单'!$P434&gt;0,'2.报价结算清单'!$B434&lt;&gt;0,'2.报价结算清单'!$F434&lt;&gt;0),'2.报价结算清单'!$F434,"")</f>
        <v/>
      </c>
      <c r="B331" s="78" t="str">
        <f>_xlfn.IFNA(VLOOKUP(A331,'3.框架内物料'!$A:$I,3,0),A331)</f>
        <v/>
      </c>
      <c r="C331" s="78" t="str">
        <f>IF(AND('2.报价结算清单'!$P434&gt;0,'2.报价结算清单'!$B434&lt;&gt;0,'2.报价结算清单'!C434&lt;&gt;0),'2.报价结算清单'!C434,"")</f>
        <v/>
      </c>
      <c r="D331" s="78" t="str">
        <f>IF(AND('2.报价结算清单'!$P434&gt;0,'2.报价结算清单'!$B434&lt;&gt;0,'2.报价结算清单'!D434&lt;&gt;0),'2.报价结算清单'!D434,"")</f>
        <v/>
      </c>
      <c r="E331" s="78" t="str">
        <f>IF(AND('2.报价结算清单'!$P434&gt;0,'2.报价结算清单'!$B434&lt;&gt;0,'2.报价结算清单'!E434&lt;&gt;0),'2.报价结算清单'!E434,"")</f>
        <v/>
      </c>
      <c r="F331" s="105" t="str">
        <f>_xlfn.IFNA(IF($A331="","",IF(VLOOKUP($A331,'3.框架内物料'!$A:$I,2,0)="","",VLOOKUP($A331,'3.框架内物料'!$A:$I,2,0))),"")</f>
        <v/>
      </c>
      <c r="G331" s="87" t="str">
        <f>IF(AND('2.报价结算清单'!$P434&gt;0,'2.报价结算清单'!$B434&lt;&gt;0,'2.报价结算清单'!H434&lt;&gt;0),'2.报价结算清单'!H434,"")</f>
        <v/>
      </c>
      <c r="H331" s="122" t="str">
        <f>IF(AND('2.报价结算清单'!$P434&gt;0,'2.报价结算清单'!$B434&lt;&gt;0,'2.报价结算清单'!$F434&lt;&gt;0),'2.报价结算清单'!J434,"")</f>
        <v/>
      </c>
      <c r="I331" s="105" t="str">
        <f>IF(AND('2.报价结算清单'!$P434&gt;0,'2.报价结算清单'!$B434&lt;&gt;0,'2.报价结算清单'!$F434&lt;&gt;0),'2.报价结算清单'!L434,"")</f>
        <v/>
      </c>
      <c r="J331" s="105" t="str">
        <f>IF(AND('2.报价结算清单'!$P434&gt;0,'2.报价结算清单'!$B434&lt;&gt;0,'2.报价结算清单'!I434&lt;&gt;0),'2.报价结算清单'!I434,"")</f>
        <v/>
      </c>
      <c r="K331" s="105" t="str">
        <f>IF(AND('2.报价结算清单'!$P434&gt;0,'2.报价结算清单'!$B434&lt;&gt;0,'2.报价结算清单'!$F434&lt;&gt;0),'2.报价结算清单'!N434,"")</f>
        <v/>
      </c>
      <c r="L331" s="105" t="str">
        <f>IF(AND('2.报价结算清单'!$P434&gt;0,'2.报价结算清单'!$B434&lt;&gt;0,'2.报价结算清单'!I434&lt;&gt;0),"天","")</f>
        <v/>
      </c>
      <c r="M331" s="80" t="str">
        <f t="shared" si="14"/>
        <v/>
      </c>
      <c r="N331" s="78" t="str">
        <f t="shared" si="15"/>
        <v/>
      </c>
      <c r="O331" s="78" t="str">
        <f>IF(AND('2.报价结算清单'!$P434&gt;0,'2.报价结算清单'!$B434&lt;&gt;0,'2.报价结算清单'!S434&lt;&gt;0),'2.报价结算清单'!S434,"")</f>
        <v/>
      </c>
      <c r="P331" s="78" t="str">
        <f>IF(AND('2.报价结算清单'!$P434&gt;0,'2.报价结算清单'!$B434&lt;&gt;0,'2.报价结算清单'!T434&lt;&gt;0),'2.报价结算清单'!T434,"")</f>
        <v/>
      </c>
      <c r="Q331" s="78" t="str">
        <f>IF(F331="",J331,VLOOKUP(F331,框架条目清单!A:K,4,FALSE))</f>
        <v/>
      </c>
      <c r="R331" s="106" t="str">
        <f>IF($A331="","",'2.报价结算清单'!$K$183)</f>
        <v/>
      </c>
      <c r="S331" s="80" t="str">
        <f>IF($A331="","",'2.报价结算清单'!$E$183)</f>
        <v/>
      </c>
      <c r="T331" s="78" t="str">
        <f>IF(F331="","",VLOOKUP(F331,框架条目清单!A:K,7,FALSE))</f>
        <v/>
      </c>
      <c r="U331" s="78" t="str">
        <f>IF(F331="","",VLOOKUP(F331,框架条目清单!A:K,8,FALSE))</f>
        <v/>
      </c>
      <c r="V331" s="78" t="str">
        <f>IF(F331="","",VLOOKUP(F331,框架条目清单!A:K,9,FALSE))</f>
        <v/>
      </c>
    </row>
    <row r="332" spans="1:22">
      <c r="A332" s="78" t="str">
        <f>IF(AND('2.报价结算清单'!$P435&gt;0,'2.报价结算清单'!$B435&lt;&gt;0,'2.报价结算清单'!$F435&lt;&gt;0),'2.报价结算清单'!$F435,"")</f>
        <v/>
      </c>
      <c r="B332" s="78" t="str">
        <f>_xlfn.IFNA(VLOOKUP(A332,'3.框架内物料'!$A:$I,3,0),A332)</f>
        <v/>
      </c>
      <c r="C332" s="78" t="str">
        <f>IF(AND('2.报价结算清单'!$P435&gt;0,'2.报价结算清单'!$B435&lt;&gt;0,'2.报价结算清单'!C435&lt;&gt;0),'2.报价结算清单'!C435,"")</f>
        <v/>
      </c>
      <c r="D332" s="78" t="str">
        <f>IF(AND('2.报价结算清单'!$P435&gt;0,'2.报价结算清单'!$B435&lt;&gt;0,'2.报价结算清单'!D435&lt;&gt;0),'2.报价结算清单'!D435,"")</f>
        <v/>
      </c>
      <c r="E332" s="78" t="str">
        <f>IF(AND('2.报价结算清单'!$P435&gt;0,'2.报价结算清单'!$B435&lt;&gt;0,'2.报价结算清单'!E435&lt;&gt;0),'2.报价结算清单'!E435,"")</f>
        <v/>
      </c>
      <c r="F332" s="105" t="str">
        <f>_xlfn.IFNA(IF($A332="","",IF(VLOOKUP($A332,'3.框架内物料'!$A:$I,2,0)="","",VLOOKUP($A332,'3.框架内物料'!$A:$I,2,0))),"")</f>
        <v/>
      </c>
      <c r="G332" s="87" t="str">
        <f>IF(AND('2.报价结算清单'!$P435&gt;0,'2.报价结算清单'!$B435&lt;&gt;0,'2.报价结算清单'!H435&lt;&gt;0),'2.报价结算清单'!H435,"")</f>
        <v/>
      </c>
      <c r="H332" s="122" t="str">
        <f>IF(AND('2.报价结算清单'!$P435&gt;0,'2.报价结算清单'!$B435&lt;&gt;0,'2.报价结算清单'!$F435&lt;&gt;0),'2.报价结算清单'!J435,"")</f>
        <v/>
      </c>
      <c r="I332" s="105" t="str">
        <f>IF(AND('2.报价结算清单'!$P435&gt;0,'2.报价结算清单'!$B435&lt;&gt;0,'2.报价结算清单'!$F435&lt;&gt;0),'2.报价结算清单'!L435,"")</f>
        <v/>
      </c>
      <c r="J332" s="105" t="str">
        <f>IF(AND('2.报价结算清单'!$P435&gt;0,'2.报价结算清单'!$B435&lt;&gt;0,'2.报价结算清单'!I435&lt;&gt;0),'2.报价结算清单'!I435,"")</f>
        <v/>
      </c>
      <c r="K332" s="105" t="str">
        <f>IF(AND('2.报价结算清单'!$P435&gt;0,'2.报价结算清单'!$B435&lt;&gt;0,'2.报价结算清单'!$F435&lt;&gt;0),'2.报价结算清单'!N435,"")</f>
        <v/>
      </c>
      <c r="L332" s="105" t="str">
        <f>IF(AND('2.报价结算清单'!$P435&gt;0,'2.报价结算清单'!$B435&lt;&gt;0,'2.报价结算清单'!I435&lt;&gt;0),"天","")</f>
        <v/>
      </c>
      <c r="M332" s="80" t="str">
        <f t="shared" si="14"/>
        <v/>
      </c>
      <c r="N332" s="78" t="str">
        <f t="shared" si="15"/>
        <v/>
      </c>
      <c r="O332" s="78" t="str">
        <f>IF(AND('2.报价结算清单'!$P435&gt;0,'2.报价结算清单'!$B435&lt;&gt;0,'2.报价结算清单'!S435&lt;&gt;0),'2.报价结算清单'!S435,"")</f>
        <v/>
      </c>
      <c r="P332" s="78" t="str">
        <f>IF(AND('2.报价结算清单'!$P435&gt;0,'2.报价结算清单'!$B435&lt;&gt;0,'2.报价结算清单'!T435&lt;&gt;0),'2.报价结算清单'!T435,"")</f>
        <v/>
      </c>
      <c r="Q332" s="78" t="str">
        <f>IF(F332="",J332,VLOOKUP(F332,框架条目清单!A:K,4,FALSE))</f>
        <v/>
      </c>
      <c r="R332" s="106" t="str">
        <f>IF($A332="","",'2.报价结算清单'!$K$183)</f>
        <v/>
      </c>
      <c r="S332" s="80" t="str">
        <f>IF($A332="","",'2.报价结算清单'!$E$183)</f>
        <v/>
      </c>
      <c r="T332" s="78" t="str">
        <f>IF(F332="","",VLOOKUP(F332,框架条目清单!A:K,7,FALSE))</f>
        <v/>
      </c>
      <c r="U332" s="78" t="str">
        <f>IF(F332="","",VLOOKUP(F332,框架条目清单!A:K,8,FALSE))</f>
        <v/>
      </c>
      <c r="V332" s="78" t="str">
        <f>IF(F332="","",VLOOKUP(F332,框架条目清单!A:K,9,FALSE))</f>
        <v/>
      </c>
    </row>
    <row r="333" spans="1:22">
      <c r="A333" s="78" t="str">
        <f>IF(AND('2.报价结算清单'!$P436&gt;0,'2.报价结算清单'!$B436&lt;&gt;0,'2.报价结算清单'!$F436&lt;&gt;0),'2.报价结算清单'!$F436,"")</f>
        <v/>
      </c>
      <c r="B333" s="78" t="str">
        <f>_xlfn.IFNA(VLOOKUP(A333,'3.框架内物料'!$A:$I,3,0),A333)</f>
        <v/>
      </c>
      <c r="C333" s="78" t="str">
        <f>IF(AND('2.报价结算清单'!$P436&gt;0,'2.报价结算清单'!$B436&lt;&gt;0,'2.报价结算清单'!C436&lt;&gt;0),'2.报价结算清单'!C436,"")</f>
        <v/>
      </c>
      <c r="D333" s="78" t="str">
        <f>IF(AND('2.报价结算清单'!$P436&gt;0,'2.报价结算清单'!$B436&lt;&gt;0,'2.报价结算清单'!D436&lt;&gt;0),'2.报价结算清单'!D436,"")</f>
        <v/>
      </c>
      <c r="E333" s="78" t="str">
        <f>IF(AND('2.报价结算清单'!$P436&gt;0,'2.报价结算清单'!$B436&lt;&gt;0,'2.报价结算清单'!E436&lt;&gt;0),'2.报价结算清单'!E436,"")</f>
        <v/>
      </c>
      <c r="F333" s="105" t="str">
        <f>_xlfn.IFNA(IF($A333="","",IF(VLOOKUP($A333,'3.框架内物料'!$A:$I,2,0)="","",VLOOKUP($A333,'3.框架内物料'!$A:$I,2,0))),"")</f>
        <v/>
      </c>
      <c r="G333" s="87" t="str">
        <f>IF(AND('2.报价结算清单'!$P436&gt;0,'2.报价结算清单'!$B436&lt;&gt;0,'2.报价结算清单'!H436&lt;&gt;0),'2.报价结算清单'!H436,"")</f>
        <v/>
      </c>
      <c r="H333" s="122" t="str">
        <f>IF(AND('2.报价结算清单'!$P436&gt;0,'2.报价结算清单'!$B436&lt;&gt;0,'2.报价结算清单'!$F436&lt;&gt;0),'2.报价结算清单'!J436,"")</f>
        <v/>
      </c>
      <c r="I333" s="105" t="str">
        <f>IF(AND('2.报价结算清单'!$P436&gt;0,'2.报价结算清单'!$B436&lt;&gt;0,'2.报价结算清单'!$F436&lt;&gt;0),'2.报价结算清单'!L436,"")</f>
        <v/>
      </c>
      <c r="J333" s="105" t="str">
        <f>IF(AND('2.报价结算清单'!$P436&gt;0,'2.报价结算清单'!$B436&lt;&gt;0,'2.报价结算清单'!I436&lt;&gt;0),'2.报价结算清单'!I436,"")</f>
        <v/>
      </c>
      <c r="K333" s="105" t="str">
        <f>IF(AND('2.报价结算清单'!$P436&gt;0,'2.报价结算清单'!$B436&lt;&gt;0,'2.报价结算清单'!$F436&lt;&gt;0),'2.报价结算清单'!N436,"")</f>
        <v/>
      </c>
      <c r="L333" s="105" t="str">
        <f>IF(AND('2.报价结算清单'!$P436&gt;0,'2.报价结算清单'!$B436&lt;&gt;0,'2.报价结算清单'!I436&lt;&gt;0),"天","")</f>
        <v/>
      </c>
      <c r="M333" s="80" t="str">
        <f t="shared" si="14"/>
        <v/>
      </c>
      <c r="N333" s="78" t="str">
        <f t="shared" si="15"/>
        <v/>
      </c>
      <c r="O333" s="78" t="str">
        <f>IF(AND('2.报价结算清单'!$P436&gt;0,'2.报价结算清单'!$B436&lt;&gt;0,'2.报价结算清单'!S436&lt;&gt;0),'2.报价结算清单'!S436,"")</f>
        <v/>
      </c>
      <c r="P333" s="78" t="str">
        <f>IF(AND('2.报价结算清单'!$P436&gt;0,'2.报价结算清单'!$B436&lt;&gt;0,'2.报价结算清单'!T436&lt;&gt;0),'2.报价结算清单'!T436,"")</f>
        <v/>
      </c>
      <c r="Q333" s="78" t="str">
        <f>IF(F333="",J333,VLOOKUP(F333,框架条目清单!A:K,4,FALSE))</f>
        <v/>
      </c>
      <c r="R333" s="106" t="str">
        <f>IF($A333="","",'2.报价结算清单'!$K$183)</f>
        <v/>
      </c>
      <c r="S333" s="80" t="str">
        <f>IF($A333="","",'2.报价结算清单'!$E$183)</f>
        <v/>
      </c>
      <c r="T333" s="78" t="str">
        <f>IF(F333="","",VLOOKUP(F333,框架条目清单!A:K,7,FALSE))</f>
        <v/>
      </c>
      <c r="U333" s="78" t="str">
        <f>IF(F333="","",VLOOKUP(F333,框架条目清单!A:K,8,FALSE))</f>
        <v/>
      </c>
      <c r="V333" s="78" t="str">
        <f>IF(F333="","",VLOOKUP(F333,框架条目清单!A:K,9,FALSE))</f>
        <v/>
      </c>
    </row>
    <row r="334" spans="1:22">
      <c r="A334" s="78" t="str">
        <f>IF(AND('2.报价结算清单'!$P437&gt;0,'2.报价结算清单'!$B437&lt;&gt;0,'2.报价结算清单'!$F437&lt;&gt;0),'2.报价结算清单'!$F437,"")</f>
        <v/>
      </c>
      <c r="B334" s="78" t="str">
        <f>_xlfn.IFNA(VLOOKUP(A334,'3.框架内物料'!$A:$I,3,0),A334)</f>
        <v/>
      </c>
      <c r="C334" s="78" t="str">
        <f>IF(AND('2.报价结算清单'!$P437&gt;0,'2.报价结算清单'!$B437&lt;&gt;0,'2.报价结算清单'!C437&lt;&gt;0),'2.报价结算清单'!C437,"")</f>
        <v/>
      </c>
      <c r="D334" s="78" t="str">
        <f>IF(AND('2.报价结算清单'!$P437&gt;0,'2.报价结算清单'!$B437&lt;&gt;0,'2.报价结算清单'!D437&lt;&gt;0),'2.报价结算清单'!D437,"")</f>
        <v/>
      </c>
      <c r="E334" s="78" t="str">
        <f>IF(AND('2.报价结算清单'!$P437&gt;0,'2.报价结算清单'!$B437&lt;&gt;0,'2.报价结算清单'!E437&lt;&gt;0),'2.报价结算清单'!E437,"")</f>
        <v/>
      </c>
      <c r="F334" s="105" t="str">
        <f>_xlfn.IFNA(IF($A334="","",IF(VLOOKUP($A334,'3.框架内物料'!$A:$I,2,0)="","",VLOOKUP($A334,'3.框架内物料'!$A:$I,2,0))),"")</f>
        <v/>
      </c>
      <c r="G334" s="87" t="str">
        <f>IF(AND('2.报价结算清单'!$P437&gt;0,'2.报价结算清单'!$B437&lt;&gt;0,'2.报价结算清单'!H437&lt;&gt;0),'2.报价结算清单'!H437,"")</f>
        <v/>
      </c>
      <c r="H334" s="122" t="str">
        <f>IF(AND('2.报价结算清单'!$P437&gt;0,'2.报价结算清单'!$B437&lt;&gt;0,'2.报价结算清单'!$F437&lt;&gt;0),'2.报价结算清单'!J437,"")</f>
        <v/>
      </c>
      <c r="I334" s="105" t="str">
        <f>IF(AND('2.报价结算清单'!$P437&gt;0,'2.报价结算清单'!$B437&lt;&gt;0,'2.报价结算清单'!$F437&lt;&gt;0),'2.报价结算清单'!L437,"")</f>
        <v/>
      </c>
      <c r="J334" s="105" t="str">
        <f>IF(AND('2.报价结算清单'!$P437&gt;0,'2.报价结算清单'!$B437&lt;&gt;0,'2.报价结算清单'!I437&lt;&gt;0),'2.报价结算清单'!I437,"")</f>
        <v/>
      </c>
      <c r="K334" s="105" t="str">
        <f>IF(AND('2.报价结算清单'!$P437&gt;0,'2.报价结算清单'!$B437&lt;&gt;0,'2.报价结算清单'!$F437&lt;&gt;0),'2.报价结算清单'!N437,"")</f>
        <v/>
      </c>
      <c r="L334" s="105" t="str">
        <f>IF(AND('2.报价结算清单'!$P437&gt;0,'2.报价结算清单'!$B437&lt;&gt;0,'2.报价结算清单'!I437&lt;&gt;0),"天","")</f>
        <v/>
      </c>
      <c r="M334" s="80" t="str">
        <f t="shared" si="14"/>
        <v/>
      </c>
      <c r="N334" s="78" t="str">
        <f t="shared" si="15"/>
        <v/>
      </c>
      <c r="O334" s="78" t="str">
        <f>IF(AND('2.报价结算清单'!$P437&gt;0,'2.报价结算清单'!$B437&lt;&gt;0,'2.报价结算清单'!S437&lt;&gt;0),'2.报价结算清单'!S437,"")</f>
        <v/>
      </c>
      <c r="P334" s="78" t="str">
        <f>IF(AND('2.报价结算清单'!$P437&gt;0,'2.报价结算清单'!$B437&lt;&gt;0,'2.报价结算清单'!T437&lt;&gt;0),'2.报价结算清单'!T437,"")</f>
        <v/>
      </c>
      <c r="Q334" s="78" t="str">
        <f>IF(F334="",J334,VLOOKUP(F334,框架条目清单!A:K,4,FALSE))</f>
        <v/>
      </c>
      <c r="R334" s="106" t="str">
        <f>IF($A334="","",'2.报价结算清单'!$K$183)</f>
        <v/>
      </c>
      <c r="S334" s="80" t="str">
        <f>IF($A334="","",'2.报价结算清单'!$E$183)</f>
        <v/>
      </c>
      <c r="T334" s="78" t="str">
        <f>IF(F334="","",VLOOKUP(F334,框架条目清单!A:K,7,FALSE))</f>
        <v/>
      </c>
      <c r="U334" s="78" t="str">
        <f>IF(F334="","",VLOOKUP(F334,框架条目清单!A:K,8,FALSE))</f>
        <v/>
      </c>
      <c r="V334" s="78" t="str">
        <f>IF(F334="","",VLOOKUP(F334,框架条目清单!A:K,9,FALSE))</f>
        <v/>
      </c>
    </row>
    <row r="335" spans="1:22">
      <c r="A335" s="78" t="str">
        <f>IF(AND('2.报价结算清单'!$P438&gt;0,'2.报价结算清单'!$B438&lt;&gt;0,'2.报价结算清单'!$F438&lt;&gt;0),'2.报价结算清单'!$F438,"")</f>
        <v/>
      </c>
      <c r="B335" s="78" t="str">
        <f>_xlfn.IFNA(VLOOKUP(A335,'3.框架内物料'!$A:$I,3,0),A335)</f>
        <v/>
      </c>
      <c r="C335" s="78" t="str">
        <f>IF(AND('2.报价结算清单'!$P438&gt;0,'2.报价结算清单'!$B438&lt;&gt;0,'2.报价结算清单'!C438&lt;&gt;0),'2.报价结算清单'!C438,"")</f>
        <v/>
      </c>
      <c r="D335" s="78" t="str">
        <f>IF(AND('2.报价结算清单'!$P438&gt;0,'2.报价结算清单'!$B438&lt;&gt;0,'2.报价结算清单'!D438&lt;&gt;0),'2.报价结算清单'!D438,"")</f>
        <v/>
      </c>
      <c r="E335" s="78" t="str">
        <f>IF(AND('2.报价结算清单'!$P438&gt;0,'2.报价结算清单'!$B438&lt;&gt;0,'2.报价结算清单'!E438&lt;&gt;0),'2.报价结算清单'!E438,"")</f>
        <v/>
      </c>
      <c r="F335" s="105" t="str">
        <f>_xlfn.IFNA(IF($A335="","",IF(VLOOKUP($A335,'3.框架内物料'!$A:$I,2,0)="","",VLOOKUP($A335,'3.框架内物料'!$A:$I,2,0))),"")</f>
        <v/>
      </c>
      <c r="G335" s="87" t="str">
        <f>IF(AND('2.报价结算清单'!$P438&gt;0,'2.报价结算清单'!$B438&lt;&gt;0,'2.报价结算清单'!H438&lt;&gt;0),'2.报价结算清单'!H438,"")</f>
        <v/>
      </c>
      <c r="H335" s="122" t="str">
        <f>IF(AND('2.报价结算清单'!$P438&gt;0,'2.报价结算清单'!$B438&lt;&gt;0,'2.报价结算清单'!$F438&lt;&gt;0),'2.报价结算清单'!J438,"")</f>
        <v/>
      </c>
      <c r="I335" s="105" t="str">
        <f>IF(AND('2.报价结算清单'!$P438&gt;0,'2.报价结算清单'!$B438&lt;&gt;0,'2.报价结算清单'!$F438&lt;&gt;0),'2.报价结算清单'!L438,"")</f>
        <v/>
      </c>
      <c r="J335" s="105" t="str">
        <f>IF(AND('2.报价结算清单'!$P438&gt;0,'2.报价结算清单'!$B438&lt;&gt;0,'2.报价结算清单'!I438&lt;&gt;0),'2.报价结算清单'!I438,"")</f>
        <v/>
      </c>
      <c r="K335" s="105" t="str">
        <f>IF(AND('2.报价结算清单'!$P438&gt;0,'2.报价结算清单'!$B438&lt;&gt;0,'2.报价结算清单'!$F438&lt;&gt;0),'2.报价结算清单'!N438,"")</f>
        <v/>
      </c>
      <c r="L335" s="105" t="str">
        <f>IF(AND('2.报价结算清单'!$P438&gt;0,'2.报价结算清单'!$B438&lt;&gt;0,'2.报价结算清单'!I438&lt;&gt;0),"天","")</f>
        <v/>
      </c>
      <c r="M335" s="80" t="str">
        <f t="shared" si="14"/>
        <v/>
      </c>
      <c r="N335" s="78" t="str">
        <f t="shared" si="15"/>
        <v/>
      </c>
      <c r="O335" s="78" t="str">
        <f>IF(AND('2.报价结算清单'!$P438&gt;0,'2.报价结算清单'!$B438&lt;&gt;0,'2.报价结算清单'!S438&lt;&gt;0),'2.报价结算清单'!S438,"")</f>
        <v/>
      </c>
      <c r="P335" s="78" t="str">
        <f>IF(AND('2.报价结算清单'!$P438&gt;0,'2.报价结算清单'!$B438&lt;&gt;0,'2.报价结算清单'!T438&lt;&gt;0),'2.报价结算清单'!T438,"")</f>
        <v/>
      </c>
      <c r="Q335" s="78" t="str">
        <f>IF(F335="",J335,VLOOKUP(F335,框架条目清单!A:K,4,FALSE))</f>
        <v/>
      </c>
      <c r="R335" s="106" t="str">
        <f>IF($A335="","",'2.报价结算清单'!$K$183)</f>
        <v/>
      </c>
      <c r="S335" s="80" t="str">
        <f>IF($A335="","",'2.报价结算清单'!$E$183)</f>
        <v/>
      </c>
      <c r="T335" s="78" t="str">
        <f>IF(F335="","",VLOOKUP(F335,框架条目清单!A:K,7,FALSE))</f>
        <v/>
      </c>
      <c r="U335" s="78" t="str">
        <f>IF(F335="","",VLOOKUP(F335,框架条目清单!A:K,8,FALSE))</f>
        <v/>
      </c>
      <c r="V335" s="78" t="str">
        <f>IF(F335="","",VLOOKUP(F335,框架条目清单!A:K,9,FALSE))</f>
        <v/>
      </c>
    </row>
    <row r="336" spans="1:22">
      <c r="A336" s="78" t="str">
        <f>IF(AND('2.报价结算清单'!$P439&gt;0,'2.报价结算清单'!$B439&lt;&gt;0,'2.报价结算清单'!$F439&lt;&gt;0),'2.报价结算清单'!$F439,"")</f>
        <v/>
      </c>
      <c r="B336" s="78" t="str">
        <f>_xlfn.IFNA(VLOOKUP(A336,'3.框架内物料'!$A:$I,3,0),A336)</f>
        <v/>
      </c>
      <c r="C336" s="78" t="str">
        <f>IF(AND('2.报价结算清单'!$P439&gt;0,'2.报价结算清单'!$B439&lt;&gt;0,'2.报价结算清单'!C439&lt;&gt;0),'2.报价结算清单'!C439,"")</f>
        <v/>
      </c>
      <c r="D336" s="78" t="str">
        <f>IF(AND('2.报价结算清单'!$P439&gt;0,'2.报价结算清单'!$B439&lt;&gt;0,'2.报价结算清单'!D439&lt;&gt;0),'2.报价结算清单'!D439,"")</f>
        <v/>
      </c>
      <c r="E336" s="78" t="str">
        <f>IF(AND('2.报价结算清单'!$P439&gt;0,'2.报价结算清单'!$B439&lt;&gt;0,'2.报价结算清单'!E439&lt;&gt;0),'2.报价结算清单'!E439,"")</f>
        <v/>
      </c>
      <c r="F336" s="105" t="str">
        <f>_xlfn.IFNA(IF($A336="","",IF(VLOOKUP($A336,'3.框架内物料'!$A:$I,2,0)="","",VLOOKUP($A336,'3.框架内物料'!$A:$I,2,0))),"")</f>
        <v/>
      </c>
      <c r="G336" s="87" t="str">
        <f>IF(AND('2.报价结算清单'!$P439&gt;0,'2.报价结算清单'!$B439&lt;&gt;0,'2.报价结算清单'!H439&lt;&gt;0),'2.报价结算清单'!H439,"")</f>
        <v/>
      </c>
      <c r="H336" s="122" t="str">
        <f>IF(AND('2.报价结算清单'!$P439&gt;0,'2.报价结算清单'!$B439&lt;&gt;0,'2.报价结算清单'!$F439&lt;&gt;0),'2.报价结算清单'!J439,"")</f>
        <v/>
      </c>
      <c r="I336" s="105" t="str">
        <f>IF(AND('2.报价结算清单'!$P439&gt;0,'2.报价结算清单'!$B439&lt;&gt;0,'2.报价结算清单'!$F439&lt;&gt;0),'2.报价结算清单'!L439,"")</f>
        <v/>
      </c>
      <c r="J336" s="105" t="str">
        <f>IF(AND('2.报价结算清单'!$P439&gt;0,'2.报价结算清单'!$B439&lt;&gt;0,'2.报价结算清单'!I439&lt;&gt;0),'2.报价结算清单'!I439,"")</f>
        <v/>
      </c>
      <c r="K336" s="105" t="str">
        <f>IF(AND('2.报价结算清单'!$P439&gt;0,'2.报价结算清单'!$B439&lt;&gt;0,'2.报价结算清单'!$F439&lt;&gt;0),'2.报价结算清单'!N439,"")</f>
        <v/>
      </c>
      <c r="L336" s="105" t="str">
        <f>IF(AND('2.报价结算清单'!$P439&gt;0,'2.报价结算清单'!$B439&lt;&gt;0,'2.报价结算清单'!I439&lt;&gt;0),"天","")</f>
        <v/>
      </c>
      <c r="M336" s="80" t="str">
        <f t="shared" si="14"/>
        <v/>
      </c>
      <c r="N336" s="78" t="str">
        <f t="shared" si="15"/>
        <v/>
      </c>
      <c r="O336" s="78" t="str">
        <f>IF(AND('2.报价结算清单'!$P439&gt;0,'2.报价结算清单'!$B439&lt;&gt;0,'2.报价结算清单'!S439&lt;&gt;0),'2.报价结算清单'!S439,"")</f>
        <v/>
      </c>
      <c r="P336" s="78" t="str">
        <f>IF(AND('2.报价结算清单'!$P439&gt;0,'2.报价结算清单'!$B439&lt;&gt;0,'2.报价结算清单'!T439&lt;&gt;0),'2.报价结算清单'!T439,"")</f>
        <v/>
      </c>
      <c r="Q336" s="78" t="str">
        <f>IF(F336="",J336,VLOOKUP(F336,框架条目清单!A:K,4,FALSE))</f>
        <v/>
      </c>
      <c r="R336" s="106" t="str">
        <f>IF($A336="","",'2.报价结算清单'!$K$183)</f>
        <v/>
      </c>
      <c r="S336" s="80" t="str">
        <f>IF($A336="","",'2.报价结算清单'!$E$183)</f>
        <v/>
      </c>
      <c r="T336" s="78" t="str">
        <f>IF(F336="","",VLOOKUP(F336,框架条目清单!A:K,7,FALSE))</f>
        <v/>
      </c>
      <c r="U336" s="78" t="str">
        <f>IF(F336="","",VLOOKUP(F336,框架条目清单!A:K,8,FALSE))</f>
        <v/>
      </c>
      <c r="V336" s="78" t="str">
        <f>IF(F336="","",VLOOKUP(F336,框架条目清单!A:K,9,FALSE))</f>
        <v/>
      </c>
    </row>
    <row r="337" spans="1:22">
      <c r="A337" s="78" t="str">
        <f>IF(AND('2.报价结算清单'!$P440&gt;0,'2.报价结算清单'!$B440&lt;&gt;0,'2.报价结算清单'!$F440&lt;&gt;0),'2.报价结算清单'!$F440,"")</f>
        <v/>
      </c>
      <c r="B337" s="78" t="str">
        <f>_xlfn.IFNA(VLOOKUP(A337,'3.框架内物料'!$A:$I,3,0),A337)</f>
        <v/>
      </c>
      <c r="C337" s="78" t="str">
        <f>IF(AND('2.报价结算清单'!$P440&gt;0,'2.报价结算清单'!$B440&lt;&gt;0,'2.报价结算清单'!C440&lt;&gt;0),'2.报价结算清单'!C440,"")</f>
        <v/>
      </c>
      <c r="D337" s="78" t="str">
        <f>IF(AND('2.报价结算清单'!$P440&gt;0,'2.报价结算清单'!$B440&lt;&gt;0,'2.报价结算清单'!D440&lt;&gt;0),'2.报价结算清单'!D440,"")</f>
        <v/>
      </c>
      <c r="E337" s="78" t="str">
        <f>IF(AND('2.报价结算清单'!$P440&gt;0,'2.报价结算清单'!$B440&lt;&gt;0,'2.报价结算清单'!E440&lt;&gt;0),'2.报价结算清单'!E440,"")</f>
        <v/>
      </c>
      <c r="F337" s="105" t="str">
        <f>_xlfn.IFNA(IF($A337="","",IF(VLOOKUP($A337,'3.框架内物料'!$A:$I,2,0)="","",VLOOKUP($A337,'3.框架内物料'!$A:$I,2,0))),"")</f>
        <v/>
      </c>
      <c r="G337" s="87" t="str">
        <f>IF(AND('2.报价结算清单'!$P440&gt;0,'2.报价结算清单'!$B440&lt;&gt;0,'2.报价结算清单'!H440&lt;&gt;0),'2.报价结算清单'!H440,"")</f>
        <v/>
      </c>
      <c r="H337" s="122" t="str">
        <f>IF(AND('2.报价结算清单'!$P440&gt;0,'2.报价结算清单'!$B440&lt;&gt;0,'2.报价结算清单'!$F440&lt;&gt;0),'2.报价结算清单'!J440,"")</f>
        <v/>
      </c>
      <c r="I337" s="105" t="str">
        <f>IF(AND('2.报价结算清单'!$P440&gt;0,'2.报价结算清单'!$B440&lt;&gt;0,'2.报价结算清单'!$F440&lt;&gt;0),'2.报价结算清单'!L440,"")</f>
        <v/>
      </c>
      <c r="J337" s="105" t="str">
        <f>IF(AND('2.报价结算清单'!$P440&gt;0,'2.报价结算清单'!$B440&lt;&gt;0,'2.报价结算清单'!I440&lt;&gt;0),'2.报价结算清单'!I440,"")</f>
        <v/>
      </c>
      <c r="K337" s="105" t="str">
        <f>IF(AND('2.报价结算清单'!$P440&gt;0,'2.报价结算清单'!$B440&lt;&gt;0,'2.报价结算清单'!$F440&lt;&gt;0),'2.报价结算清单'!N440,"")</f>
        <v/>
      </c>
      <c r="L337" s="105" t="str">
        <f>IF(AND('2.报价结算清单'!$P440&gt;0,'2.报价结算清单'!$B440&lt;&gt;0,'2.报价结算清单'!I440&lt;&gt;0),"天","")</f>
        <v/>
      </c>
      <c r="M337" s="80" t="str">
        <f t="shared" si="14"/>
        <v/>
      </c>
      <c r="N337" s="78" t="str">
        <f t="shared" si="15"/>
        <v/>
      </c>
      <c r="O337" s="78" t="str">
        <f>IF(AND('2.报价结算清单'!$P440&gt;0,'2.报价结算清单'!$B440&lt;&gt;0,'2.报价结算清单'!S440&lt;&gt;0),'2.报价结算清单'!S440,"")</f>
        <v/>
      </c>
      <c r="P337" s="78" t="str">
        <f>IF(AND('2.报价结算清单'!$P440&gt;0,'2.报价结算清单'!$B440&lt;&gt;0,'2.报价结算清单'!T440&lt;&gt;0),'2.报价结算清单'!T440,"")</f>
        <v/>
      </c>
      <c r="Q337" s="78" t="str">
        <f>IF(F337="",J337,VLOOKUP(F337,框架条目清单!A:K,4,FALSE))</f>
        <v/>
      </c>
      <c r="R337" s="106" t="str">
        <f>IF($A337="","",'2.报价结算清单'!$K$183)</f>
        <v/>
      </c>
      <c r="S337" s="80" t="str">
        <f>IF($A337="","",'2.报价结算清单'!$E$183)</f>
        <v/>
      </c>
      <c r="T337" s="78" t="str">
        <f>IF(F337="","",VLOOKUP(F337,框架条目清单!A:K,7,FALSE))</f>
        <v/>
      </c>
      <c r="U337" s="78" t="str">
        <f>IF(F337="","",VLOOKUP(F337,框架条目清单!A:K,8,FALSE))</f>
        <v/>
      </c>
      <c r="V337" s="78" t="str">
        <f>IF(F337="","",VLOOKUP(F337,框架条目清单!A:K,9,FALSE))</f>
        <v/>
      </c>
    </row>
    <row r="338" spans="1:22">
      <c r="A338" s="78" t="str">
        <f>IF(AND('2.报价结算清单'!$P441&gt;0,'2.报价结算清单'!$B441&lt;&gt;0,'2.报价结算清单'!$F441&lt;&gt;0),'2.报价结算清单'!$F441,"")</f>
        <v/>
      </c>
      <c r="B338" s="78" t="str">
        <f>_xlfn.IFNA(VLOOKUP(A338,'3.框架内物料'!$A:$I,3,0),A338)</f>
        <v/>
      </c>
      <c r="C338" s="78" t="str">
        <f>IF(AND('2.报价结算清单'!$P441&gt;0,'2.报价结算清单'!$B441&lt;&gt;0,'2.报价结算清单'!C441&lt;&gt;0),'2.报价结算清单'!C441,"")</f>
        <v/>
      </c>
      <c r="D338" s="78" t="str">
        <f>IF(AND('2.报价结算清单'!$P441&gt;0,'2.报价结算清单'!$B441&lt;&gt;0,'2.报价结算清单'!D441&lt;&gt;0),'2.报价结算清单'!D441,"")</f>
        <v/>
      </c>
      <c r="E338" s="78" t="str">
        <f>IF(AND('2.报价结算清单'!$P441&gt;0,'2.报价结算清单'!$B441&lt;&gt;0,'2.报价结算清单'!E441&lt;&gt;0),'2.报价结算清单'!E441,"")</f>
        <v/>
      </c>
      <c r="F338" s="105" t="str">
        <f>_xlfn.IFNA(IF($A338="","",IF(VLOOKUP($A338,'3.框架内物料'!$A:$I,2,0)="","",VLOOKUP($A338,'3.框架内物料'!$A:$I,2,0))),"")</f>
        <v/>
      </c>
      <c r="G338" s="87" t="str">
        <f>IF(AND('2.报价结算清单'!$P441&gt;0,'2.报价结算清单'!$B441&lt;&gt;0,'2.报价结算清单'!H441&lt;&gt;0),'2.报价结算清单'!H441,"")</f>
        <v/>
      </c>
      <c r="H338" s="122" t="str">
        <f>IF(AND('2.报价结算清单'!$P441&gt;0,'2.报价结算清单'!$B441&lt;&gt;0,'2.报价结算清单'!$F441&lt;&gt;0),'2.报价结算清单'!J441,"")</f>
        <v/>
      </c>
      <c r="I338" s="105" t="str">
        <f>IF(AND('2.报价结算清单'!$P441&gt;0,'2.报价结算清单'!$B441&lt;&gt;0,'2.报价结算清单'!$F441&lt;&gt;0),'2.报价结算清单'!L441,"")</f>
        <v/>
      </c>
      <c r="J338" s="105" t="str">
        <f>IF(AND('2.报价结算清单'!$P441&gt;0,'2.报价结算清单'!$B441&lt;&gt;0,'2.报价结算清单'!I441&lt;&gt;0),'2.报价结算清单'!I441,"")</f>
        <v/>
      </c>
      <c r="K338" s="105" t="str">
        <f>IF(AND('2.报价结算清单'!$P441&gt;0,'2.报价结算清单'!$B441&lt;&gt;0,'2.报价结算清单'!$F441&lt;&gt;0),'2.报价结算清单'!N441,"")</f>
        <v/>
      </c>
      <c r="L338" s="105" t="str">
        <f>IF(AND('2.报价结算清单'!$P441&gt;0,'2.报价结算清单'!$B441&lt;&gt;0,'2.报价结算清单'!I441&lt;&gt;0),"天","")</f>
        <v/>
      </c>
      <c r="M338" s="80" t="str">
        <f t="shared" si="14"/>
        <v/>
      </c>
      <c r="N338" s="78" t="str">
        <f t="shared" si="15"/>
        <v/>
      </c>
      <c r="O338" s="78" t="str">
        <f>IF(AND('2.报价结算清单'!$P441&gt;0,'2.报价结算清单'!$B441&lt;&gt;0,'2.报价结算清单'!S441&lt;&gt;0),'2.报价结算清单'!S441,"")</f>
        <v/>
      </c>
      <c r="P338" s="78" t="str">
        <f>IF(AND('2.报价结算清单'!$P441&gt;0,'2.报价结算清单'!$B441&lt;&gt;0,'2.报价结算清单'!T441&lt;&gt;0),'2.报价结算清单'!T441,"")</f>
        <v/>
      </c>
      <c r="Q338" s="78" t="str">
        <f>IF(F338="",J338,VLOOKUP(F338,框架条目清单!A:K,4,FALSE))</f>
        <v/>
      </c>
      <c r="R338" s="106" t="str">
        <f>IF($A338="","",'2.报价结算清单'!$K$183)</f>
        <v/>
      </c>
      <c r="S338" s="80" t="str">
        <f>IF($A338="","",'2.报价结算清单'!$E$183)</f>
        <v/>
      </c>
      <c r="T338" s="78" t="str">
        <f>IF(F338="","",VLOOKUP(F338,框架条目清单!A:K,7,FALSE))</f>
        <v/>
      </c>
      <c r="U338" s="78" t="str">
        <f>IF(F338="","",VLOOKUP(F338,框架条目清单!A:K,8,FALSE))</f>
        <v/>
      </c>
      <c r="V338" s="78" t="str">
        <f>IF(F338="","",VLOOKUP(F338,框架条目清单!A:K,9,FALSE))</f>
        <v/>
      </c>
    </row>
    <row r="339" spans="1:22">
      <c r="A339" s="78" t="str">
        <f>IF(AND('2.报价结算清单'!$P442&gt;0,'2.报价结算清单'!$B442&lt;&gt;0,'2.报价结算清单'!$F442&lt;&gt;0),'2.报价结算清单'!$F442,"")</f>
        <v/>
      </c>
      <c r="B339" s="78" t="str">
        <f>_xlfn.IFNA(VLOOKUP(A339,'3.框架内物料'!$A:$I,3,0),A339)</f>
        <v/>
      </c>
      <c r="C339" s="78" t="str">
        <f>IF(AND('2.报价结算清单'!$P442&gt;0,'2.报价结算清单'!$B442&lt;&gt;0,'2.报价结算清单'!C442&lt;&gt;0),'2.报价结算清单'!C442,"")</f>
        <v/>
      </c>
      <c r="D339" s="78" t="str">
        <f>IF(AND('2.报价结算清单'!$P442&gt;0,'2.报价结算清单'!$B442&lt;&gt;0,'2.报价结算清单'!D442&lt;&gt;0),'2.报价结算清单'!D442,"")</f>
        <v/>
      </c>
      <c r="E339" s="78" t="str">
        <f>IF(AND('2.报价结算清单'!$P442&gt;0,'2.报价结算清单'!$B442&lt;&gt;0,'2.报价结算清单'!E442&lt;&gt;0),'2.报价结算清单'!E442,"")</f>
        <v/>
      </c>
      <c r="F339" s="105" t="str">
        <f>_xlfn.IFNA(IF($A339="","",IF(VLOOKUP($A339,'3.框架内物料'!$A:$I,2,0)="","",VLOOKUP($A339,'3.框架内物料'!$A:$I,2,0))),"")</f>
        <v/>
      </c>
      <c r="G339" s="87" t="str">
        <f>IF(AND('2.报价结算清单'!$P442&gt;0,'2.报价结算清单'!$B442&lt;&gt;0,'2.报价结算清单'!H442&lt;&gt;0),'2.报价结算清单'!H442,"")</f>
        <v/>
      </c>
      <c r="H339" s="122" t="str">
        <f>IF(AND('2.报价结算清单'!$P442&gt;0,'2.报价结算清单'!$B442&lt;&gt;0,'2.报价结算清单'!$F442&lt;&gt;0),'2.报价结算清单'!J442,"")</f>
        <v/>
      </c>
      <c r="I339" s="105" t="str">
        <f>IF(AND('2.报价结算清单'!$P442&gt;0,'2.报价结算清单'!$B442&lt;&gt;0,'2.报价结算清单'!$F442&lt;&gt;0),'2.报价结算清单'!L442,"")</f>
        <v/>
      </c>
      <c r="J339" s="105" t="str">
        <f>IF(AND('2.报价结算清单'!$P442&gt;0,'2.报价结算清单'!$B442&lt;&gt;0,'2.报价结算清单'!I442&lt;&gt;0),'2.报价结算清单'!I442,"")</f>
        <v/>
      </c>
      <c r="K339" s="105" t="str">
        <f>IF(AND('2.报价结算清单'!$P442&gt;0,'2.报价结算清单'!$B442&lt;&gt;0,'2.报价结算清单'!$F442&lt;&gt;0),'2.报价结算清单'!N442,"")</f>
        <v/>
      </c>
      <c r="L339" s="105" t="str">
        <f>IF(AND('2.报价结算清单'!$P442&gt;0,'2.报价结算清单'!$B442&lt;&gt;0,'2.报价结算清单'!I442&lt;&gt;0),"天","")</f>
        <v/>
      </c>
      <c r="M339" s="80" t="str">
        <f t="shared" si="14"/>
        <v/>
      </c>
      <c r="N339" s="78" t="str">
        <f t="shared" si="15"/>
        <v/>
      </c>
      <c r="O339" s="78" t="str">
        <f>IF(AND('2.报价结算清单'!$P442&gt;0,'2.报价结算清单'!$B442&lt;&gt;0,'2.报价结算清单'!S442&lt;&gt;0),'2.报价结算清单'!S442,"")</f>
        <v/>
      </c>
      <c r="P339" s="78" t="str">
        <f>IF(AND('2.报价结算清单'!$P442&gt;0,'2.报价结算清单'!$B442&lt;&gt;0,'2.报价结算清单'!T442&lt;&gt;0),'2.报价结算清单'!T442,"")</f>
        <v/>
      </c>
      <c r="Q339" s="78" t="str">
        <f>IF(F339="",J339,VLOOKUP(F339,框架条目清单!A:K,4,FALSE))</f>
        <v/>
      </c>
      <c r="R339" s="106" t="str">
        <f>IF($A339="","",'2.报价结算清单'!$K$183)</f>
        <v/>
      </c>
      <c r="S339" s="80" t="str">
        <f>IF($A339="","",'2.报价结算清单'!$E$183)</f>
        <v/>
      </c>
      <c r="T339" s="78" t="str">
        <f>IF(F339="","",VLOOKUP(F339,框架条目清单!A:K,7,FALSE))</f>
        <v/>
      </c>
      <c r="U339" s="78" t="str">
        <f>IF(F339="","",VLOOKUP(F339,框架条目清单!A:K,8,FALSE))</f>
        <v/>
      </c>
      <c r="V339" s="78" t="str">
        <f>IF(F339="","",VLOOKUP(F339,框架条目清单!A:K,9,FALSE))</f>
        <v/>
      </c>
    </row>
    <row r="340" spans="1:22">
      <c r="A340" s="78" t="str">
        <f>IF(AND('2.报价结算清单'!$P443&gt;0,'2.报价结算清单'!$B443&lt;&gt;0,'2.报价结算清单'!$F443&lt;&gt;0),'2.报价结算清单'!$F443,"")</f>
        <v/>
      </c>
      <c r="B340" s="78" t="str">
        <f>_xlfn.IFNA(VLOOKUP(A340,'3.框架内物料'!$A:$I,3,0),A340)</f>
        <v/>
      </c>
      <c r="C340" s="78" t="str">
        <f>IF(AND('2.报价结算清单'!$P443&gt;0,'2.报价结算清单'!$B443&lt;&gt;0,'2.报价结算清单'!C443&lt;&gt;0),'2.报价结算清单'!C443,"")</f>
        <v/>
      </c>
      <c r="D340" s="78" t="str">
        <f>IF(AND('2.报价结算清单'!$P443&gt;0,'2.报价结算清单'!$B443&lt;&gt;0,'2.报价结算清单'!D443&lt;&gt;0),'2.报价结算清单'!D443,"")</f>
        <v/>
      </c>
      <c r="E340" s="78" t="str">
        <f>IF(AND('2.报价结算清单'!$P443&gt;0,'2.报价结算清单'!$B443&lt;&gt;0,'2.报价结算清单'!E443&lt;&gt;0),'2.报价结算清单'!E443,"")</f>
        <v/>
      </c>
      <c r="F340" s="105" t="str">
        <f>_xlfn.IFNA(IF($A340="","",IF(VLOOKUP($A340,'3.框架内物料'!$A:$I,2,0)="","",VLOOKUP($A340,'3.框架内物料'!$A:$I,2,0))),"")</f>
        <v/>
      </c>
      <c r="G340" s="87" t="str">
        <f>IF(AND('2.报价结算清单'!$P443&gt;0,'2.报价结算清单'!$B443&lt;&gt;0,'2.报价结算清单'!H443&lt;&gt;0),'2.报价结算清单'!H443,"")</f>
        <v/>
      </c>
      <c r="H340" s="122" t="str">
        <f>IF(AND('2.报价结算清单'!$P443&gt;0,'2.报价结算清单'!$B443&lt;&gt;0,'2.报价结算清单'!$F443&lt;&gt;0),'2.报价结算清单'!J443,"")</f>
        <v/>
      </c>
      <c r="I340" s="105" t="str">
        <f>IF(AND('2.报价结算清单'!$P443&gt;0,'2.报价结算清单'!$B443&lt;&gt;0,'2.报价结算清单'!$F443&lt;&gt;0),'2.报价结算清单'!L443,"")</f>
        <v/>
      </c>
      <c r="J340" s="105" t="str">
        <f>IF(AND('2.报价结算清单'!$P443&gt;0,'2.报价结算清单'!$B443&lt;&gt;0,'2.报价结算清单'!I443&lt;&gt;0),'2.报价结算清单'!I443,"")</f>
        <v/>
      </c>
      <c r="K340" s="105" t="str">
        <f>IF(AND('2.报价结算清单'!$P443&gt;0,'2.报价结算清单'!$B443&lt;&gt;0,'2.报价结算清单'!$F443&lt;&gt;0),'2.报价结算清单'!N443,"")</f>
        <v/>
      </c>
      <c r="L340" s="105" t="str">
        <f>IF(AND('2.报价结算清单'!$P443&gt;0,'2.报价结算清单'!$B443&lt;&gt;0,'2.报价结算清单'!I443&lt;&gt;0),"天","")</f>
        <v/>
      </c>
      <c r="M340" s="80" t="str">
        <f t="shared" si="14"/>
        <v/>
      </c>
      <c r="N340" s="78" t="str">
        <f t="shared" si="15"/>
        <v/>
      </c>
      <c r="O340" s="78" t="str">
        <f>IF(AND('2.报价结算清单'!$P443&gt;0,'2.报价结算清单'!$B443&lt;&gt;0,'2.报价结算清单'!S443&lt;&gt;0),'2.报价结算清单'!S443,"")</f>
        <v/>
      </c>
      <c r="P340" s="78" t="str">
        <f>IF(AND('2.报价结算清单'!$P443&gt;0,'2.报价结算清单'!$B443&lt;&gt;0,'2.报价结算清单'!T443&lt;&gt;0),'2.报价结算清单'!T443,"")</f>
        <v/>
      </c>
      <c r="Q340" s="78" t="str">
        <f>IF(F340="",J340,VLOOKUP(F340,框架条目清单!A:K,4,FALSE))</f>
        <v/>
      </c>
      <c r="R340" s="106" t="str">
        <f>IF($A340="","",'2.报价结算清单'!$K$183)</f>
        <v/>
      </c>
      <c r="S340" s="80" t="str">
        <f>IF($A340="","",'2.报价结算清单'!$E$183)</f>
        <v/>
      </c>
      <c r="T340" s="78" t="str">
        <f>IF(F340="","",VLOOKUP(F340,框架条目清单!A:K,7,FALSE))</f>
        <v/>
      </c>
      <c r="U340" s="78" t="str">
        <f>IF(F340="","",VLOOKUP(F340,框架条目清单!A:K,8,FALSE))</f>
        <v/>
      </c>
      <c r="V340" s="78" t="str">
        <f>IF(F340="","",VLOOKUP(F340,框架条目清单!A:K,9,FALSE))</f>
        <v/>
      </c>
    </row>
    <row r="341" spans="1:22">
      <c r="A341" s="78" t="str">
        <f>IF(AND('2.报价结算清单'!$P444&gt;0,'2.报价结算清单'!$B444&lt;&gt;0,'2.报价结算清单'!$F444&lt;&gt;0),'2.报价结算清单'!$F444,"")</f>
        <v/>
      </c>
      <c r="B341" s="78" t="str">
        <f>_xlfn.IFNA(VLOOKUP(A341,'3.框架内物料'!$A:$I,3,0),A341)</f>
        <v/>
      </c>
      <c r="C341" s="78" t="str">
        <f>IF(AND('2.报价结算清单'!$P444&gt;0,'2.报价结算清单'!$B444&lt;&gt;0,'2.报价结算清单'!C444&lt;&gt;0),'2.报价结算清单'!C444,"")</f>
        <v/>
      </c>
      <c r="D341" s="78" t="str">
        <f>IF(AND('2.报价结算清单'!$P444&gt;0,'2.报价结算清单'!$B444&lt;&gt;0,'2.报价结算清单'!D444&lt;&gt;0),'2.报价结算清单'!D444,"")</f>
        <v/>
      </c>
      <c r="E341" s="78" t="str">
        <f>IF(AND('2.报价结算清单'!$P444&gt;0,'2.报价结算清单'!$B444&lt;&gt;0,'2.报价结算清单'!E444&lt;&gt;0),'2.报价结算清单'!E444,"")</f>
        <v/>
      </c>
      <c r="F341" s="105" t="str">
        <f>_xlfn.IFNA(IF($A341="","",IF(VLOOKUP($A341,'3.框架内物料'!$A:$I,2,0)="","",VLOOKUP($A341,'3.框架内物料'!$A:$I,2,0))),"")</f>
        <v/>
      </c>
      <c r="G341" s="87" t="str">
        <f>IF(AND('2.报价结算清单'!$P444&gt;0,'2.报价结算清单'!$B444&lt;&gt;0,'2.报价结算清单'!H444&lt;&gt;0),'2.报价结算清单'!H444,"")</f>
        <v/>
      </c>
      <c r="H341" s="122" t="str">
        <f>IF(AND('2.报价结算清单'!$P444&gt;0,'2.报价结算清单'!$B444&lt;&gt;0,'2.报价结算清单'!$F444&lt;&gt;0),'2.报价结算清单'!J444,"")</f>
        <v/>
      </c>
      <c r="I341" s="105" t="str">
        <f>IF(AND('2.报价结算清单'!$P444&gt;0,'2.报价结算清单'!$B444&lt;&gt;0,'2.报价结算清单'!$F444&lt;&gt;0),'2.报价结算清单'!L444,"")</f>
        <v/>
      </c>
      <c r="J341" s="105" t="str">
        <f>IF(AND('2.报价结算清单'!$P444&gt;0,'2.报价结算清单'!$B444&lt;&gt;0,'2.报价结算清单'!I444&lt;&gt;0),'2.报价结算清单'!I444,"")</f>
        <v/>
      </c>
      <c r="K341" s="105" t="str">
        <f>IF(AND('2.报价结算清单'!$P444&gt;0,'2.报价结算清单'!$B444&lt;&gt;0,'2.报价结算清单'!$F444&lt;&gt;0),'2.报价结算清单'!N444,"")</f>
        <v/>
      </c>
      <c r="L341" s="105" t="str">
        <f>IF(AND('2.报价结算清单'!$P444&gt;0,'2.报价结算清单'!$B444&lt;&gt;0,'2.报价结算清单'!I444&lt;&gt;0),"天","")</f>
        <v/>
      </c>
      <c r="M341" s="80" t="str">
        <f t="shared" si="14"/>
        <v/>
      </c>
      <c r="N341" s="78" t="str">
        <f t="shared" si="15"/>
        <v/>
      </c>
      <c r="O341" s="78" t="str">
        <f>IF(AND('2.报价结算清单'!$P444&gt;0,'2.报价结算清单'!$B444&lt;&gt;0,'2.报价结算清单'!S444&lt;&gt;0),'2.报价结算清单'!S444,"")</f>
        <v/>
      </c>
      <c r="P341" s="78" t="str">
        <f>IF(AND('2.报价结算清单'!$P444&gt;0,'2.报价结算清单'!$B444&lt;&gt;0,'2.报价结算清单'!T444&lt;&gt;0),'2.报价结算清单'!T444,"")</f>
        <v/>
      </c>
      <c r="Q341" s="78" t="str">
        <f>IF(F341="",J341,VLOOKUP(F341,框架条目清单!A:K,4,FALSE))</f>
        <v/>
      </c>
      <c r="R341" s="106" t="str">
        <f>IF($A341="","",'2.报价结算清单'!$K$183)</f>
        <v/>
      </c>
      <c r="S341" s="80" t="str">
        <f>IF($A341="","",'2.报价结算清单'!$E$183)</f>
        <v/>
      </c>
      <c r="T341" s="78" t="str">
        <f>IF(F341="","",VLOOKUP(F341,框架条目清单!A:K,7,FALSE))</f>
        <v/>
      </c>
      <c r="U341" s="78" t="str">
        <f>IF(F341="","",VLOOKUP(F341,框架条目清单!A:K,8,FALSE))</f>
        <v/>
      </c>
      <c r="V341" s="78" t="str">
        <f>IF(F341="","",VLOOKUP(F341,框架条目清单!A:K,9,FALSE))</f>
        <v/>
      </c>
    </row>
    <row r="342" spans="1:22">
      <c r="A342" s="78" t="str">
        <f>IF(AND('2.报价结算清单'!$P445&gt;0,'2.报价结算清单'!$B445&lt;&gt;0,'2.报价结算清单'!$F445&lt;&gt;0),'2.报价结算清单'!$F445,"")</f>
        <v/>
      </c>
      <c r="B342" s="78" t="str">
        <f>_xlfn.IFNA(VLOOKUP(A342,'3.框架内物料'!$A:$I,3,0),A342)</f>
        <v/>
      </c>
      <c r="C342" s="78" t="str">
        <f>IF(AND('2.报价结算清单'!$P445&gt;0,'2.报价结算清单'!$B445&lt;&gt;0,'2.报价结算清单'!C445&lt;&gt;0),'2.报价结算清单'!C445,"")</f>
        <v/>
      </c>
      <c r="D342" s="78" t="str">
        <f>IF(AND('2.报价结算清单'!$P445&gt;0,'2.报价结算清单'!$B445&lt;&gt;0,'2.报价结算清单'!D445&lt;&gt;0),'2.报价结算清单'!D445,"")</f>
        <v/>
      </c>
      <c r="E342" s="78" t="str">
        <f>IF(AND('2.报价结算清单'!$P445&gt;0,'2.报价结算清单'!$B445&lt;&gt;0,'2.报价结算清单'!E445&lt;&gt;0),'2.报价结算清单'!E445,"")</f>
        <v/>
      </c>
      <c r="F342" s="105" t="str">
        <f>_xlfn.IFNA(IF($A342="","",IF(VLOOKUP($A342,'3.框架内物料'!$A:$I,2,0)="","",VLOOKUP($A342,'3.框架内物料'!$A:$I,2,0))),"")</f>
        <v/>
      </c>
      <c r="G342" s="87" t="str">
        <f>IF(AND('2.报价结算清单'!$P445&gt;0,'2.报价结算清单'!$B445&lt;&gt;0,'2.报价结算清单'!H445&lt;&gt;0),'2.报价结算清单'!H445,"")</f>
        <v/>
      </c>
      <c r="H342" s="122" t="str">
        <f>IF(AND('2.报价结算清单'!$P445&gt;0,'2.报价结算清单'!$B445&lt;&gt;0,'2.报价结算清单'!$F445&lt;&gt;0),'2.报价结算清单'!J445,"")</f>
        <v/>
      </c>
      <c r="I342" s="105" t="str">
        <f>IF(AND('2.报价结算清单'!$P445&gt;0,'2.报价结算清单'!$B445&lt;&gt;0,'2.报价结算清单'!$F445&lt;&gt;0),'2.报价结算清单'!L445,"")</f>
        <v/>
      </c>
      <c r="J342" s="105" t="str">
        <f>IF(AND('2.报价结算清单'!$P445&gt;0,'2.报价结算清单'!$B445&lt;&gt;0,'2.报价结算清单'!I445&lt;&gt;0),'2.报价结算清单'!I445,"")</f>
        <v/>
      </c>
      <c r="K342" s="105" t="str">
        <f>IF(AND('2.报价结算清单'!$P445&gt;0,'2.报价结算清单'!$B445&lt;&gt;0,'2.报价结算清单'!$F445&lt;&gt;0),'2.报价结算清单'!N445,"")</f>
        <v/>
      </c>
      <c r="L342" s="105" t="str">
        <f>IF(AND('2.报价结算清单'!$P445&gt;0,'2.报价结算清单'!$B445&lt;&gt;0,'2.报价结算清单'!I445&lt;&gt;0),"天","")</f>
        <v/>
      </c>
      <c r="M342" s="80" t="str">
        <f t="shared" si="14"/>
        <v/>
      </c>
      <c r="N342" s="78" t="str">
        <f t="shared" si="15"/>
        <v/>
      </c>
      <c r="O342" s="78" t="str">
        <f>IF(AND('2.报价结算清单'!$P445&gt;0,'2.报价结算清单'!$B445&lt;&gt;0,'2.报价结算清单'!S445&lt;&gt;0),'2.报价结算清单'!S445,"")</f>
        <v/>
      </c>
      <c r="P342" s="78" t="str">
        <f>IF(AND('2.报价结算清单'!$P445&gt;0,'2.报价结算清单'!$B445&lt;&gt;0,'2.报价结算清单'!T445&lt;&gt;0),'2.报价结算清单'!T445,"")</f>
        <v/>
      </c>
      <c r="Q342" s="78" t="str">
        <f>IF(F342="",J342,VLOOKUP(F342,框架条目清单!A:K,4,FALSE))</f>
        <v/>
      </c>
      <c r="R342" s="106" t="str">
        <f>IF($A342="","",'2.报价结算清单'!$K$183)</f>
        <v/>
      </c>
      <c r="S342" s="80" t="str">
        <f>IF($A342="","",'2.报价结算清单'!$E$183)</f>
        <v/>
      </c>
      <c r="T342" s="78" t="str">
        <f>IF(F342="","",VLOOKUP(F342,框架条目清单!A:K,7,FALSE))</f>
        <v/>
      </c>
      <c r="U342" s="78" t="str">
        <f>IF(F342="","",VLOOKUP(F342,框架条目清单!A:K,8,FALSE))</f>
        <v/>
      </c>
      <c r="V342" s="78" t="str">
        <f>IF(F342="","",VLOOKUP(F342,框架条目清单!A:K,9,FALSE))</f>
        <v/>
      </c>
    </row>
    <row r="343" spans="1:22">
      <c r="A343" s="78" t="str">
        <f>IF(AND('2.报价结算清单'!$P446&gt;0,'2.报价结算清单'!$B446&lt;&gt;0,'2.报价结算清单'!$F446&lt;&gt;0),'2.报价结算清单'!$F446,"")</f>
        <v/>
      </c>
      <c r="B343" s="78" t="str">
        <f>_xlfn.IFNA(VLOOKUP(A343,'3.框架内物料'!$A:$I,3,0),A343)</f>
        <v/>
      </c>
      <c r="C343" s="78" t="str">
        <f>IF(AND('2.报价结算清单'!$P446&gt;0,'2.报价结算清单'!$B446&lt;&gt;0,'2.报价结算清单'!C446&lt;&gt;0),'2.报价结算清单'!C446,"")</f>
        <v/>
      </c>
      <c r="D343" s="78" t="str">
        <f>IF(AND('2.报价结算清单'!$P446&gt;0,'2.报价结算清单'!$B446&lt;&gt;0,'2.报价结算清单'!D446&lt;&gt;0),'2.报价结算清单'!D446,"")</f>
        <v/>
      </c>
      <c r="E343" s="78" t="str">
        <f>IF(AND('2.报价结算清单'!$P446&gt;0,'2.报价结算清单'!$B446&lt;&gt;0,'2.报价结算清单'!E446&lt;&gt;0),'2.报价结算清单'!E446,"")</f>
        <v/>
      </c>
      <c r="F343" s="105" t="str">
        <f>_xlfn.IFNA(IF($A343="","",IF(VLOOKUP($A343,'3.框架内物料'!$A:$I,2,0)="","",VLOOKUP($A343,'3.框架内物料'!$A:$I,2,0))),"")</f>
        <v/>
      </c>
      <c r="G343" s="87" t="str">
        <f>IF(AND('2.报价结算清单'!$P446&gt;0,'2.报价结算清单'!$B446&lt;&gt;0,'2.报价结算清单'!H446&lt;&gt;0),'2.报价结算清单'!H446,"")</f>
        <v/>
      </c>
      <c r="H343" s="122" t="str">
        <f>IF(AND('2.报价结算清单'!$P446&gt;0,'2.报价结算清单'!$B446&lt;&gt;0,'2.报价结算清单'!$F446&lt;&gt;0),'2.报价结算清单'!J446,"")</f>
        <v/>
      </c>
      <c r="I343" s="105" t="str">
        <f>IF(AND('2.报价结算清单'!$P446&gt;0,'2.报价结算清单'!$B446&lt;&gt;0,'2.报价结算清单'!$F446&lt;&gt;0),'2.报价结算清单'!L446,"")</f>
        <v/>
      </c>
      <c r="J343" s="105" t="str">
        <f>IF(AND('2.报价结算清单'!$P446&gt;0,'2.报价结算清单'!$B446&lt;&gt;0,'2.报价结算清单'!I446&lt;&gt;0),'2.报价结算清单'!I446,"")</f>
        <v/>
      </c>
      <c r="K343" s="105" t="str">
        <f>IF(AND('2.报价结算清单'!$P446&gt;0,'2.报价结算清单'!$B446&lt;&gt;0,'2.报价结算清单'!$F446&lt;&gt;0),'2.报价结算清单'!N446,"")</f>
        <v/>
      </c>
      <c r="L343" s="105" t="str">
        <f>IF(AND('2.报价结算清单'!$P446&gt;0,'2.报价结算清单'!$B446&lt;&gt;0,'2.报价结算清单'!I446&lt;&gt;0),"天","")</f>
        <v/>
      </c>
      <c r="M343" s="80" t="str">
        <f t="shared" si="14"/>
        <v/>
      </c>
      <c r="N343" s="78" t="str">
        <f t="shared" si="15"/>
        <v/>
      </c>
      <c r="O343" s="78" t="str">
        <f>IF(AND('2.报价结算清单'!$P446&gt;0,'2.报价结算清单'!$B446&lt;&gt;0,'2.报价结算清单'!S446&lt;&gt;0),'2.报价结算清单'!S446,"")</f>
        <v/>
      </c>
      <c r="P343" s="78" t="str">
        <f>IF(AND('2.报价结算清单'!$P446&gt;0,'2.报价结算清单'!$B446&lt;&gt;0,'2.报价结算清单'!T446&lt;&gt;0),'2.报价结算清单'!T446,"")</f>
        <v/>
      </c>
      <c r="Q343" s="78" t="str">
        <f>IF(F343="",J343,VLOOKUP(F343,框架条目清单!A:K,4,FALSE))</f>
        <v/>
      </c>
      <c r="R343" s="106" t="str">
        <f>IF($A343="","",'2.报价结算清单'!$K$183)</f>
        <v/>
      </c>
      <c r="S343" s="80" t="str">
        <f>IF($A343="","",'2.报价结算清单'!$E$183)</f>
        <v/>
      </c>
      <c r="T343" s="78" t="str">
        <f>IF(F343="","",VLOOKUP(F343,框架条目清单!A:K,7,FALSE))</f>
        <v/>
      </c>
      <c r="U343" s="78" t="str">
        <f>IF(F343="","",VLOOKUP(F343,框架条目清单!A:K,8,FALSE))</f>
        <v/>
      </c>
      <c r="V343" s="78" t="str">
        <f>IF(F343="","",VLOOKUP(F343,框架条目清单!A:K,9,FALSE))</f>
        <v/>
      </c>
    </row>
    <row r="344" spans="1:22">
      <c r="A344" s="78" t="str">
        <f>IF(AND('2.报价结算清单'!$P447&gt;0,'2.报价结算清单'!$B447&lt;&gt;0,'2.报价结算清单'!$F447&lt;&gt;0),'2.报价结算清单'!$F447,"")</f>
        <v/>
      </c>
      <c r="B344" s="78" t="str">
        <f>_xlfn.IFNA(VLOOKUP(A344,'3.框架内物料'!$A:$I,3,0),A344)</f>
        <v/>
      </c>
      <c r="C344" s="78" t="str">
        <f>IF(AND('2.报价结算清单'!$P447&gt;0,'2.报价结算清单'!$B447&lt;&gt;0,'2.报价结算清单'!C447&lt;&gt;0),'2.报价结算清单'!C447,"")</f>
        <v/>
      </c>
      <c r="D344" s="78" t="str">
        <f>IF(AND('2.报价结算清单'!$P447&gt;0,'2.报价结算清单'!$B447&lt;&gt;0,'2.报价结算清单'!D447&lt;&gt;0),'2.报价结算清单'!D447,"")</f>
        <v/>
      </c>
      <c r="E344" s="78" t="str">
        <f>IF(AND('2.报价结算清单'!$P447&gt;0,'2.报价结算清单'!$B447&lt;&gt;0,'2.报价结算清单'!E447&lt;&gt;0),'2.报价结算清单'!E447,"")</f>
        <v/>
      </c>
      <c r="F344" s="105" t="str">
        <f>_xlfn.IFNA(IF($A344="","",IF(VLOOKUP($A344,'3.框架内物料'!$A:$I,2,0)="","",VLOOKUP($A344,'3.框架内物料'!$A:$I,2,0))),"")</f>
        <v/>
      </c>
      <c r="G344" s="87" t="str">
        <f>IF(AND('2.报价结算清单'!$P447&gt;0,'2.报价结算清单'!$B447&lt;&gt;0,'2.报价结算清单'!H447&lt;&gt;0),'2.报价结算清单'!H447,"")</f>
        <v/>
      </c>
      <c r="H344" s="122" t="str">
        <f>IF(AND('2.报价结算清单'!$P447&gt;0,'2.报价结算清单'!$B447&lt;&gt;0,'2.报价结算清单'!$F447&lt;&gt;0),'2.报价结算清单'!J447,"")</f>
        <v/>
      </c>
      <c r="I344" s="105" t="str">
        <f>IF(AND('2.报价结算清单'!$P447&gt;0,'2.报价结算清单'!$B447&lt;&gt;0,'2.报价结算清单'!$F447&lt;&gt;0),'2.报价结算清单'!L447,"")</f>
        <v/>
      </c>
      <c r="J344" s="105" t="str">
        <f>IF(AND('2.报价结算清单'!$P447&gt;0,'2.报价结算清单'!$B447&lt;&gt;0,'2.报价结算清单'!I447&lt;&gt;0),'2.报价结算清单'!I447,"")</f>
        <v/>
      </c>
      <c r="K344" s="105" t="str">
        <f>IF(AND('2.报价结算清单'!$P447&gt;0,'2.报价结算清单'!$B447&lt;&gt;0,'2.报价结算清单'!$F447&lt;&gt;0),'2.报价结算清单'!N447,"")</f>
        <v/>
      </c>
      <c r="L344" s="105" t="str">
        <f>IF(AND('2.报价结算清单'!$P447&gt;0,'2.报价结算清单'!$B447&lt;&gt;0,'2.报价结算清单'!I447&lt;&gt;0),"天","")</f>
        <v/>
      </c>
      <c r="M344" s="80" t="str">
        <f t="shared" si="14"/>
        <v/>
      </c>
      <c r="N344" s="78" t="str">
        <f t="shared" si="15"/>
        <v/>
      </c>
      <c r="O344" s="78" t="str">
        <f>IF(AND('2.报价结算清单'!$P447&gt;0,'2.报价结算清单'!$B447&lt;&gt;0,'2.报价结算清单'!S447&lt;&gt;0),'2.报价结算清单'!S447,"")</f>
        <v/>
      </c>
      <c r="P344" s="78" t="str">
        <f>IF(AND('2.报价结算清单'!$P447&gt;0,'2.报价结算清单'!$B447&lt;&gt;0,'2.报价结算清单'!T447&lt;&gt;0),'2.报价结算清单'!T447,"")</f>
        <v/>
      </c>
      <c r="Q344" s="78" t="str">
        <f>IF(F344="",J344,VLOOKUP(F344,框架条目清单!A:K,4,FALSE))</f>
        <v/>
      </c>
      <c r="R344" s="106" t="str">
        <f>IF($A344="","",'2.报价结算清单'!$K$183)</f>
        <v/>
      </c>
      <c r="S344" s="80" t="str">
        <f>IF($A344="","",'2.报价结算清单'!$E$183)</f>
        <v/>
      </c>
      <c r="T344" s="78" t="str">
        <f>IF(F344="","",VLOOKUP(F344,框架条目清单!A:K,7,FALSE))</f>
        <v/>
      </c>
      <c r="U344" s="78" t="str">
        <f>IF(F344="","",VLOOKUP(F344,框架条目清单!A:K,8,FALSE))</f>
        <v/>
      </c>
      <c r="V344" s="78" t="str">
        <f>IF(F344="","",VLOOKUP(F344,框架条目清单!A:K,9,FALSE))</f>
        <v/>
      </c>
    </row>
    <row r="345" spans="1:22">
      <c r="A345" s="78" t="str">
        <f>IF(AND('2.报价结算清单'!$P448&gt;0,'2.报价结算清单'!$B448&lt;&gt;0,'2.报价结算清单'!$F448&lt;&gt;0),'2.报价结算清单'!$F448,"")</f>
        <v/>
      </c>
      <c r="B345" s="78" t="str">
        <f>_xlfn.IFNA(VLOOKUP(A345,'3.框架内物料'!$A:$I,3,0),A345)</f>
        <v/>
      </c>
      <c r="C345" s="78" t="str">
        <f>IF(AND('2.报价结算清单'!$P448&gt;0,'2.报价结算清单'!$B448&lt;&gt;0,'2.报价结算清单'!C448&lt;&gt;0),'2.报价结算清单'!C448,"")</f>
        <v/>
      </c>
      <c r="D345" s="78" t="str">
        <f>IF(AND('2.报价结算清单'!$P448&gt;0,'2.报价结算清单'!$B448&lt;&gt;0,'2.报价结算清单'!D448&lt;&gt;0),'2.报价结算清单'!D448,"")</f>
        <v/>
      </c>
      <c r="E345" s="78" t="str">
        <f>IF(AND('2.报价结算清单'!$P448&gt;0,'2.报价结算清单'!$B448&lt;&gt;0,'2.报价结算清单'!E448&lt;&gt;0),'2.报价结算清单'!E448,"")</f>
        <v/>
      </c>
      <c r="F345" s="105" t="str">
        <f>_xlfn.IFNA(IF($A345="","",IF(VLOOKUP($A345,'3.框架内物料'!$A:$I,2,0)="","",VLOOKUP($A345,'3.框架内物料'!$A:$I,2,0))),"")</f>
        <v/>
      </c>
      <c r="G345" s="87" t="str">
        <f>IF(AND('2.报价结算清单'!$P448&gt;0,'2.报价结算清单'!$B448&lt;&gt;0,'2.报价结算清单'!H448&lt;&gt;0),'2.报价结算清单'!H448,"")</f>
        <v/>
      </c>
      <c r="H345" s="122" t="str">
        <f>IF(AND('2.报价结算清单'!$P448&gt;0,'2.报价结算清单'!$B448&lt;&gt;0,'2.报价结算清单'!$F448&lt;&gt;0),'2.报价结算清单'!J448,"")</f>
        <v/>
      </c>
      <c r="I345" s="105" t="str">
        <f>IF(AND('2.报价结算清单'!$P448&gt;0,'2.报价结算清单'!$B448&lt;&gt;0,'2.报价结算清单'!$F448&lt;&gt;0),'2.报价结算清单'!L448,"")</f>
        <v/>
      </c>
      <c r="J345" s="105" t="str">
        <f>IF(AND('2.报价结算清单'!$P448&gt;0,'2.报价结算清单'!$B448&lt;&gt;0,'2.报价结算清单'!I448&lt;&gt;0),'2.报价结算清单'!I448,"")</f>
        <v/>
      </c>
      <c r="K345" s="105" t="str">
        <f>IF(AND('2.报价结算清单'!$P448&gt;0,'2.报价结算清单'!$B448&lt;&gt;0,'2.报价结算清单'!$F448&lt;&gt;0),'2.报价结算清单'!N448,"")</f>
        <v/>
      </c>
      <c r="L345" s="105" t="str">
        <f>IF(AND('2.报价结算清单'!$P448&gt;0,'2.报价结算清单'!$B448&lt;&gt;0,'2.报价结算清单'!I448&lt;&gt;0),"天","")</f>
        <v/>
      </c>
      <c r="M345" s="80" t="str">
        <f t="shared" si="14"/>
        <v/>
      </c>
      <c r="N345" s="78" t="str">
        <f t="shared" si="15"/>
        <v/>
      </c>
      <c r="O345" s="78" t="str">
        <f>IF(AND('2.报价结算清单'!$P448&gt;0,'2.报价结算清单'!$B448&lt;&gt;0,'2.报价结算清单'!S448&lt;&gt;0),'2.报价结算清单'!S448,"")</f>
        <v/>
      </c>
      <c r="P345" s="78" t="str">
        <f>IF(AND('2.报价结算清单'!$P448&gt;0,'2.报价结算清单'!$B448&lt;&gt;0,'2.报价结算清单'!T448&lt;&gt;0),'2.报价结算清单'!T448,"")</f>
        <v/>
      </c>
      <c r="Q345" s="78" t="str">
        <f>IF(F345="",J345,VLOOKUP(F345,框架条目清单!A:K,4,FALSE))</f>
        <v/>
      </c>
      <c r="R345" s="106" t="str">
        <f>IF($A345="","",'2.报价结算清单'!$K$183)</f>
        <v/>
      </c>
      <c r="S345" s="80" t="str">
        <f>IF($A345="","",'2.报价结算清单'!$E$183)</f>
        <v/>
      </c>
      <c r="T345" s="78" t="str">
        <f>IF(F345="","",VLOOKUP(F345,框架条目清单!A:K,7,FALSE))</f>
        <v/>
      </c>
      <c r="U345" s="78" t="str">
        <f>IF(F345="","",VLOOKUP(F345,框架条目清单!A:K,8,FALSE))</f>
        <v/>
      </c>
      <c r="V345" s="78" t="str">
        <f>IF(F345="","",VLOOKUP(F345,框架条目清单!A:K,9,FALSE))</f>
        <v/>
      </c>
    </row>
    <row r="346" spans="1:22">
      <c r="A346" s="78" t="str">
        <f>IF(AND('2.报价结算清单'!$P449&gt;0,'2.报价结算清单'!$B449&lt;&gt;0,'2.报价结算清单'!$F449&lt;&gt;0),'2.报价结算清单'!$F449,"")</f>
        <v/>
      </c>
      <c r="B346" s="78" t="str">
        <f>_xlfn.IFNA(VLOOKUP(A346,'3.框架内物料'!$A:$I,3,0),A346)</f>
        <v/>
      </c>
      <c r="C346" s="78" t="str">
        <f>IF(AND('2.报价结算清单'!$P449&gt;0,'2.报价结算清单'!$B449&lt;&gt;0,'2.报价结算清单'!C449&lt;&gt;0),'2.报价结算清单'!C449,"")</f>
        <v/>
      </c>
      <c r="D346" s="78" t="str">
        <f>IF(AND('2.报价结算清单'!$P449&gt;0,'2.报价结算清单'!$B449&lt;&gt;0,'2.报价结算清单'!D449&lt;&gt;0),'2.报价结算清单'!D449,"")</f>
        <v/>
      </c>
      <c r="E346" s="78" t="str">
        <f>IF(AND('2.报价结算清单'!$P449&gt;0,'2.报价结算清单'!$B449&lt;&gt;0,'2.报价结算清单'!E449&lt;&gt;0),'2.报价结算清单'!E449,"")</f>
        <v/>
      </c>
      <c r="F346" s="105" t="str">
        <f>_xlfn.IFNA(IF($A346="","",IF(VLOOKUP($A346,'3.框架内物料'!$A:$I,2,0)="","",VLOOKUP($A346,'3.框架内物料'!$A:$I,2,0))),"")</f>
        <v/>
      </c>
      <c r="G346" s="87" t="str">
        <f>IF(AND('2.报价结算清单'!$P449&gt;0,'2.报价结算清单'!$B449&lt;&gt;0,'2.报价结算清单'!H449&lt;&gt;0),'2.报价结算清单'!H449,"")</f>
        <v/>
      </c>
      <c r="H346" s="122" t="str">
        <f>IF(AND('2.报价结算清单'!$P449&gt;0,'2.报价结算清单'!$B449&lt;&gt;0,'2.报价结算清单'!$F449&lt;&gt;0),'2.报价结算清单'!J449,"")</f>
        <v/>
      </c>
      <c r="I346" s="105" t="str">
        <f>IF(AND('2.报价结算清单'!$P449&gt;0,'2.报价结算清单'!$B449&lt;&gt;0,'2.报价结算清单'!$F449&lt;&gt;0),'2.报价结算清单'!L449,"")</f>
        <v/>
      </c>
      <c r="J346" s="105" t="str">
        <f>IF(AND('2.报价结算清单'!$P449&gt;0,'2.报价结算清单'!$B449&lt;&gt;0,'2.报价结算清单'!I449&lt;&gt;0),'2.报价结算清单'!I449,"")</f>
        <v/>
      </c>
      <c r="K346" s="105" t="str">
        <f>IF(AND('2.报价结算清单'!$P449&gt;0,'2.报价结算清单'!$B449&lt;&gt;0,'2.报价结算清单'!$F449&lt;&gt;0),'2.报价结算清单'!N449,"")</f>
        <v/>
      </c>
      <c r="L346" s="105" t="str">
        <f>IF(AND('2.报价结算清单'!$P449&gt;0,'2.报价结算清单'!$B449&lt;&gt;0,'2.报价结算清单'!I449&lt;&gt;0),"天","")</f>
        <v/>
      </c>
      <c r="M346" s="80" t="str">
        <f t="shared" si="14"/>
        <v/>
      </c>
      <c r="N346" s="78" t="str">
        <f t="shared" si="15"/>
        <v/>
      </c>
      <c r="O346" s="78" t="str">
        <f>IF(AND('2.报价结算清单'!$P449&gt;0,'2.报价结算清单'!$B449&lt;&gt;0,'2.报价结算清单'!S449&lt;&gt;0),'2.报价结算清单'!S449,"")</f>
        <v/>
      </c>
      <c r="P346" s="78" t="str">
        <f>IF(AND('2.报价结算清单'!$P449&gt;0,'2.报价结算清单'!$B449&lt;&gt;0,'2.报价结算清单'!T449&lt;&gt;0),'2.报价结算清单'!T449,"")</f>
        <v/>
      </c>
      <c r="Q346" s="78" t="str">
        <f>IF(F346="",J346,VLOOKUP(F346,框架条目清单!A:K,4,FALSE))</f>
        <v/>
      </c>
      <c r="R346" s="106" t="str">
        <f>IF($A346="","",'2.报价结算清单'!$K$183)</f>
        <v/>
      </c>
      <c r="S346" s="80" t="str">
        <f>IF($A346="","",'2.报价结算清单'!$E$183)</f>
        <v/>
      </c>
      <c r="T346" s="78" t="str">
        <f>IF(F346="","",VLOOKUP(F346,框架条目清单!A:K,7,FALSE))</f>
        <v/>
      </c>
      <c r="U346" s="78" t="str">
        <f>IF(F346="","",VLOOKUP(F346,框架条目清单!A:K,8,FALSE))</f>
        <v/>
      </c>
      <c r="V346" s="78" t="str">
        <f>IF(F346="","",VLOOKUP(F346,框架条目清单!A:K,9,FALSE))</f>
        <v/>
      </c>
    </row>
    <row r="347" spans="1:22">
      <c r="A347" s="78" t="str">
        <f>IF(AND('2.报价结算清单'!$P450&gt;0,'2.报价结算清单'!$B450&lt;&gt;0,'2.报价结算清单'!$F450&lt;&gt;0),'2.报价结算清单'!$F450,"")</f>
        <v/>
      </c>
      <c r="B347" s="78" t="str">
        <f>_xlfn.IFNA(VLOOKUP(A347,'3.框架内物料'!$A:$I,3,0),A347)</f>
        <v/>
      </c>
      <c r="C347" s="78" t="str">
        <f>IF(AND('2.报价结算清单'!$P450&gt;0,'2.报价结算清单'!$B450&lt;&gt;0,'2.报价结算清单'!C450&lt;&gt;0),'2.报价结算清单'!C450,"")</f>
        <v/>
      </c>
      <c r="D347" s="78" t="str">
        <f>IF(AND('2.报价结算清单'!$P450&gt;0,'2.报价结算清单'!$B450&lt;&gt;0,'2.报价结算清单'!D450&lt;&gt;0),'2.报价结算清单'!D450,"")</f>
        <v/>
      </c>
      <c r="E347" s="78" t="str">
        <f>IF(AND('2.报价结算清单'!$P450&gt;0,'2.报价结算清单'!$B450&lt;&gt;0,'2.报价结算清单'!E450&lt;&gt;0),'2.报价结算清单'!E450,"")</f>
        <v/>
      </c>
      <c r="F347" s="105" t="str">
        <f>_xlfn.IFNA(IF($A347="","",IF(VLOOKUP($A347,'3.框架内物料'!$A:$I,2,0)="","",VLOOKUP($A347,'3.框架内物料'!$A:$I,2,0))),"")</f>
        <v/>
      </c>
      <c r="G347" s="87" t="str">
        <f>IF(AND('2.报价结算清单'!$P450&gt;0,'2.报价结算清单'!$B450&lt;&gt;0,'2.报价结算清单'!H450&lt;&gt;0),'2.报价结算清单'!H450,"")</f>
        <v/>
      </c>
      <c r="H347" s="122" t="str">
        <f>IF(AND('2.报价结算清单'!$P450&gt;0,'2.报价结算清单'!$B450&lt;&gt;0,'2.报价结算清单'!$F450&lt;&gt;0),'2.报价结算清单'!J450,"")</f>
        <v/>
      </c>
      <c r="I347" s="105" t="str">
        <f>IF(AND('2.报价结算清单'!$P450&gt;0,'2.报价结算清单'!$B450&lt;&gt;0,'2.报价结算清单'!$F450&lt;&gt;0),'2.报价结算清单'!L450,"")</f>
        <v/>
      </c>
      <c r="J347" s="105" t="str">
        <f>IF(AND('2.报价结算清单'!$P450&gt;0,'2.报价结算清单'!$B450&lt;&gt;0,'2.报价结算清单'!I450&lt;&gt;0),'2.报价结算清单'!I450,"")</f>
        <v/>
      </c>
      <c r="K347" s="105" t="str">
        <f>IF(AND('2.报价结算清单'!$P450&gt;0,'2.报价结算清单'!$B450&lt;&gt;0,'2.报价结算清单'!$F450&lt;&gt;0),'2.报价结算清单'!N450,"")</f>
        <v/>
      </c>
      <c r="L347" s="105" t="str">
        <f>IF(AND('2.报价结算清单'!$P450&gt;0,'2.报价结算清单'!$B450&lt;&gt;0,'2.报价结算清单'!I450&lt;&gt;0),"天","")</f>
        <v/>
      </c>
      <c r="M347" s="80" t="str">
        <f t="shared" si="14"/>
        <v/>
      </c>
      <c r="N347" s="78" t="str">
        <f t="shared" si="15"/>
        <v/>
      </c>
      <c r="O347" s="78" t="str">
        <f>IF(AND('2.报价结算清单'!$P450&gt;0,'2.报价结算清单'!$B450&lt;&gt;0,'2.报价结算清单'!S450&lt;&gt;0),'2.报价结算清单'!S450,"")</f>
        <v/>
      </c>
      <c r="P347" s="78" t="str">
        <f>IF(AND('2.报价结算清单'!$P450&gt;0,'2.报价结算清单'!$B450&lt;&gt;0,'2.报价结算清单'!T450&lt;&gt;0),'2.报价结算清单'!T450,"")</f>
        <v/>
      </c>
      <c r="Q347" s="78" t="str">
        <f>IF(F347="",J347,VLOOKUP(F347,框架条目清单!A:K,4,FALSE))</f>
        <v/>
      </c>
      <c r="R347" s="106" t="str">
        <f>IF($A347="","",'2.报价结算清单'!$K$183)</f>
        <v/>
      </c>
      <c r="S347" s="80" t="str">
        <f>IF($A347="","",'2.报价结算清单'!$E$183)</f>
        <v/>
      </c>
      <c r="T347" s="78" t="str">
        <f>IF(F347="","",VLOOKUP(F347,框架条目清单!A:K,7,FALSE))</f>
        <v/>
      </c>
      <c r="U347" s="78" t="str">
        <f>IF(F347="","",VLOOKUP(F347,框架条目清单!A:K,8,FALSE))</f>
        <v/>
      </c>
      <c r="V347" s="78" t="str">
        <f>IF(F347="","",VLOOKUP(F347,框架条目清单!A:K,9,FALSE))</f>
        <v/>
      </c>
    </row>
    <row r="348" spans="1:22">
      <c r="A348" s="78" t="str">
        <f>IF(AND('2.报价结算清单'!$P451&gt;0,'2.报价结算清单'!$B451&lt;&gt;0,'2.报价结算清单'!$F451&lt;&gt;0),'2.报价结算清单'!$F451,"")</f>
        <v/>
      </c>
      <c r="B348" s="78" t="str">
        <f>_xlfn.IFNA(VLOOKUP(A348,'3.框架内物料'!$A:$I,3,0),A348)</f>
        <v/>
      </c>
      <c r="C348" s="78" t="str">
        <f>IF(AND('2.报价结算清单'!$P451&gt;0,'2.报价结算清单'!$B451&lt;&gt;0,'2.报价结算清单'!C451&lt;&gt;0),'2.报价结算清单'!C451,"")</f>
        <v/>
      </c>
      <c r="D348" s="78" t="str">
        <f>IF(AND('2.报价结算清单'!$P451&gt;0,'2.报价结算清单'!$B451&lt;&gt;0,'2.报价结算清单'!D451&lt;&gt;0),'2.报价结算清单'!D451,"")</f>
        <v/>
      </c>
      <c r="E348" s="78" t="str">
        <f>IF(AND('2.报价结算清单'!$P451&gt;0,'2.报价结算清单'!$B451&lt;&gt;0,'2.报价结算清单'!E451&lt;&gt;0),'2.报价结算清单'!E451,"")</f>
        <v/>
      </c>
      <c r="F348" s="105" t="str">
        <f>_xlfn.IFNA(IF($A348="","",IF(VLOOKUP($A348,'3.框架内物料'!$A:$I,2,0)="","",VLOOKUP($A348,'3.框架内物料'!$A:$I,2,0))),"")</f>
        <v/>
      </c>
      <c r="G348" s="87" t="str">
        <f>IF(AND('2.报价结算清单'!$P451&gt;0,'2.报价结算清单'!$B451&lt;&gt;0,'2.报价结算清单'!H451&lt;&gt;0),'2.报价结算清单'!H451,"")</f>
        <v/>
      </c>
      <c r="H348" s="122" t="str">
        <f>IF(AND('2.报价结算清单'!$P451&gt;0,'2.报价结算清单'!$B451&lt;&gt;0,'2.报价结算清单'!$F451&lt;&gt;0),'2.报价结算清单'!J451,"")</f>
        <v/>
      </c>
      <c r="I348" s="105" t="str">
        <f>IF(AND('2.报价结算清单'!$P451&gt;0,'2.报价结算清单'!$B451&lt;&gt;0,'2.报价结算清单'!$F451&lt;&gt;0),'2.报价结算清单'!L451,"")</f>
        <v/>
      </c>
      <c r="J348" s="105" t="str">
        <f>IF(AND('2.报价结算清单'!$P451&gt;0,'2.报价结算清单'!$B451&lt;&gt;0,'2.报价结算清单'!I451&lt;&gt;0),'2.报价结算清单'!I451,"")</f>
        <v/>
      </c>
      <c r="K348" s="105" t="str">
        <f>IF(AND('2.报价结算清单'!$P451&gt;0,'2.报价结算清单'!$B451&lt;&gt;0,'2.报价结算清单'!$F451&lt;&gt;0),'2.报价结算清单'!N451,"")</f>
        <v/>
      </c>
      <c r="L348" s="105" t="str">
        <f>IF(AND('2.报价结算清单'!$P451&gt;0,'2.报价结算清单'!$B451&lt;&gt;0,'2.报价结算清单'!I451&lt;&gt;0),"天","")</f>
        <v/>
      </c>
      <c r="M348" s="80" t="str">
        <f t="shared" si="14"/>
        <v/>
      </c>
      <c r="N348" s="78" t="str">
        <f t="shared" si="15"/>
        <v/>
      </c>
      <c r="O348" s="78" t="str">
        <f>IF(AND('2.报价结算清单'!$P451&gt;0,'2.报价结算清单'!$B451&lt;&gt;0,'2.报价结算清单'!S451&lt;&gt;0),'2.报价结算清单'!S451,"")</f>
        <v/>
      </c>
      <c r="P348" s="78" t="str">
        <f>IF(AND('2.报价结算清单'!$P451&gt;0,'2.报价结算清单'!$B451&lt;&gt;0,'2.报价结算清单'!T451&lt;&gt;0),'2.报价结算清单'!T451,"")</f>
        <v/>
      </c>
      <c r="Q348" s="78" t="str">
        <f>IF(F348="",J348,VLOOKUP(F348,框架条目清单!A:K,4,FALSE))</f>
        <v/>
      </c>
      <c r="R348" s="106" t="str">
        <f>IF($A348="","",'2.报价结算清单'!$K$183)</f>
        <v/>
      </c>
      <c r="S348" s="80" t="str">
        <f>IF($A348="","",'2.报价结算清单'!$E$183)</f>
        <v/>
      </c>
      <c r="T348" s="78" t="str">
        <f>IF(F348="","",VLOOKUP(F348,框架条目清单!A:K,7,FALSE))</f>
        <v/>
      </c>
      <c r="U348" s="78" t="str">
        <f>IF(F348="","",VLOOKUP(F348,框架条目清单!A:K,8,FALSE))</f>
        <v/>
      </c>
      <c r="V348" s="78" t="str">
        <f>IF(F348="","",VLOOKUP(F348,框架条目清单!A:K,9,FALSE))</f>
        <v/>
      </c>
    </row>
    <row r="349" spans="1:22">
      <c r="A349" s="78" t="str">
        <f>IF(AND('2.报价结算清单'!$P452&gt;0,'2.报价结算清单'!$B452&lt;&gt;0,'2.报价结算清单'!$F452&lt;&gt;0),'2.报价结算清单'!$F452,"")</f>
        <v/>
      </c>
      <c r="B349" s="78" t="str">
        <f>_xlfn.IFNA(VLOOKUP(A349,'3.框架内物料'!$A:$I,3,0),A349)</f>
        <v/>
      </c>
      <c r="C349" s="78" t="str">
        <f>IF(AND('2.报价结算清单'!$P452&gt;0,'2.报价结算清单'!$B452&lt;&gt;0,'2.报价结算清单'!C452&lt;&gt;0),'2.报价结算清单'!C452,"")</f>
        <v/>
      </c>
      <c r="D349" s="78" t="str">
        <f>IF(AND('2.报价结算清单'!$P452&gt;0,'2.报价结算清单'!$B452&lt;&gt;0,'2.报价结算清单'!D452&lt;&gt;0),'2.报价结算清单'!D452,"")</f>
        <v/>
      </c>
      <c r="E349" s="78" t="str">
        <f>IF(AND('2.报价结算清单'!$P452&gt;0,'2.报价结算清单'!$B452&lt;&gt;0,'2.报价结算清单'!E452&lt;&gt;0),'2.报价结算清单'!E452,"")</f>
        <v/>
      </c>
      <c r="F349" s="105" t="str">
        <f>_xlfn.IFNA(IF($A349="","",IF(VLOOKUP($A349,'3.框架内物料'!$A:$I,2,0)="","",VLOOKUP($A349,'3.框架内物料'!$A:$I,2,0))),"")</f>
        <v/>
      </c>
      <c r="G349" s="87" t="str">
        <f>IF(AND('2.报价结算清单'!$P452&gt;0,'2.报价结算清单'!$B452&lt;&gt;0,'2.报价结算清单'!H452&lt;&gt;0),'2.报价结算清单'!H452,"")</f>
        <v/>
      </c>
      <c r="H349" s="122" t="str">
        <f>IF(AND('2.报价结算清单'!$P452&gt;0,'2.报价结算清单'!$B452&lt;&gt;0,'2.报价结算清单'!$F452&lt;&gt;0),'2.报价结算清单'!J452,"")</f>
        <v/>
      </c>
      <c r="I349" s="105" t="str">
        <f>IF(AND('2.报价结算清单'!$P452&gt;0,'2.报价结算清单'!$B452&lt;&gt;0,'2.报价结算清单'!$F452&lt;&gt;0),'2.报价结算清单'!L452,"")</f>
        <v/>
      </c>
      <c r="J349" s="105" t="str">
        <f>IF(AND('2.报价结算清单'!$P452&gt;0,'2.报价结算清单'!$B452&lt;&gt;0,'2.报价结算清单'!I452&lt;&gt;0),'2.报价结算清单'!I452,"")</f>
        <v/>
      </c>
      <c r="K349" s="105" t="str">
        <f>IF(AND('2.报价结算清单'!$P452&gt;0,'2.报价结算清单'!$B452&lt;&gt;0,'2.报价结算清单'!$F452&lt;&gt;0),'2.报价结算清单'!N452,"")</f>
        <v/>
      </c>
      <c r="L349" s="105" t="str">
        <f>IF(AND('2.报价结算清单'!$P452&gt;0,'2.报价结算清单'!$B452&lt;&gt;0,'2.报价结算清单'!I452&lt;&gt;0),"天","")</f>
        <v/>
      </c>
      <c r="M349" s="80" t="str">
        <f t="shared" si="14"/>
        <v/>
      </c>
      <c r="N349" s="78" t="str">
        <f t="shared" si="15"/>
        <v/>
      </c>
      <c r="O349" s="78" t="str">
        <f>IF(AND('2.报价结算清单'!$P452&gt;0,'2.报价结算清单'!$B452&lt;&gt;0,'2.报价结算清单'!S452&lt;&gt;0),'2.报价结算清单'!S452,"")</f>
        <v/>
      </c>
      <c r="P349" s="78" t="str">
        <f>IF(AND('2.报价结算清单'!$P452&gt;0,'2.报价结算清单'!$B452&lt;&gt;0,'2.报价结算清单'!T452&lt;&gt;0),'2.报价结算清单'!T452,"")</f>
        <v/>
      </c>
      <c r="Q349" s="78" t="str">
        <f>IF(F349="",J349,VLOOKUP(F349,框架条目清单!A:K,4,FALSE))</f>
        <v/>
      </c>
      <c r="R349" s="106" t="str">
        <f>IF($A349="","",'2.报价结算清单'!$K$183)</f>
        <v/>
      </c>
      <c r="S349" s="80" t="str">
        <f>IF($A349="","",'2.报价结算清单'!$E$183)</f>
        <v/>
      </c>
      <c r="T349" s="78" t="str">
        <f>IF(F349="","",VLOOKUP(F349,框架条目清单!A:K,7,FALSE))</f>
        <v/>
      </c>
      <c r="U349" s="78" t="str">
        <f>IF(F349="","",VLOOKUP(F349,框架条目清单!A:K,8,FALSE))</f>
        <v/>
      </c>
      <c r="V349" s="78" t="str">
        <f>IF(F349="","",VLOOKUP(F349,框架条目清单!A:K,9,FALSE))</f>
        <v/>
      </c>
    </row>
    <row r="350" spans="1:22">
      <c r="A350" s="78" t="str">
        <f>IF(AND('2.报价结算清单'!$P453&gt;0,'2.报价结算清单'!$B453&lt;&gt;0,'2.报价结算清单'!$F453&lt;&gt;0),'2.报价结算清单'!$F453,"")</f>
        <v/>
      </c>
      <c r="B350" s="78" t="str">
        <f>_xlfn.IFNA(VLOOKUP(A350,'3.框架内物料'!$A:$I,3,0),A350)</f>
        <v/>
      </c>
      <c r="C350" s="78" t="str">
        <f>IF(AND('2.报价结算清单'!$P453&gt;0,'2.报价结算清单'!$B453&lt;&gt;0,'2.报价结算清单'!C453&lt;&gt;0),'2.报价结算清单'!C453,"")</f>
        <v/>
      </c>
      <c r="D350" s="78" t="str">
        <f>IF(AND('2.报价结算清单'!$P453&gt;0,'2.报价结算清单'!$B453&lt;&gt;0,'2.报价结算清单'!D453&lt;&gt;0),'2.报价结算清单'!D453,"")</f>
        <v/>
      </c>
      <c r="E350" s="78" t="str">
        <f>IF(AND('2.报价结算清单'!$P453&gt;0,'2.报价结算清单'!$B453&lt;&gt;0,'2.报价结算清单'!E453&lt;&gt;0),'2.报价结算清单'!E453,"")</f>
        <v/>
      </c>
      <c r="F350" s="105" t="str">
        <f>_xlfn.IFNA(IF($A350="","",IF(VLOOKUP($A350,'3.框架内物料'!$A:$I,2,0)="","",VLOOKUP($A350,'3.框架内物料'!$A:$I,2,0))),"")</f>
        <v/>
      </c>
      <c r="G350" s="87" t="str">
        <f>IF(AND('2.报价结算清单'!$P453&gt;0,'2.报价结算清单'!$B453&lt;&gt;0,'2.报价结算清单'!H453&lt;&gt;0),'2.报价结算清单'!H453,"")</f>
        <v/>
      </c>
      <c r="H350" s="122" t="str">
        <f>IF(AND('2.报价结算清单'!$P453&gt;0,'2.报价结算清单'!$B453&lt;&gt;0,'2.报价结算清单'!$F453&lt;&gt;0),'2.报价结算清单'!J453,"")</f>
        <v/>
      </c>
      <c r="I350" s="105" t="str">
        <f>IF(AND('2.报价结算清单'!$P453&gt;0,'2.报价结算清单'!$B453&lt;&gt;0,'2.报价结算清单'!$F453&lt;&gt;0),'2.报价结算清单'!L453,"")</f>
        <v/>
      </c>
      <c r="J350" s="105" t="str">
        <f>IF(AND('2.报价结算清单'!$P453&gt;0,'2.报价结算清单'!$B453&lt;&gt;0,'2.报价结算清单'!I453&lt;&gt;0),'2.报价结算清单'!I453,"")</f>
        <v/>
      </c>
      <c r="K350" s="105" t="str">
        <f>IF(AND('2.报价结算清单'!$P453&gt;0,'2.报价结算清单'!$B453&lt;&gt;0,'2.报价结算清单'!$F453&lt;&gt;0),'2.报价结算清单'!N453,"")</f>
        <v/>
      </c>
      <c r="L350" s="105" t="str">
        <f>IF(AND('2.报价结算清单'!$P453&gt;0,'2.报价结算清单'!$B453&lt;&gt;0,'2.报价结算清单'!I453&lt;&gt;0),"天","")</f>
        <v/>
      </c>
      <c r="M350" s="80" t="str">
        <f t="shared" si="14"/>
        <v/>
      </c>
      <c r="N350" s="78" t="str">
        <f t="shared" si="15"/>
        <v/>
      </c>
      <c r="O350" s="78" t="str">
        <f>IF(AND('2.报价结算清单'!$P453&gt;0,'2.报价结算清单'!$B453&lt;&gt;0,'2.报价结算清单'!S453&lt;&gt;0),'2.报价结算清单'!S453,"")</f>
        <v/>
      </c>
      <c r="P350" s="78" t="str">
        <f>IF(AND('2.报价结算清单'!$P453&gt;0,'2.报价结算清单'!$B453&lt;&gt;0,'2.报价结算清单'!T453&lt;&gt;0),'2.报价结算清单'!T453,"")</f>
        <v/>
      </c>
      <c r="Q350" s="78" t="str">
        <f>IF(F350="",J350,VLOOKUP(F350,框架条目清单!A:K,4,FALSE))</f>
        <v/>
      </c>
      <c r="R350" s="106" t="str">
        <f>IF($A350="","",'2.报价结算清单'!$K$183)</f>
        <v/>
      </c>
      <c r="S350" s="80" t="str">
        <f>IF($A350="","",'2.报价结算清单'!$E$183)</f>
        <v/>
      </c>
      <c r="T350" s="78" t="str">
        <f>IF(F350="","",VLOOKUP(F350,框架条目清单!A:K,7,FALSE))</f>
        <v/>
      </c>
      <c r="U350" s="78" t="str">
        <f>IF(F350="","",VLOOKUP(F350,框架条目清单!A:K,8,FALSE))</f>
        <v/>
      </c>
      <c r="V350" s="78" t="str">
        <f>IF(F350="","",VLOOKUP(F350,框架条目清单!A:K,9,FALSE))</f>
        <v/>
      </c>
    </row>
    <row r="351" spans="1:22">
      <c r="A351" s="78" t="str">
        <f>IF(AND('2.报价结算清单'!$P454&gt;0,'2.报价结算清单'!$B454&lt;&gt;0,'2.报价结算清单'!$F454&lt;&gt;0),'2.报价结算清单'!$F454,"")</f>
        <v/>
      </c>
      <c r="B351" s="78" t="str">
        <f>_xlfn.IFNA(VLOOKUP(A351,'3.框架内物料'!$A:$I,3,0),A351)</f>
        <v/>
      </c>
      <c r="C351" s="78" t="str">
        <f>IF(AND('2.报价结算清单'!$P454&gt;0,'2.报价结算清单'!$B454&lt;&gt;0,'2.报价结算清单'!C454&lt;&gt;0),'2.报价结算清单'!C454,"")</f>
        <v/>
      </c>
      <c r="D351" s="78" t="str">
        <f>IF(AND('2.报价结算清单'!$P454&gt;0,'2.报价结算清单'!$B454&lt;&gt;0,'2.报价结算清单'!D454&lt;&gt;0),'2.报价结算清单'!D454,"")</f>
        <v/>
      </c>
      <c r="E351" s="78" t="str">
        <f>IF(AND('2.报价结算清单'!$P454&gt;0,'2.报价结算清单'!$B454&lt;&gt;0,'2.报价结算清单'!E454&lt;&gt;0),'2.报价结算清单'!E454,"")</f>
        <v/>
      </c>
      <c r="F351" s="105" t="str">
        <f>_xlfn.IFNA(IF($A351="","",IF(VLOOKUP($A351,'3.框架内物料'!$A:$I,2,0)="","",VLOOKUP($A351,'3.框架内物料'!$A:$I,2,0))),"")</f>
        <v/>
      </c>
      <c r="G351" s="87" t="str">
        <f>IF(AND('2.报价结算清单'!$P454&gt;0,'2.报价结算清单'!$B454&lt;&gt;0,'2.报价结算清单'!H454&lt;&gt;0),'2.报价结算清单'!H454,"")</f>
        <v/>
      </c>
      <c r="H351" s="122" t="str">
        <f>IF(AND('2.报价结算清单'!$P454&gt;0,'2.报价结算清单'!$B454&lt;&gt;0,'2.报价结算清单'!$F454&lt;&gt;0),'2.报价结算清单'!J454,"")</f>
        <v/>
      </c>
      <c r="I351" s="105" t="str">
        <f>IF(AND('2.报价结算清单'!$P454&gt;0,'2.报价结算清单'!$B454&lt;&gt;0,'2.报价结算清单'!$F454&lt;&gt;0),'2.报价结算清单'!L454,"")</f>
        <v/>
      </c>
      <c r="J351" s="105" t="str">
        <f>IF(AND('2.报价结算清单'!$P454&gt;0,'2.报价结算清单'!$B454&lt;&gt;0,'2.报价结算清单'!I454&lt;&gt;0),'2.报价结算清单'!I454,"")</f>
        <v/>
      </c>
      <c r="K351" s="105" t="str">
        <f>IF(AND('2.报价结算清单'!$P454&gt;0,'2.报价结算清单'!$B454&lt;&gt;0,'2.报价结算清单'!$F454&lt;&gt;0),'2.报价结算清单'!N454,"")</f>
        <v/>
      </c>
      <c r="L351" s="105" t="str">
        <f>IF(AND('2.报价结算清单'!$P454&gt;0,'2.报价结算清单'!$B454&lt;&gt;0,'2.报价结算清单'!I454&lt;&gt;0),"天","")</f>
        <v/>
      </c>
      <c r="M351" s="80" t="str">
        <f t="shared" si="14"/>
        <v/>
      </c>
      <c r="N351" s="78" t="str">
        <f t="shared" si="15"/>
        <v/>
      </c>
      <c r="O351" s="78" t="str">
        <f>IF(AND('2.报价结算清单'!$P454&gt;0,'2.报价结算清单'!$B454&lt;&gt;0,'2.报价结算清单'!S454&lt;&gt;0),'2.报价结算清单'!S454,"")</f>
        <v/>
      </c>
      <c r="P351" s="78" t="str">
        <f>IF(AND('2.报价结算清单'!$P454&gt;0,'2.报价结算清单'!$B454&lt;&gt;0,'2.报价结算清单'!T454&lt;&gt;0),'2.报价结算清单'!T454,"")</f>
        <v/>
      </c>
      <c r="Q351" s="78" t="str">
        <f>IF(F351="",J351,VLOOKUP(F351,框架条目清单!A:K,4,FALSE))</f>
        <v/>
      </c>
      <c r="R351" s="106" t="str">
        <f>IF($A351="","",'2.报价结算清单'!$K$183)</f>
        <v/>
      </c>
      <c r="S351" s="80" t="str">
        <f>IF($A351="","",'2.报价结算清单'!$E$183)</f>
        <v/>
      </c>
      <c r="T351" s="78" t="str">
        <f>IF(F351="","",VLOOKUP(F351,框架条目清单!A:K,7,FALSE))</f>
        <v/>
      </c>
      <c r="U351" s="78" t="str">
        <f>IF(F351="","",VLOOKUP(F351,框架条目清单!A:K,8,FALSE))</f>
        <v/>
      </c>
      <c r="V351" s="78" t="str">
        <f>IF(F351="","",VLOOKUP(F351,框架条目清单!A:K,9,FALSE))</f>
        <v/>
      </c>
    </row>
    <row r="352" spans="1:22">
      <c r="A352" s="78" t="str">
        <f>IF(AND('2.报价结算清单'!$P455&gt;0,'2.报价结算清单'!$B455&lt;&gt;0,'2.报价结算清单'!$F455&lt;&gt;0),'2.报价结算清单'!$F455,"")</f>
        <v/>
      </c>
      <c r="B352" s="78" t="str">
        <f>_xlfn.IFNA(VLOOKUP(A352,'3.框架内物料'!$A:$I,3,0),A352)</f>
        <v/>
      </c>
      <c r="C352" s="78" t="str">
        <f>IF(AND('2.报价结算清单'!$P455&gt;0,'2.报价结算清单'!$B455&lt;&gt;0,'2.报价结算清单'!C455&lt;&gt;0),'2.报价结算清单'!C455,"")</f>
        <v/>
      </c>
      <c r="D352" s="78" t="str">
        <f>IF(AND('2.报价结算清单'!$P455&gt;0,'2.报价结算清单'!$B455&lt;&gt;0,'2.报价结算清单'!D455&lt;&gt;0),'2.报价结算清单'!D455,"")</f>
        <v/>
      </c>
      <c r="E352" s="78" t="str">
        <f>IF(AND('2.报价结算清单'!$P455&gt;0,'2.报价结算清单'!$B455&lt;&gt;0,'2.报价结算清单'!E455&lt;&gt;0),'2.报价结算清单'!E455,"")</f>
        <v/>
      </c>
      <c r="F352" s="105" t="str">
        <f>_xlfn.IFNA(IF($A352="","",IF(VLOOKUP($A352,'3.框架内物料'!$A:$I,2,0)="","",VLOOKUP($A352,'3.框架内物料'!$A:$I,2,0))),"")</f>
        <v/>
      </c>
      <c r="G352" s="87" t="str">
        <f>IF(AND('2.报价结算清单'!$P455&gt;0,'2.报价结算清单'!$B455&lt;&gt;0,'2.报价结算清单'!H455&lt;&gt;0),'2.报价结算清单'!H455,"")</f>
        <v/>
      </c>
      <c r="H352" s="122" t="str">
        <f>IF(AND('2.报价结算清单'!$P455&gt;0,'2.报价结算清单'!$B455&lt;&gt;0,'2.报价结算清单'!$F455&lt;&gt;0),'2.报价结算清单'!J455,"")</f>
        <v/>
      </c>
      <c r="I352" s="105" t="str">
        <f>IF(AND('2.报价结算清单'!$P455&gt;0,'2.报价结算清单'!$B455&lt;&gt;0,'2.报价结算清单'!$F455&lt;&gt;0),'2.报价结算清单'!L455,"")</f>
        <v/>
      </c>
      <c r="J352" s="105" t="str">
        <f>IF(AND('2.报价结算清单'!$P455&gt;0,'2.报价结算清单'!$B455&lt;&gt;0,'2.报价结算清单'!I455&lt;&gt;0),'2.报价结算清单'!I455,"")</f>
        <v/>
      </c>
      <c r="K352" s="105" t="str">
        <f>IF(AND('2.报价结算清单'!$P455&gt;0,'2.报价结算清单'!$B455&lt;&gt;0,'2.报价结算清单'!$F455&lt;&gt;0),'2.报价结算清单'!N455,"")</f>
        <v/>
      </c>
      <c r="L352" s="105" t="str">
        <f>IF(AND('2.报价结算清单'!$P455&gt;0,'2.报价结算清单'!$B455&lt;&gt;0,'2.报价结算清单'!I455&lt;&gt;0),"天","")</f>
        <v/>
      </c>
      <c r="M352" s="80" t="str">
        <f t="shared" si="14"/>
        <v/>
      </c>
      <c r="N352" s="78" t="str">
        <f t="shared" si="15"/>
        <v/>
      </c>
      <c r="O352" s="78" t="str">
        <f>IF(AND('2.报价结算清单'!$P455&gt;0,'2.报价结算清单'!$B455&lt;&gt;0,'2.报价结算清单'!S455&lt;&gt;0),'2.报价结算清单'!S455,"")</f>
        <v/>
      </c>
      <c r="P352" s="78" t="str">
        <f>IF(AND('2.报价结算清单'!$P455&gt;0,'2.报价结算清单'!$B455&lt;&gt;0,'2.报价结算清单'!T455&lt;&gt;0),'2.报价结算清单'!T455,"")</f>
        <v/>
      </c>
      <c r="Q352" s="78" t="str">
        <f>IF(F352="",J352,VLOOKUP(F352,框架条目清单!A:K,4,FALSE))</f>
        <v/>
      </c>
      <c r="R352" s="106" t="str">
        <f>IF($A352="","",'2.报价结算清单'!$K$183)</f>
        <v/>
      </c>
      <c r="S352" s="80" t="str">
        <f>IF($A352="","",'2.报价结算清单'!$E$183)</f>
        <v/>
      </c>
      <c r="T352" s="78" t="str">
        <f>IF(F352="","",VLOOKUP(F352,框架条目清单!A:K,7,FALSE))</f>
        <v/>
      </c>
      <c r="U352" s="78" t="str">
        <f>IF(F352="","",VLOOKUP(F352,框架条目清单!A:K,8,FALSE))</f>
        <v/>
      </c>
      <c r="V352" s="78" t="str">
        <f>IF(F352="","",VLOOKUP(F352,框架条目清单!A:K,9,FALSE))</f>
        <v/>
      </c>
    </row>
    <row r="353" spans="1:22">
      <c r="A353" s="78" t="str">
        <f>IF(AND('2.报价结算清单'!$P456&gt;0,'2.报价结算清单'!$B456&lt;&gt;0,'2.报价结算清单'!$F456&lt;&gt;0),'2.报价结算清单'!$F456,"")</f>
        <v/>
      </c>
      <c r="B353" s="78" t="str">
        <f>_xlfn.IFNA(VLOOKUP(A353,'3.框架内物料'!$A:$I,3,0),A353)</f>
        <v/>
      </c>
      <c r="C353" s="78" t="str">
        <f>IF(AND('2.报价结算清单'!$P456&gt;0,'2.报价结算清单'!$B456&lt;&gt;0,'2.报价结算清单'!C456&lt;&gt;0),'2.报价结算清单'!C456,"")</f>
        <v/>
      </c>
      <c r="D353" s="78" t="str">
        <f>IF(AND('2.报价结算清单'!$P456&gt;0,'2.报价结算清单'!$B456&lt;&gt;0,'2.报价结算清单'!D456&lt;&gt;0),'2.报价结算清单'!D456,"")</f>
        <v/>
      </c>
      <c r="E353" s="78" t="str">
        <f>IF(AND('2.报价结算清单'!$P456&gt;0,'2.报价结算清单'!$B456&lt;&gt;0,'2.报价结算清单'!E456&lt;&gt;0),'2.报价结算清单'!E456,"")</f>
        <v/>
      </c>
      <c r="F353" s="105" t="str">
        <f>_xlfn.IFNA(IF($A353="","",IF(VLOOKUP($A353,'3.框架内物料'!$A:$I,2,0)="","",VLOOKUP($A353,'3.框架内物料'!$A:$I,2,0))),"")</f>
        <v/>
      </c>
      <c r="G353" s="87" t="str">
        <f>IF(AND('2.报价结算清单'!$P456&gt;0,'2.报价结算清单'!$B456&lt;&gt;0,'2.报价结算清单'!H456&lt;&gt;0),'2.报价结算清单'!H456,"")</f>
        <v/>
      </c>
      <c r="H353" s="122" t="str">
        <f>IF(AND('2.报价结算清单'!$P456&gt;0,'2.报价结算清单'!$B456&lt;&gt;0,'2.报价结算清单'!$F456&lt;&gt;0),'2.报价结算清单'!J456,"")</f>
        <v/>
      </c>
      <c r="I353" s="105" t="str">
        <f>IF(AND('2.报价结算清单'!$P456&gt;0,'2.报价结算清单'!$B456&lt;&gt;0,'2.报价结算清单'!$F456&lt;&gt;0),'2.报价结算清单'!L456,"")</f>
        <v/>
      </c>
      <c r="J353" s="105" t="str">
        <f>IF(AND('2.报价结算清单'!$P456&gt;0,'2.报价结算清单'!$B456&lt;&gt;0,'2.报价结算清单'!I456&lt;&gt;0),'2.报价结算清单'!I456,"")</f>
        <v/>
      </c>
      <c r="K353" s="105" t="str">
        <f>IF(AND('2.报价结算清单'!$P456&gt;0,'2.报价结算清单'!$B456&lt;&gt;0,'2.报价结算清单'!$F456&lt;&gt;0),'2.报价结算清单'!N456,"")</f>
        <v/>
      </c>
      <c r="L353" s="105" t="str">
        <f>IF(AND('2.报价结算清单'!$P456&gt;0,'2.报价结算清单'!$B456&lt;&gt;0,'2.报价结算清单'!I456&lt;&gt;0),"天","")</f>
        <v/>
      </c>
      <c r="M353" s="80" t="str">
        <f t="shared" si="14"/>
        <v/>
      </c>
      <c r="N353" s="78" t="str">
        <f t="shared" si="15"/>
        <v/>
      </c>
      <c r="O353" s="78" t="str">
        <f>IF(AND('2.报价结算清单'!$P456&gt;0,'2.报价结算清单'!$B456&lt;&gt;0,'2.报价结算清单'!S456&lt;&gt;0),'2.报价结算清单'!S456,"")</f>
        <v/>
      </c>
      <c r="P353" s="78" t="str">
        <f>IF(AND('2.报价结算清单'!$P456&gt;0,'2.报价结算清单'!$B456&lt;&gt;0,'2.报价结算清单'!T456&lt;&gt;0),'2.报价结算清单'!T456,"")</f>
        <v/>
      </c>
      <c r="Q353" s="78" t="str">
        <f>IF(F353="",J353,VLOOKUP(F353,框架条目清单!A:K,4,FALSE))</f>
        <v/>
      </c>
      <c r="R353" s="106" t="str">
        <f>IF($A353="","",'2.报价结算清单'!$K$183)</f>
        <v/>
      </c>
      <c r="S353" s="80" t="str">
        <f>IF($A353="","",'2.报价结算清单'!$E$183)</f>
        <v/>
      </c>
      <c r="T353" s="78" t="str">
        <f>IF(F353="","",VLOOKUP(F353,框架条目清单!A:K,7,FALSE))</f>
        <v/>
      </c>
      <c r="U353" s="78" t="str">
        <f>IF(F353="","",VLOOKUP(F353,框架条目清单!A:K,8,FALSE))</f>
        <v/>
      </c>
      <c r="V353" s="78" t="str">
        <f>IF(F353="","",VLOOKUP(F353,框架条目清单!A:K,9,FALSE))</f>
        <v/>
      </c>
    </row>
    <row r="354" spans="1:22">
      <c r="A354" s="78" t="str">
        <f>IF(AND('2.报价结算清单'!$P457&gt;0,'2.报价结算清单'!$B457&lt;&gt;0,'2.报价结算清单'!$F457&lt;&gt;0),'2.报价结算清单'!$F457,"")</f>
        <v/>
      </c>
      <c r="B354" s="78" t="str">
        <f>_xlfn.IFNA(VLOOKUP(A354,'3.框架内物料'!$A:$I,3,0),A354)</f>
        <v/>
      </c>
      <c r="C354" s="78" t="str">
        <f>IF(AND('2.报价结算清单'!$P457&gt;0,'2.报价结算清单'!$B457&lt;&gt;0,'2.报价结算清单'!C457&lt;&gt;0),'2.报价结算清单'!C457,"")</f>
        <v/>
      </c>
      <c r="D354" s="78" t="str">
        <f>IF(AND('2.报价结算清单'!$P457&gt;0,'2.报价结算清单'!$B457&lt;&gt;0,'2.报价结算清单'!D457&lt;&gt;0),'2.报价结算清单'!D457,"")</f>
        <v/>
      </c>
      <c r="E354" s="78" t="str">
        <f>IF(AND('2.报价结算清单'!$P457&gt;0,'2.报价结算清单'!$B457&lt;&gt;0,'2.报价结算清单'!E457&lt;&gt;0),'2.报价结算清单'!E457,"")</f>
        <v/>
      </c>
      <c r="F354" s="105" t="str">
        <f>_xlfn.IFNA(IF($A354="","",IF(VLOOKUP($A354,'3.框架内物料'!$A:$I,2,0)="","",VLOOKUP($A354,'3.框架内物料'!$A:$I,2,0))),"")</f>
        <v/>
      </c>
      <c r="G354" s="87" t="str">
        <f>IF(AND('2.报价结算清单'!$P457&gt;0,'2.报价结算清单'!$B457&lt;&gt;0,'2.报价结算清单'!H457&lt;&gt;0),'2.报价结算清单'!H457,"")</f>
        <v/>
      </c>
      <c r="H354" s="122" t="str">
        <f>IF(AND('2.报价结算清单'!$P457&gt;0,'2.报价结算清单'!$B457&lt;&gt;0,'2.报价结算清单'!$F457&lt;&gt;0),'2.报价结算清单'!J457,"")</f>
        <v/>
      </c>
      <c r="I354" s="105" t="str">
        <f>IF(AND('2.报价结算清单'!$P457&gt;0,'2.报价结算清单'!$B457&lt;&gt;0,'2.报价结算清单'!$F457&lt;&gt;0),'2.报价结算清单'!L457,"")</f>
        <v/>
      </c>
      <c r="J354" s="105" t="str">
        <f>IF(AND('2.报价结算清单'!$P457&gt;0,'2.报价结算清单'!$B457&lt;&gt;0,'2.报价结算清单'!I457&lt;&gt;0),'2.报价结算清单'!I457,"")</f>
        <v/>
      </c>
      <c r="K354" s="105" t="str">
        <f>IF(AND('2.报价结算清单'!$P457&gt;0,'2.报价结算清单'!$B457&lt;&gt;0,'2.报价结算清单'!$F457&lt;&gt;0),'2.报价结算清单'!N457,"")</f>
        <v/>
      </c>
      <c r="L354" s="105" t="str">
        <f>IF(AND('2.报价结算清单'!$P457&gt;0,'2.报价结算清单'!$B457&lt;&gt;0,'2.报价结算清单'!I457&lt;&gt;0),"天","")</f>
        <v/>
      </c>
      <c r="M354" s="80" t="str">
        <f t="shared" si="14"/>
        <v/>
      </c>
      <c r="N354" s="78" t="str">
        <f t="shared" si="15"/>
        <v/>
      </c>
      <c r="O354" s="78" t="str">
        <f>IF(AND('2.报价结算清单'!$P457&gt;0,'2.报价结算清单'!$B457&lt;&gt;0,'2.报价结算清单'!S457&lt;&gt;0),'2.报价结算清单'!S457,"")</f>
        <v/>
      </c>
      <c r="P354" s="78" t="str">
        <f>IF(AND('2.报价结算清单'!$P457&gt;0,'2.报价结算清单'!$B457&lt;&gt;0,'2.报价结算清单'!T457&lt;&gt;0),'2.报价结算清单'!T457,"")</f>
        <v/>
      </c>
      <c r="Q354" s="78" t="str">
        <f>IF(F354="",J354,VLOOKUP(F354,框架条目清单!A:K,4,FALSE))</f>
        <v/>
      </c>
      <c r="R354" s="106" t="str">
        <f>IF($A354="","",'2.报价结算清单'!$K$183)</f>
        <v/>
      </c>
      <c r="S354" s="80" t="str">
        <f>IF($A354="","",'2.报价结算清单'!$E$183)</f>
        <v/>
      </c>
      <c r="T354" s="78" t="str">
        <f>IF(F354="","",VLOOKUP(F354,框架条目清单!A:K,7,FALSE))</f>
        <v/>
      </c>
      <c r="U354" s="78" t="str">
        <f>IF(F354="","",VLOOKUP(F354,框架条目清单!A:K,8,FALSE))</f>
        <v/>
      </c>
      <c r="V354" s="78" t="str">
        <f>IF(F354="","",VLOOKUP(F354,框架条目清单!A:K,9,FALSE))</f>
        <v/>
      </c>
    </row>
    <row r="355" spans="1:22">
      <c r="A355" s="78" t="str">
        <f>IF(AND('2.报价结算清单'!$P458&gt;0,'2.报价结算清单'!$B458&lt;&gt;0,'2.报价结算清单'!$F458&lt;&gt;0),'2.报价结算清单'!$F458,"")</f>
        <v/>
      </c>
      <c r="B355" s="78" t="str">
        <f>_xlfn.IFNA(VLOOKUP(A355,'3.框架内物料'!$A:$I,3,0),A355)</f>
        <v/>
      </c>
      <c r="C355" s="78" t="str">
        <f>IF(AND('2.报价结算清单'!$P458&gt;0,'2.报价结算清单'!$B458&lt;&gt;0,'2.报价结算清单'!C458&lt;&gt;0),'2.报价结算清单'!C458,"")</f>
        <v/>
      </c>
      <c r="D355" s="78" t="str">
        <f>IF(AND('2.报价结算清单'!$P458&gt;0,'2.报价结算清单'!$B458&lt;&gt;0,'2.报价结算清单'!D458&lt;&gt;0),'2.报价结算清单'!D458,"")</f>
        <v/>
      </c>
      <c r="E355" s="78" t="str">
        <f>IF(AND('2.报价结算清单'!$P458&gt;0,'2.报价结算清单'!$B458&lt;&gt;0,'2.报价结算清单'!E458&lt;&gt;0),'2.报价结算清单'!E458,"")</f>
        <v/>
      </c>
      <c r="F355" s="105" t="str">
        <f>_xlfn.IFNA(IF($A355="","",IF(VLOOKUP($A355,'3.框架内物料'!$A:$I,2,0)="","",VLOOKUP($A355,'3.框架内物料'!$A:$I,2,0))),"")</f>
        <v/>
      </c>
      <c r="G355" s="87" t="str">
        <f>IF(AND('2.报价结算清单'!$P458&gt;0,'2.报价结算清单'!$B458&lt;&gt;0,'2.报价结算清单'!H458&lt;&gt;0),'2.报价结算清单'!H458,"")</f>
        <v/>
      </c>
      <c r="H355" s="122" t="str">
        <f>IF(AND('2.报价结算清单'!$P458&gt;0,'2.报价结算清单'!$B458&lt;&gt;0,'2.报价结算清单'!$F458&lt;&gt;0),'2.报价结算清单'!J458,"")</f>
        <v/>
      </c>
      <c r="I355" s="105" t="str">
        <f>IF(AND('2.报价结算清单'!$P458&gt;0,'2.报价结算清单'!$B458&lt;&gt;0,'2.报价结算清单'!$F458&lt;&gt;0),'2.报价结算清单'!L458,"")</f>
        <v/>
      </c>
      <c r="J355" s="105" t="str">
        <f>IF(AND('2.报价结算清单'!$P458&gt;0,'2.报价结算清单'!$B458&lt;&gt;0,'2.报价结算清单'!I458&lt;&gt;0),'2.报价结算清单'!I458,"")</f>
        <v/>
      </c>
      <c r="K355" s="105" t="str">
        <f>IF(AND('2.报价结算清单'!$P458&gt;0,'2.报价结算清单'!$B458&lt;&gt;0,'2.报价结算清单'!$F458&lt;&gt;0),'2.报价结算清单'!N458,"")</f>
        <v/>
      </c>
      <c r="L355" s="105" t="str">
        <f>IF(AND('2.报价结算清单'!$P458&gt;0,'2.报价结算清单'!$B458&lt;&gt;0,'2.报价结算清单'!I458&lt;&gt;0),"天","")</f>
        <v/>
      </c>
      <c r="M355" s="80" t="str">
        <f t="shared" si="14"/>
        <v/>
      </c>
      <c r="N355" s="78" t="str">
        <f t="shared" si="15"/>
        <v/>
      </c>
      <c r="O355" s="78" t="str">
        <f>IF(AND('2.报价结算清单'!$P458&gt;0,'2.报价结算清单'!$B458&lt;&gt;0,'2.报价结算清单'!S458&lt;&gt;0),'2.报价结算清单'!S458,"")</f>
        <v/>
      </c>
      <c r="P355" s="78" t="str">
        <f>IF(AND('2.报价结算清单'!$P458&gt;0,'2.报价结算清单'!$B458&lt;&gt;0,'2.报价结算清单'!T458&lt;&gt;0),'2.报价结算清单'!T458,"")</f>
        <v/>
      </c>
      <c r="Q355" s="78" t="str">
        <f>IF(F355="",J355,VLOOKUP(F355,框架条目清单!A:K,4,FALSE))</f>
        <v/>
      </c>
      <c r="R355" s="106" t="str">
        <f>IF($A355="","",'2.报价结算清单'!$K$183)</f>
        <v/>
      </c>
      <c r="S355" s="80" t="str">
        <f>IF($A355="","",'2.报价结算清单'!$E$183)</f>
        <v/>
      </c>
      <c r="T355" s="78" t="str">
        <f>IF(F355="","",VLOOKUP(F355,框架条目清单!A:K,7,FALSE))</f>
        <v/>
      </c>
      <c r="U355" s="78" t="str">
        <f>IF(F355="","",VLOOKUP(F355,框架条目清单!A:K,8,FALSE))</f>
        <v/>
      </c>
      <c r="V355" s="78" t="str">
        <f>IF(F355="","",VLOOKUP(F355,框架条目清单!A:K,9,FALSE))</f>
        <v/>
      </c>
    </row>
    <row r="356" spans="1:22">
      <c r="A356" s="78" t="str">
        <f>IF(AND('2.报价结算清单'!$P459&gt;0,'2.报价结算清单'!$B459&lt;&gt;0,'2.报价结算清单'!$F459&lt;&gt;0),'2.报价结算清单'!$F459,"")</f>
        <v/>
      </c>
      <c r="B356" s="78" t="str">
        <f>_xlfn.IFNA(VLOOKUP(A356,'3.框架内物料'!$A:$I,3,0),A356)</f>
        <v/>
      </c>
      <c r="C356" s="78" t="str">
        <f>IF(AND('2.报价结算清单'!$P459&gt;0,'2.报价结算清单'!$B459&lt;&gt;0,'2.报价结算清单'!C459&lt;&gt;0),'2.报价结算清单'!C459,"")</f>
        <v/>
      </c>
      <c r="D356" s="78" t="str">
        <f>IF(AND('2.报价结算清单'!$P459&gt;0,'2.报价结算清单'!$B459&lt;&gt;0,'2.报价结算清单'!D459&lt;&gt;0),'2.报价结算清单'!D459,"")</f>
        <v/>
      </c>
      <c r="E356" s="78" t="str">
        <f>IF(AND('2.报价结算清单'!$P459&gt;0,'2.报价结算清单'!$B459&lt;&gt;0,'2.报价结算清单'!E459&lt;&gt;0),'2.报价结算清单'!E459,"")</f>
        <v/>
      </c>
      <c r="F356" s="105" t="str">
        <f>_xlfn.IFNA(IF($A356="","",IF(VLOOKUP($A356,'3.框架内物料'!$A:$I,2,0)="","",VLOOKUP($A356,'3.框架内物料'!$A:$I,2,0))),"")</f>
        <v/>
      </c>
      <c r="G356" s="87" t="str">
        <f>IF(AND('2.报价结算清单'!$P459&gt;0,'2.报价结算清单'!$B459&lt;&gt;0,'2.报价结算清单'!H459&lt;&gt;0),'2.报价结算清单'!H459,"")</f>
        <v/>
      </c>
      <c r="H356" s="122" t="str">
        <f>IF(AND('2.报价结算清单'!$P459&gt;0,'2.报价结算清单'!$B459&lt;&gt;0,'2.报价结算清单'!$F459&lt;&gt;0),'2.报价结算清单'!J459,"")</f>
        <v/>
      </c>
      <c r="I356" s="105" t="str">
        <f>IF(AND('2.报价结算清单'!$P459&gt;0,'2.报价结算清单'!$B459&lt;&gt;0,'2.报价结算清单'!$F459&lt;&gt;0),'2.报价结算清单'!L459,"")</f>
        <v/>
      </c>
      <c r="J356" s="105" t="str">
        <f>IF(AND('2.报价结算清单'!$P459&gt;0,'2.报价结算清单'!$B459&lt;&gt;0,'2.报价结算清单'!I459&lt;&gt;0),'2.报价结算清单'!I459,"")</f>
        <v/>
      </c>
      <c r="K356" s="105" t="str">
        <f>IF(AND('2.报价结算清单'!$P459&gt;0,'2.报价结算清单'!$B459&lt;&gt;0,'2.报价结算清单'!$F459&lt;&gt;0),'2.报价结算清单'!N459,"")</f>
        <v/>
      </c>
      <c r="L356" s="105" t="str">
        <f>IF(AND('2.报价结算清单'!$P459&gt;0,'2.报价结算清单'!$B459&lt;&gt;0,'2.报价结算清单'!I459&lt;&gt;0),"天","")</f>
        <v/>
      </c>
      <c r="M356" s="80" t="str">
        <f t="shared" si="14"/>
        <v/>
      </c>
      <c r="N356" s="78" t="str">
        <f t="shared" si="15"/>
        <v/>
      </c>
      <c r="O356" s="78" t="str">
        <f>IF(AND('2.报价结算清单'!$P459&gt;0,'2.报价结算清单'!$B459&lt;&gt;0,'2.报价结算清单'!S459&lt;&gt;0),'2.报价结算清单'!S459,"")</f>
        <v/>
      </c>
      <c r="P356" s="78" t="str">
        <f>IF(AND('2.报价结算清单'!$P459&gt;0,'2.报价结算清单'!$B459&lt;&gt;0,'2.报价结算清单'!T459&lt;&gt;0),'2.报价结算清单'!T459,"")</f>
        <v/>
      </c>
      <c r="Q356" s="78" t="str">
        <f>IF(F356="",J356,VLOOKUP(F356,框架条目清单!A:K,4,FALSE))</f>
        <v/>
      </c>
      <c r="R356" s="106" t="str">
        <f>IF($A356="","",'2.报价结算清单'!$K$183)</f>
        <v/>
      </c>
      <c r="S356" s="80" t="str">
        <f>IF($A356="","",'2.报价结算清单'!$E$183)</f>
        <v/>
      </c>
      <c r="T356" s="78" t="str">
        <f>IF(F356="","",VLOOKUP(F356,框架条目清单!A:K,7,FALSE))</f>
        <v/>
      </c>
      <c r="U356" s="78" t="str">
        <f>IF(F356="","",VLOOKUP(F356,框架条目清单!A:K,8,FALSE))</f>
        <v/>
      </c>
      <c r="V356" s="78" t="str">
        <f>IF(F356="","",VLOOKUP(F356,框架条目清单!A:K,9,FALSE))</f>
        <v/>
      </c>
    </row>
    <row r="357" spans="1:22">
      <c r="A357" s="78" t="str">
        <f>IF(AND('2.报价结算清单'!$P460&gt;0,'2.报价结算清单'!$B460&lt;&gt;0,'2.报价结算清单'!$F460&lt;&gt;0),'2.报价结算清单'!$F460,"")</f>
        <v/>
      </c>
      <c r="B357" s="78" t="str">
        <f>_xlfn.IFNA(VLOOKUP(A357,'3.框架内物料'!$A:$I,3,0),A357)</f>
        <v/>
      </c>
      <c r="C357" s="78" t="str">
        <f>IF(AND('2.报价结算清单'!$P460&gt;0,'2.报价结算清单'!$B460&lt;&gt;0,'2.报价结算清单'!C460&lt;&gt;0),'2.报价结算清单'!C460,"")</f>
        <v/>
      </c>
      <c r="D357" s="78" t="str">
        <f>IF(AND('2.报价结算清单'!$P460&gt;0,'2.报价结算清单'!$B460&lt;&gt;0,'2.报价结算清单'!D460&lt;&gt;0),'2.报价结算清单'!D460,"")</f>
        <v/>
      </c>
      <c r="E357" s="78" t="str">
        <f>IF(AND('2.报价结算清单'!$P460&gt;0,'2.报价结算清单'!$B460&lt;&gt;0,'2.报价结算清单'!E460&lt;&gt;0),'2.报价结算清单'!E460,"")</f>
        <v/>
      </c>
      <c r="F357" s="105" t="str">
        <f>_xlfn.IFNA(IF($A357="","",IF(VLOOKUP($A357,'3.框架内物料'!$A:$I,2,0)="","",VLOOKUP($A357,'3.框架内物料'!$A:$I,2,0))),"")</f>
        <v/>
      </c>
      <c r="G357" s="87" t="str">
        <f>IF(AND('2.报价结算清单'!$P460&gt;0,'2.报价结算清单'!$B460&lt;&gt;0,'2.报价结算清单'!H460&lt;&gt;0),'2.报价结算清单'!H460,"")</f>
        <v/>
      </c>
      <c r="H357" s="122" t="str">
        <f>IF(AND('2.报价结算清单'!$P460&gt;0,'2.报价结算清单'!$B460&lt;&gt;0,'2.报价结算清单'!$F460&lt;&gt;0),'2.报价结算清单'!J460,"")</f>
        <v/>
      </c>
      <c r="I357" s="105" t="str">
        <f>IF(AND('2.报价结算清单'!$P460&gt;0,'2.报价结算清单'!$B460&lt;&gt;0,'2.报价结算清单'!$F460&lt;&gt;0),'2.报价结算清单'!L460,"")</f>
        <v/>
      </c>
      <c r="J357" s="105" t="str">
        <f>IF(AND('2.报价结算清单'!$P460&gt;0,'2.报价结算清单'!$B460&lt;&gt;0,'2.报价结算清单'!I460&lt;&gt;0),'2.报价结算清单'!I460,"")</f>
        <v/>
      </c>
      <c r="K357" s="105" t="str">
        <f>IF(AND('2.报价结算清单'!$P460&gt;0,'2.报价结算清单'!$B460&lt;&gt;0,'2.报价结算清单'!$F460&lt;&gt;0),'2.报价结算清单'!N460,"")</f>
        <v/>
      </c>
      <c r="L357" s="105" t="str">
        <f>IF(AND('2.报价结算清单'!$P460&gt;0,'2.报价结算清单'!$B460&lt;&gt;0,'2.报价结算清单'!I460&lt;&gt;0),"天","")</f>
        <v/>
      </c>
      <c r="M357" s="80" t="str">
        <f t="shared" si="14"/>
        <v/>
      </c>
      <c r="N357" s="78" t="str">
        <f t="shared" si="15"/>
        <v/>
      </c>
      <c r="O357" s="78" t="str">
        <f>IF(AND('2.报价结算清单'!$P460&gt;0,'2.报价结算清单'!$B460&lt;&gt;0,'2.报价结算清单'!S460&lt;&gt;0),'2.报价结算清单'!S460,"")</f>
        <v/>
      </c>
      <c r="P357" s="78" t="str">
        <f>IF(AND('2.报价结算清单'!$P460&gt;0,'2.报价结算清单'!$B460&lt;&gt;0,'2.报价结算清单'!T460&lt;&gt;0),'2.报价结算清单'!T460,"")</f>
        <v/>
      </c>
      <c r="Q357" s="78" t="str">
        <f>IF(F357="",J357,VLOOKUP(F357,框架条目清单!A:K,4,FALSE))</f>
        <v/>
      </c>
      <c r="R357" s="106" t="str">
        <f>IF($A357="","",'2.报价结算清单'!$K$183)</f>
        <v/>
      </c>
      <c r="S357" s="80" t="str">
        <f>IF($A357="","",'2.报价结算清单'!$E$183)</f>
        <v/>
      </c>
      <c r="T357" s="78" t="str">
        <f>IF(F357="","",VLOOKUP(F357,框架条目清单!A:K,7,FALSE))</f>
        <v/>
      </c>
      <c r="U357" s="78" t="str">
        <f>IF(F357="","",VLOOKUP(F357,框架条目清单!A:K,8,FALSE))</f>
        <v/>
      </c>
      <c r="V357" s="78" t="str">
        <f>IF(F357="","",VLOOKUP(F357,框架条目清单!A:K,9,FALSE))</f>
        <v/>
      </c>
    </row>
    <row r="358" spans="1:22">
      <c r="A358" s="78" t="str">
        <f>IF(AND('2.报价结算清单'!$P461&gt;0,'2.报价结算清单'!$B461&lt;&gt;0,'2.报价结算清单'!$F461&lt;&gt;0),'2.报价结算清单'!$F461,"")</f>
        <v/>
      </c>
      <c r="B358" s="78" t="str">
        <f>_xlfn.IFNA(VLOOKUP(A358,'3.框架内物料'!$A:$I,3,0),A358)</f>
        <v/>
      </c>
      <c r="C358" s="78" t="str">
        <f>IF(AND('2.报价结算清单'!$P461&gt;0,'2.报价结算清单'!$B461&lt;&gt;0,'2.报价结算清单'!C461&lt;&gt;0),'2.报价结算清单'!C461,"")</f>
        <v/>
      </c>
      <c r="D358" s="78" t="str">
        <f>IF(AND('2.报价结算清单'!$P461&gt;0,'2.报价结算清单'!$B461&lt;&gt;0,'2.报价结算清单'!D461&lt;&gt;0),'2.报价结算清单'!D461,"")</f>
        <v/>
      </c>
      <c r="E358" s="78" t="str">
        <f>IF(AND('2.报价结算清单'!$P461&gt;0,'2.报价结算清单'!$B461&lt;&gt;0,'2.报价结算清单'!E461&lt;&gt;0),'2.报价结算清单'!E461,"")</f>
        <v/>
      </c>
      <c r="F358" s="105" t="str">
        <f>_xlfn.IFNA(IF($A358="","",IF(VLOOKUP($A358,'3.框架内物料'!$A:$I,2,0)="","",VLOOKUP($A358,'3.框架内物料'!$A:$I,2,0))),"")</f>
        <v/>
      </c>
      <c r="G358" s="87" t="str">
        <f>IF(AND('2.报价结算清单'!$P461&gt;0,'2.报价结算清单'!$B461&lt;&gt;0,'2.报价结算清单'!H461&lt;&gt;0),'2.报价结算清单'!H461,"")</f>
        <v/>
      </c>
      <c r="H358" s="122" t="str">
        <f>IF(AND('2.报价结算清单'!$P461&gt;0,'2.报价结算清单'!$B461&lt;&gt;0,'2.报价结算清单'!$F461&lt;&gt;0),'2.报价结算清单'!J461,"")</f>
        <v/>
      </c>
      <c r="I358" s="105" t="str">
        <f>IF(AND('2.报价结算清单'!$P461&gt;0,'2.报价结算清单'!$B461&lt;&gt;0,'2.报价结算清单'!$F461&lt;&gt;0),'2.报价结算清单'!L461,"")</f>
        <v/>
      </c>
      <c r="J358" s="105" t="str">
        <f>IF(AND('2.报价结算清单'!$P461&gt;0,'2.报价结算清单'!$B461&lt;&gt;0,'2.报价结算清单'!I461&lt;&gt;0),'2.报价结算清单'!I461,"")</f>
        <v/>
      </c>
      <c r="K358" s="105" t="str">
        <f>IF(AND('2.报价结算清单'!$P461&gt;0,'2.报价结算清单'!$B461&lt;&gt;0,'2.报价结算清单'!$F461&lt;&gt;0),'2.报价结算清单'!N461,"")</f>
        <v/>
      </c>
      <c r="L358" s="105" t="str">
        <f>IF(AND('2.报价结算清单'!$P461&gt;0,'2.报价结算清单'!$B461&lt;&gt;0,'2.报价结算清单'!I461&lt;&gt;0),"天","")</f>
        <v/>
      </c>
      <c r="M358" s="80" t="str">
        <f t="shared" si="14"/>
        <v/>
      </c>
      <c r="N358" s="78" t="str">
        <f t="shared" si="15"/>
        <v/>
      </c>
      <c r="O358" s="78" t="str">
        <f>IF(AND('2.报价结算清单'!$P461&gt;0,'2.报价结算清单'!$B461&lt;&gt;0,'2.报价结算清单'!S461&lt;&gt;0),'2.报价结算清单'!S461,"")</f>
        <v/>
      </c>
      <c r="P358" s="78" t="str">
        <f>IF(AND('2.报价结算清单'!$P461&gt;0,'2.报价结算清单'!$B461&lt;&gt;0,'2.报价结算清单'!T461&lt;&gt;0),'2.报价结算清单'!T461,"")</f>
        <v/>
      </c>
      <c r="Q358" s="78" t="str">
        <f>IF(F358="",J358,VLOOKUP(F358,框架条目清单!A:K,4,FALSE))</f>
        <v/>
      </c>
      <c r="R358" s="106" t="str">
        <f>IF($A358="","",'2.报价结算清单'!$K$183)</f>
        <v/>
      </c>
      <c r="S358" s="80" t="str">
        <f>IF($A358="","",'2.报价结算清单'!$E$183)</f>
        <v/>
      </c>
      <c r="T358" s="78" t="str">
        <f>IF(F358="","",VLOOKUP(F358,框架条目清单!A:K,7,FALSE))</f>
        <v/>
      </c>
      <c r="U358" s="78" t="str">
        <f>IF(F358="","",VLOOKUP(F358,框架条目清单!A:K,8,FALSE))</f>
        <v/>
      </c>
      <c r="V358" s="78" t="str">
        <f>IF(F358="","",VLOOKUP(F358,框架条目清单!A:K,9,FALSE))</f>
        <v/>
      </c>
    </row>
    <row r="359" spans="1:22">
      <c r="A359" s="78" t="str">
        <f>IF(AND('2.报价结算清单'!$P462&gt;0,'2.报价结算清单'!$B462&lt;&gt;0,'2.报价结算清单'!$F462&lt;&gt;0),'2.报价结算清单'!$F462,"")</f>
        <v/>
      </c>
      <c r="B359" s="78" t="str">
        <f>_xlfn.IFNA(VLOOKUP(A359,'3.框架内物料'!$A:$I,3,0),A359)</f>
        <v/>
      </c>
      <c r="C359" s="78" t="str">
        <f>IF(AND('2.报价结算清单'!$P462&gt;0,'2.报价结算清单'!$B462&lt;&gt;0,'2.报价结算清单'!C462&lt;&gt;0),'2.报价结算清单'!C462,"")</f>
        <v/>
      </c>
      <c r="D359" s="78" t="str">
        <f>IF(AND('2.报价结算清单'!$P462&gt;0,'2.报价结算清单'!$B462&lt;&gt;0,'2.报价结算清单'!D462&lt;&gt;0),'2.报价结算清单'!D462,"")</f>
        <v/>
      </c>
      <c r="E359" s="78" t="str">
        <f>IF(AND('2.报价结算清单'!$P462&gt;0,'2.报价结算清单'!$B462&lt;&gt;0,'2.报价结算清单'!E462&lt;&gt;0),'2.报价结算清单'!E462,"")</f>
        <v/>
      </c>
      <c r="F359" s="105" t="str">
        <f>_xlfn.IFNA(IF($A359="","",IF(VLOOKUP($A359,'3.框架内物料'!$A:$I,2,0)="","",VLOOKUP($A359,'3.框架内物料'!$A:$I,2,0))),"")</f>
        <v/>
      </c>
      <c r="G359" s="87" t="str">
        <f>IF(AND('2.报价结算清单'!$P462&gt;0,'2.报价结算清单'!$B462&lt;&gt;0,'2.报价结算清单'!H462&lt;&gt;0),'2.报价结算清单'!H462,"")</f>
        <v/>
      </c>
      <c r="H359" s="122" t="str">
        <f>IF(AND('2.报价结算清单'!$P462&gt;0,'2.报价结算清单'!$B462&lt;&gt;0,'2.报价结算清单'!$F462&lt;&gt;0),'2.报价结算清单'!J462,"")</f>
        <v/>
      </c>
      <c r="I359" s="105" t="str">
        <f>IF(AND('2.报价结算清单'!$P462&gt;0,'2.报价结算清单'!$B462&lt;&gt;0,'2.报价结算清单'!$F462&lt;&gt;0),'2.报价结算清单'!L462,"")</f>
        <v/>
      </c>
      <c r="J359" s="105" t="str">
        <f>IF(AND('2.报价结算清单'!$P462&gt;0,'2.报价结算清单'!$B462&lt;&gt;0,'2.报价结算清单'!I462&lt;&gt;0),'2.报价结算清单'!I462,"")</f>
        <v/>
      </c>
      <c r="K359" s="105" t="str">
        <f>IF(AND('2.报价结算清单'!$P462&gt;0,'2.报价结算清单'!$B462&lt;&gt;0,'2.报价结算清单'!$F462&lt;&gt;0),'2.报价结算清单'!N462,"")</f>
        <v/>
      </c>
      <c r="L359" s="105" t="str">
        <f>IF(AND('2.报价结算清单'!$P462&gt;0,'2.报价结算清单'!$B462&lt;&gt;0,'2.报价结算清单'!I462&lt;&gt;0),"天","")</f>
        <v/>
      </c>
      <c r="M359" s="80" t="str">
        <f t="shared" si="14"/>
        <v/>
      </c>
      <c r="N359" s="78" t="str">
        <f t="shared" si="15"/>
        <v/>
      </c>
      <c r="O359" s="78" t="str">
        <f>IF(AND('2.报价结算清单'!$P462&gt;0,'2.报价结算清单'!$B462&lt;&gt;0,'2.报价结算清单'!S462&lt;&gt;0),'2.报价结算清单'!S462,"")</f>
        <v/>
      </c>
      <c r="P359" s="78" t="str">
        <f>IF(AND('2.报价结算清单'!$P462&gt;0,'2.报价结算清单'!$B462&lt;&gt;0,'2.报价结算清单'!T462&lt;&gt;0),'2.报价结算清单'!T462,"")</f>
        <v/>
      </c>
      <c r="Q359" s="78" t="str">
        <f>IF(F359="",J359,VLOOKUP(F359,框架条目清单!A:K,4,FALSE))</f>
        <v/>
      </c>
      <c r="R359" s="106" t="str">
        <f>IF($A359="","",'2.报价结算清单'!$K$183)</f>
        <v/>
      </c>
      <c r="S359" s="80" t="str">
        <f>IF($A359="","",'2.报价结算清单'!$E$183)</f>
        <v/>
      </c>
      <c r="T359" s="78" t="str">
        <f>IF(F359="","",VLOOKUP(F359,框架条目清单!A:K,7,FALSE))</f>
        <v/>
      </c>
      <c r="U359" s="78" t="str">
        <f>IF(F359="","",VLOOKUP(F359,框架条目清单!A:K,8,FALSE))</f>
        <v/>
      </c>
      <c r="V359" s="78" t="str">
        <f>IF(F359="","",VLOOKUP(F359,框架条目清单!A:K,9,FALSE))</f>
        <v/>
      </c>
    </row>
    <row r="360" spans="1:22">
      <c r="A360" s="78" t="str">
        <f>IF(AND('2.报价结算清单'!$P463&gt;0,'2.报价结算清单'!$B463&lt;&gt;0,'2.报价结算清单'!$F463&lt;&gt;0),'2.报价结算清单'!$F463,"")</f>
        <v/>
      </c>
      <c r="B360" s="78" t="str">
        <f>_xlfn.IFNA(VLOOKUP(A360,'3.框架内物料'!$A:$I,3,0),A360)</f>
        <v/>
      </c>
      <c r="C360" s="78" t="str">
        <f>IF(AND('2.报价结算清单'!$P463&gt;0,'2.报价结算清单'!$B463&lt;&gt;0,'2.报价结算清单'!C463&lt;&gt;0),'2.报价结算清单'!C463,"")</f>
        <v/>
      </c>
      <c r="D360" s="78" t="str">
        <f>IF(AND('2.报价结算清单'!$P463&gt;0,'2.报价结算清单'!$B463&lt;&gt;0,'2.报价结算清单'!D463&lt;&gt;0),'2.报价结算清单'!D463,"")</f>
        <v/>
      </c>
      <c r="E360" s="78" t="str">
        <f>IF(AND('2.报价结算清单'!$P463&gt;0,'2.报价结算清单'!$B463&lt;&gt;0,'2.报价结算清单'!E463&lt;&gt;0),'2.报价结算清单'!E463,"")</f>
        <v/>
      </c>
      <c r="F360" s="105" t="str">
        <f>_xlfn.IFNA(IF($A360="","",IF(VLOOKUP($A360,'3.框架内物料'!$A:$I,2,0)="","",VLOOKUP($A360,'3.框架内物料'!$A:$I,2,0))),"")</f>
        <v/>
      </c>
      <c r="G360" s="87" t="str">
        <f>IF(AND('2.报价结算清单'!$P463&gt;0,'2.报价结算清单'!$B463&lt;&gt;0,'2.报价结算清单'!H463&lt;&gt;0),'2.报价结算清单'!H463,"")</f>
        <v/>
      </c>
      <c r="H360" s="122" t="str">
        <f>IF(AND('2.报价结算清单'!$P463&gt;0,'2.报价结算清单'!$B463&lt;&gt;0,'2.报价结算清单'!$F463&lt;&gt;0),'2.报价结算清单'!J463,"")</f>
        <v/>
      </c>
      <c r="I360" s="105" t="str">
        <f>IF(AND('2.报价结算清单'!$P463&gt;0,'2.报价结算清单'!$B463&lt;&gt;0,'2.报价结算清单'!$F463&lt;&gt;0),'2.报价结算清单'!L463,"")</f>
        <v/>
      </c>
      <c r="J360" s="105" t="str">
        <f>IF(AND('2.报价结算清单'!$P463&gt;0,'2.报价结算清单'!$B463&lt;&gt;0,'2.报价结算清单'!I463&lt;&gt;0),'2.报价结算清单'!I463,"")</f>
        <v/>
      </c>
      <c r="K360" s="105" t="str">
        <f>IF(AND('2.报价结算清单'!$P463&gt;0,'2.报价结算清单'!$B463&lt;&gt;0,'2.报价结算清单'!$F463&lt;&gt;0),'2.报价结算清单'!N463,"")</f>
        <v/>
      </c>
      <c r="L360" s="105" t="str">
        <f>IF(AND('2.报价结算清单'!$P463&gt;0,'2.报价结算清单'!$B463&lt;&gt;0,'2.报价结算清单'!I463&lt;&gt;0),"天","")</f>
        <v/>
      </c>
      <c r="M360" s="80" t="str">
        <f t="shared" si="14"/>
        <v/>
      </c>
      <c r="N360" s="78" t="str">
        <f t="shared" si="15"/>
        <v/>
      </c>
      <c r="O360" s="78" t="str">
        <f>IF(AND('2.报价结算清单'!$P463&gt;0,'2.报价结算清单'!$B463&lt;&gt;0,'2.报价结算清单'!S463&lt;&gt;0),'2.报价结算清单'!S463,"")</f>
        <v/>
      </c>
      <c r="P360" s="78" t="str">
        <f>IF(AND('2.报价结算清单'!$P463&gt;0,'2.报价结算清单'!$B463&lt;&gt;0,'2.报价结算清单'!T463&lt;&gt;0),'2.报价结算清单'!T463,"")</f>
        <v/>
      </c>
      <c r="Q360" s="78" t="str">
        <f>IF(F360="",J360,VLOOKUP(F360,框架条目清单!A:K,4,FALSE))</f>
        <v/>
      </c>
      <c r="R360" s="106" t="str">
        <f>IF($A360="","",'2.报价结算清单'!$K$183)</f>
        <v/>
      </c>
      <c r="S360" s="80" t="str">
        <f>IF($A360="","",'2.报价结算清单'!$E$183)</f>
        <v/>
      </c>
      <c r="T360" s="78" t="str">
        <f>IF(F360="","",VLOOKUP(F360,框架条目清单!A:K,7,FALSE))</f>
        <v/>
      </c>
      <c r="U360" s="78" t="str">
        <f>IF(F360="","",VLOOKUP(F360,框架条目清单!A:K,8,FALSE))</f>
        <v/>
      </c>
      <c r="V360" s="78" t="str">
        <f>IF(F360="","",VLOOKUP(F360,框架条目清单!A:K,9,FALSE))</f>
        <v/>
      </c>
    </row>
    <row r="361" spans="1:22">
      <c r="A361" s="78" t="str">
        <f>IF(AND('2.报价结算清单'!$P464&gt;0,'2.报价结算清单'!$B464&lt;&gt;0,'2.报价结算清单'!$F464&lt;&gt;0),'2.报价结算清单'!$F464,"")</f>
        <v/>
      </c>
      <c r="B361" s="78" t="str">
        <f>_xlfn.IFNA(VLOOKUP(A361,'3.框架内物料'!$A:$I,3,0),A361)</f>
        <v/>
      </c>
      <c r="C361" s="78" t="str">
        <f>IF(AND('2.报价结算清单'!$P464&gt;0,'2.报价结算清单'!$B464&lt;&gt;0,'2.报价结算清单'!C464&lt;&gt;0),'2.报价结算清单'!C464,"")</f>
        <v/>
      </c>
      <c r="D361" s="78" t="str">
        <f>IF(AND('2.报价结算清单'!$P464&gt;0,'2.报价结算清单'!$B464&lt;&gt;0,'2.报价结算清单'!D464&lt;&gt;0),'2.报价结算清单'!D464,"")</f>
        <v/>
      </c>
      <c r="E361" s="78" t="str">
        <f>IF(AND('2.报价结算清单'!$P464&gt;0,'2.报价结算清单'!$B464&lt;&gt;0,'2.报价结算清单'!E464&lt;&gt;0),'2.报价结算清单'!E464,"")</f>
        <v/>
      </c>
      <c r="F361" s="105" t="str">
        <f>_xlfn.IFNA(IF($A361="","",IF(VLOOKUP($A361,'3.框架内物料'!$A:$I,2,0)="","",VLOOKUP($A361,'3.框架内物料'!$A:$I,2,0))),"")</f>
        <v/>
      </c>
      <c r="G361" s="87" t="str">
        <f>IF(AND('2.报价结算清单'!$P464&gt;0,'2.报价结算清单'!$B464&lt;&gt;0,'2.报价结算清单'!H464&lt;&gt;0),'2.报价结算清单'!H464,"")</f>
        <v/>
      </c>
      <c r="H361" s="122" t="str">
        <f>IF(AND('2.报价结算清单'!$P464&gt;0,'2.报价结算清单'!$B464&lt;&gt;0,'2.报价结算清单'!$F464&lt;&gt;0),'2.报价结算清单'!J464,"")</f>
        <v/>
      </c>
      <c r="I361" s="105" t="str">
        <f>IF(AND('2.报价结算清单'!$P464&gt;0,'2.报价结算清单'!$B464&lt;&gt;0,'2.报价结算清单'!$F464&lt;&gt;0),'2.报价结算清单'!L464,"")</f>
        <v/>
      </c>
      <c r="J361" s="105" t="str">
        <f>IF(AND('2.报价结算清单'!$P464&gt;0,'2.报价结算清单'!$B464&lt;&gt;0,'2.报价结算清单'!I464&lt;&gt;0),'2.报价结算清单'!I464,"")</f>
        <v/>
      </c>
      <c r="K361" s="105" t="str">
        <f>IF(AND('2.报价结算清单'!$P464&gt;0,'2.报价结算清单'!$B464&lt;&gt;0,'2.报价结算清单'!$F464&lt;&gt;0),'2.报价结算清单'!N464,"")</f>
        <v/>
      </c>
      <c r="L361" s="105" t="str">
        <f>IF(AND('2.报价结算清单'!$P464&gt;0,'2.报价结算清单'!$B464&lt;&gt;0,'2.报价结算清单'!I464&lt;&gt;0),"天","")</f>
        <v/>
      </c>
      <c r="M361" s="80" t="str">
        <f t="shared" si="14"/>
        <v/>
      </c>
      <c r="N361" s="78" t="str">
        <f t="shared" si="15"/>
        <v/>
      </c>
      <c r="O361" s="78" t="str">
        <f>IF(AND('2.报价结算清单'!$P464&gt;0,'2.报价结算清单'!$B464&lt;&gt;0,'2.报价结算清单'!S464&lt;&gt;0),'2.报价结算清单'!S464,"")</f>
        <v/>
      </c>
      <c r="P361" s="78" t="str">
        <f>IF(AND('2.报价结算清单'!$P464&gt;0,'2.报价结算清单'!$B464&lt;&gt;0,'2.报价结算清单'!T464&lt;&gt;0),'2.报价结算清单'!T464,"")</f>
        <v/>
      </c>
      <c r="Q361" s="78" t="str">
        <f>IF(F361="",J361,VLOOKUP(F361,框架条目清单!A:K,4,FALSE))</f>
        <v/>
      </c>
      <c r="R361" s="106" t="str">
        <f>IF($A361="","",'2.报价结算清单'!$K$183)</f>
        <v/>
      </c>
      <c r="S361" s="80" t="str">
        <f>IF($A361="","",'2.报价结算清单'!$E$183)</f>
        <v/>
      </c>
      <c r="T361" s="78" t="str">
        <f>IF(F361="","",VLOOKUP(F361,框架条目清单!A:K,7,FALSE))</f>
        <v/>
      </c>
      <c r="U361" s="78" t="str">
        <f>IF(F361="","",VLOOKUP(F361,框架条目清单!A:K,8,FALSE))</f>
        <v/>
      </c>
      <c r="V361" s="78" t="str">
        <f>IF(F361="","",VLOOKUP(F361,框架条目清单!A:K,9,FALSE))</f>
        <v/>
      </c>
    </row>
    <row r="362" spans="1:22">
      <c r="A362" s="78" t="str">
        <f>IF(AND('2.报价结算清单'!$P465&gt;0,'2.报价结算清单'!$B465&lt;&gt;0,'2.报价结算清单'!$F465&lt;&gt;0),'2.报价结算清单'!$F465,"")</f>
        <v/>
      </c>
      <c r="B362" s="78" t="str">
        <f>_xlfn.IFNA(VLOOKUP(A362,'3.框架内物料'!$A:$I,3,0),A362)</f>
        <v/>
      </c>
      <c r="C362" s="78" t="str">
        <f>IF(AND('2.报价结算清单'!$P465&gt;0,'2.报价结算清单'!$B465&lt;&gt;0,'2.报价结算清单'!C465&lt;&gt;0),'2.报价结算清单'!C465,"")</f>
        <v/>
      </c>
      <c r="D362" s="78" t="str">
        <f>IF(AND('2.报价结算清单'!$P465&gt;0,'2.报价结算清单'!$B465&lt;&gt;0,'2.报价结算清单'!D465&lt;&gt;0),'2.报价结算清单'!D465,"")</f>
        <v/>
      </c>
      <c r="E362" s="78" t="str">
        <f>IF(AND('2.报价结算清单'!$P465&gt;0,'2.报价结算清单'!$B465&lt;&gt;0,'2.报价结算清单'!E465&lt;&gt;0),'2.报价结算清单'!E465,"")</f>
        <v/>
      </c>
      <c r="F362" s="105" t="str">
        <f>_xlfn.IFNA(IF($A362="","",IF(VLOOKUP($A362,'3.框架内物料'!$A:$I,2,0)="","",VLOOKUP($A362,'3.框架内物料'!$A:$I,2,0))),"")</f>
        <v/>
      </c>
      <c r="G362" s="87" t="str">
        <f>IF(AND('2.报价结算清单'!$P465&gt;0,'2.报价结算清单'!$B465&lt;&gt;0,'2.报价结算清单'!H465&lt;&gt;0),'2.报价结算清单'!H465,"")</f>
        <v/>
      </c>
      <c r="H362" s="122" t="str">
        <f>IF(AND('2.报价结算清单'!$P465&gt;0,'2.报价结算清单'!$B465&lt;&gt;0,'2.报价结算清单'!$F465&lt;&gt;0),'2.报价结算清单'!J465,"")</f>
        <v/>
      </c>
      <c r="I362" s="105" t="str">
        <f>IF(AND('2.报价结算清单'!$P465&gt;0,'2.报价结算清单'!$B465&lt;&gt;0,'2.报价结算清单'!$F465&lt;&gt;0),'2.报价结算清单'!L465,"")</f>
        <v/>
      </c>
      <c r="J362" s="105" t="str">
        <f>IF(AND('2.报价结算清单'!$P465&gt;0,'2.报价结算清单'!$B465&lt;&gt;0,'2.报价结算清单'!I465&lt;&gt;0),'2.报价结算清单'!I465,"")</f>
        <v/>
      </c>
      <c r="K362" s="105" t="str">
        <f>IF(AND('2.报价结算清单'!$P465&gt;0,'2.报价结算清单'!$B465&lt;&gt;0,'2.报价结算清单'!$F465&lt;&gt;0),'2.报价结算清单'!N465,"")</f>
        <v/>
      </c>
      <c r="L362" s="105" t="str">
        <f>IF(AND('2.报价结算清单'!$P465&gt;0,'2.报价结算清单'!$B465&lt;&gt;0,'2.报价结算清单'!I465&lt;&gt;0),"天","")</f>
        <v/>
      </c>
      <c r="M362" s="80" t="str">
        <f t="shared" si="14"/>
        <v/>
      </c>
      <c r="N362" s="78" t="str">
        <f t="shared" si="15"/>
        <v/>
      </c>
      <c r="O362" s="78" t="str">
        <f>IF(AND('2.报价结算清单'!$P465&gt;0,'2.报价结算清单'!$B465&lt;&gt;0,'2.报价结算清单'!S465&lt;&gt;0),'2.报价结算清单'!S465,"")</f>
        <v/>
      </c>
      <c r="P362" s="78" t="str">
        <f>IF(AND('2.报价结算清单'!$P465&gt;0,'2.报价结算清单'!$B465&lt;&gt;0,'2.报价结算清单'!T465&lt;&gt;0),'2.报价结算清单'!T465,"")</f>
        <v/>
      </c>
      <c r="Q362" s="78" t="str">
        <f>IF(F362="",J362,VLOOKUP(F362,框架条目清单!A:K,4,FALSE))</f>
        <v/>
      </c>
      <c r="R362" s="106" t="str">
        <f>IF($A362="","",'2.报价结算清单'!$K$183)</f>
        <v/>
      </c>
      <c r="S362" s="80" t="str">
        <f>IF($A362="","",'2.报价结算清单'!$E$183)</f>
        <v/>
      </c>
      <c r="T362" s="78" t="str">
        <f>IF(F362="","",VLOOKUP(F362,框架条目清单!A:K,7,FALSE))</f>
        <v/>
      </c>
      <c r="U362" s="78" t="str">
        <f>IF(F362="","",VLOOKUP(F362,框架条目清单!A:K,8,FALSE))</f>
        <v/>
      </c>
      <c r="V362" s="78" t="str">
        <f>IF(F362="","",VLOOKUP(F362,框架条目清单!A:K,9,FALSE))</f>
        <v/>
      </c>
    </row>
    <row r="363" spans="1:22">
      <c r="A363" s="78" t="str">
        <f>IF(AND('2.报价结算清单'!$P466&gt;0,'2.报价结算清单'!$B466&lt;&gt;0,'2.报价结算清单'!$F466&lt;&gt;0),'2.报价结算清单'!$F466,"")</f>
        <v/>
      </c>
      <c r="B363" s="78" t="str">
        <f>_xlfn.IFNA(VLOOKUP(A363,'3.框架内物料'!$A:$I,3,0),A363)</f>
        <v/>
      </c>
      <c r="C363" s="78" t="str">
        <f>IF(AND('2.报价结算清单'!$P466&gt;0,'2.报价结算清单'!$B466&lt;&gt;0,'2.报价结算清单'!C466&lt;&gt;0),'2.报价结算清单'!C466,"")</f>
        <v/>
      </c>
      <c r="D363" s="78" t="str">
        <f>IF(AND('2.报价结算清单'!$P466&gt;0,'2.报价结算清单'!$B466&lt;&gt;0,'2.报价结算清单'!D466&lt;&gt;0),'2.报价结算清单'!D466,"")</f>
        <v/>
      </c>
      <c r="E363" s="78" t="str">
        <f>IF(AND('2.报价结算清单'!$P466&gt;0,'2.报价结算清单'!$B466&lt;&gt;0,'2.报价结算清单'!E466&lt;&gt;0),'2.报价结算清单'!E466,"")</f>
        <v/>
      </c>
      <c r="F363" s="105" t="str">
        <f>_xlfn.IFNA(IF($A363="","",IF(VLOOKUP($A363,'3.框架内物料'!$A:$I,2,0)="","",VLOOKUP($A363,'3.框架内物料'!$A:$I,2,0))),"")</f>
        <v/>
      </c>
      <c r="G363" s="87" t="str">
        <f>IF(AND('2.报价结算清单'!$P466&gt;0,'2.报价结算清单'!$B466&lt;&gt;0,'2.报价结算清单'!H466&lt;&gt;0),'2.报价结算清单'!H466,"")</f>
        <v/>
      </c>
      <c r="H363" s="122" t="str">
        <f>IF(AND('2.报价结算清单'!$P466&gt;0,'2.报价结算清单'!$B466&lt;&gt;0,'2.报价结算清单'!$F466&lt;&gt;0),'2.报价结算清单'!J466,"")</f>
        <v/>
      </c>
      <c r="I363" s="105" t="str">
        <f>IF(AND('2.报价结算清单'!$P466&gt;0,'2.报价结算清单'!$B466&lt;&gt;0,'2.报价结算清单'!$F466&lt;&gt;0),'2.报价结算清单'!L466,"")</f>
        <v/>
      </c>
      <c r="J363" s="105" t="str">
        <f>IF(AND('2.报价结算清单'!$P466&gt;0,'2.报价结算清单'!$B466&lt;&gt;0,'2.报价结算清单'!I466&lt;&gt;0),'2.报价结算清单'!I466,"")</f>
        <v/>
      </c>
      <c r="K363" s="105" t="str">
        <f>IF(AND('2.报价结算清单'!$P466&gt;0,'2.报价结算清单'!$B466&lt;&gt;0,'2.报价结算清单'!$F466&lt;&gt;0),'2.报价结算清单'!N466,"")</f>
        <v/>
      </c>
      <c r="L363" s="105" t="str">
        <f>IF(AND('2.报价结算清单'!$P466&gt;0,'2.报价结算清单'!$B466&lt;&gt;0,'2.报价结算清单'!I466&lt;&gt;0),"天","")</f>
        <v/>
      </c>
      <c r="M363" s="80" t="str">
        <f t="shared" si="14"/>
        <v/>
      </c>
      <c r="N363" s="78" t="str">
        <f t="shared" si="15"/>
        <v/>
      </c>
      <c r="O363" s="78" t="str">
        <f>IF(AND('2.报价结算清单'!$P466&gt;0,'2.报价结算清单'!$B466&lt;&gt;0,'2.报价结算清单'!S466&lt;&gt;0),'2.报价结算清单'!S466,"")</f>
        <v/>
      </c>
      <c r="P363" s="78" t="str">
        <f>IF(AND('2.报价结算清单'!$P466&gt;0,'2.报价结算清单'!$B466&lt;&gt;0,'2.报价结算清单'!T466&lt;&gt;0),'2.报价结算清单'!T466,"")</f>
        <v/>
      </c>
      <c r="Q363" s="78" t="str">
        <f>IF(F363="",J363,VLOOKUP(F363,框架条目清单!A:K,4,FALSE))</f>
        <v/>
      </c>
      <c r="R363" s="106" t="str">
        <f>IF($A363="","",'2.报价结算清单'!$K$183)</f>
        <v/>
      </c>
      <c r="S363" s="80" t="str">
        <f>IF($A363="","",'2.报价结算清单'!$E$183)</f>
        <v/>
      </c>
      <c r="T363" s="78" t="str">
        <f>IF(F363="","",VLOOKUP(F363,框架条目清单!A:K,7,FALSE))</f>
        <v/>
      </c>
      <c r="U363" s="78" t="str">
        <f>IF(F363="","",VLOOKUP(F363,框架条目清单!A:K,8,FALSE))</f>
        <v/>
      </c>
      <c r="V363" s="78" t="str">
        <f>IF(F363="","",VLOOKUP(F363,框架条目清单!A:K,9,FALSE))</f>
        <v/>
      </c>
    </row>
    <row r="364" spans="1:22">
      <c r="A364" s="78" t="str">
        <f>IF(AND('2.报价结算清单'!$P467&gt;0,'2.报价结算清单'!$B467&lt;&gt;0,'2.报价结算清单'!$F467&lt;&gt;0),'2.报价结算清单'!$F467,"")</f>
        <v/>
      </c>
      <c r="B364" s="78" t="str">
        <f>_xlfn.IFNA(VLOOKUP(A364,'3.框架内物料'!$A:$I,3,0),A364)</f>
        <v/>
      </c>
      <c r="C364" s="78" t="str">
        <f>IF(AND('2.报价结算清单'!$P467&gt;0,'2.报价结算清单'!$B467&lt;&gt;0,'2.报价结算清单'!C467&lt;&gt;0),'2.报价结算清单'!C467,"")</f>
        <v/>
      </c>
      <c r="D364" s="78" t="str">
        <f>IF(AND('2.报价结算清单'!$P467&gt;0,'2.报价结算清单'!$B467&lt;&gt;0,'2.报价结算清单'!D467&lt;&gt;0),'2.报价结算清单'!D467,"")</f>
        <v/>
      </c>
      <c r="E364" s="78" t="str">
        <f>IF(AND('2.报价结算清单'!$P467&gt;0,'2.报价结算清单'!$B467&lt;&gt;0,'2.报价结算清单'!E467&lt;&gt;0),'2.报价结算清单'!E467,"")</f>
        <v/>
      </c>
      <c r="F364" s="105" t="str">
        <f>_xlfn.IFNA(IF($A364="","",IF(VLOOKUP($A364,'3.框架内物料'!$A:$I,2,0)="","",VLOOKUP($A364,'3.框架内物料'!$A:$I,2,0))),"")</f>
        <v/>
      </c>
      <c r="G364" s="87" t="str">
        <f>IF(AND('2.报价结算清单'!$P467&gt;0,'2.报价结算清单'!$B467&lt;&gt;0,'2.报价结算清单'!H467&lt;&gt;0),'2.报价结算清单'!H467,"")</f>
        <v/>
      </c>
      <c r="H364" s="122" t="str">
        <f>IF(AND('2.报价结算清单'!$P467&gt;0,'2.报价结算清单'!$B467&lt;&gt;0,'2.报价结算清单'!$F467&lt;&gt;0),'2.报价结算清单'!J467,"")</f>
        <v/>
      </c>
      <c r="I364" s="105" t="str">
        <f>IF(AND('2.报价结算清单'!$P467&gt;0,'2.报价结算清单'!$B467&lt;&gt;0,'2.报价结算清单'!$F467&lt;&gt;0),'2.报价结算清单'!L467,"")</f>
        <v/>
      </c>
      <c r="J364" s="105" t="str">
        <f>IF(AND('2.报价结算清单'!$P467&gt;0,'2.报价结算清单'!$B467&lt;&gt;0,'2.报价结算清单'!I467&lt;&gt;0),'2.报价结算清单'!I467,"")</f>
        <v/>
      </c>
      <c r="K364" s="105" t="str">
        <f>IF(AND('2.报价结算清单'!$P467&gt;0,'2.报价结算清单'!$B467&lt;&gt;0,'2.报价结算清单'!$F467&lt;&gt;0),'2.报价结算清单'!N467,"")</f>
        <v/>
      </c>
      <c r="L364" s="105" t="str">
        <f>IF(AND('2.报价结算清单'!$P467&gt;0,'2.报价结算清单'!$B467&lt;&gt;0,'2.报价结算清单'!I467&lt;&gt;0),"天","")</f>
        <v/>
      </c>
      <c r="M364" s="80" t="str">
        <f t="shared" si="14"/>
        <v/>
      </c>
      <c r="N364" s="78" t="str">
        <f t="shared" si="15"/>
        <v/>
      </c>
      <c r="O364" s="78" t="str">
        <f>IF(AND('2.报价结算清单'!$P467&gt;0,'2.报价结算清单'!$B467&lt;&gt;0,'2.报价结算清单'!S467&lt;&gt;0),'2.报价结算清单'!S467,"")</f>
        <v/>
      </c>
      <c r="P364" s="78" t="str">
        <f>IF(AND('2.报价结算清单'!$P467&gt;0,'2.报价结算清单'!$B467&lt;&gt;0,'2.报价结算清单'!T467&lt;&gt;0),'2.报价结算清单'!T467,"")</f>
        <v/>
      </c>
      <c r="Q364" s="78" t="str">
        <f>IF(F364="",J364,VLOOKUP(F364,框架条目清单!A:K,4,FALSE))</f>
        <v/>
      </c>
      <c r="R364" s="106" t="str">
        <f>IF($A364="","",'2.报价结算清单'!$K$183)</f>
        <v/>
      </c>
      <c r="S364" s="80" t="str">
        <f>IF($A364="","",'2.报价结算清单'!$E$183)</f>
        <v/>
      </c>
      <c r="T364" s="78" t="str">
        <f>IF(F364="","",VLOOKUP(F364,框架条目清单!A:K,7,FALSE))</f>
        <v/>
      </c>
      <c r="U364" s="78" t="str">
        <f>IF(F364="","",VLOOKUP(F364,框架条目清单!A:K,8,FALSE))</f>
        <v/>
      </c>
      <c r="V364" s="78" t="str">
        <f>IF(F364="","",VLOOKUP(F364,框架条目清单!A:K,9,FALSE))</f>
        <v/>
      </c>
    </row>
    <row r="365" spans="1:22">
      <c r="A365" s="78" t="str">
        <f>IF(AND('2.报价结算清单'!$P468&gt;0,'2.报价结算清单'!$B468&lt;&gt;0,'2.报价结算清单'!$F468&lt;&gt;0),'2.报价结算清单'!$F468,"")</f>
        <v/>
      </c>
      <c r="B365" s="78" t="str">
        <f>_xlfn.IFNA(VLOOKUP(A365,'3.框架内物料'!$A:$I,3,0),A365)</f>
        <v/>
      </c>
      <c r="C365" s="78" t="str">
        <f>IF(AND('2.报价结算清单'!$P468&gt;0,'2.报价结算清单'!$B468&lt;&gt;0,'2.报价结算清单'!C468&lt;&gt;0),'2.报价结算清单'!C468,"")</f>
        <v/>
      </c>
      <c r="D365" s="78" t="str">
        <f>IF(AND('2.报价结算清单'!$P468&gt;0,'2.报价结算清单'!$B468&lt;&gt;0,'2.报价结算清单'!D468&lt;&gt;0),'2.报价结算清单'!D468,"")</f>
        <v/>
      </c>
      <c r="E365" s="78" t="str">
        <f>IF(AND('2.报价结算清单'!$P468&gt;0,'2.报价结算清单'!$B468&lt;&gt;0,'2.报价结算清单'!E468&lt;&gt;0),'2.报价结算清单'!E468,"")</f>
        <v/>
      </c>
      <c r="F365" s="105" t="str">
        <f>_xlfn.IFNA(IF($A365="","",IF(VLOOKUP($A365,'3.框架内物料'!$A:$I,2,0)="","",VLOOKUP($A365,'3.框架内物料'!$A:$I,2,0))),"")</f>
        <v/>
      </c>
      <c r="G365" s="87" t="str">
        <f>IF(AND('2.报价结算清单'!$P468&gt;0,'2.报价结算清单'!$B468&lt;&gt;0,'2.报价结算清单'!H468&lt;&gt;0),'2.报价结算清单'!H468,"")</f>
        <v/>
      </c>
      <c r="H365" s="122" t="str">
        <f>IF(AND('2.报价结算清单'!$P468&gt;0,'2.报价结算清单'!$B468&lt;&gt;0,'2.报价结算清单'!$F468&lt;&gt;0),'2.报价结算清单'!J468,"")</f>
        <v/>
      </c>
      <c r="I365" s="105" t="str">
        <f>IF(AND('2.报价结算清单'!$P468&gt;0,'2.报价结算清单'!$B468&lt;&gt;0,'2.报价结算清单'!$F468&lt;&gt;0),'2.报价结算清单'!L468,"")</f>
        <v/>
      </c>
      <c r="J365" s="105" t="str">
        <f>IF(AND('2.报价结算清单'!$P468&gt;0,'2.报价结算清单'!$B468&lt;&gt;0,'2.报价结算清单'!I468&lt;&gt;0),'2.报价结算清单'!I468,"")</f>
        <v/>
      </c>
      <c r="K365" s="105" t="str">
        <f>IF(AND('2.报价结算清单'!$P468&gt;0,'2.报价结算清单'!$B468&lt;&gt;0,'2.报价结算清单'!$F468&lt;&gt;0),'2.报价结算清单'!N468,"")</f>
        <v/>
      </c>
      <c r="L365" s="105" t="str">
        <f>IF(AND('2.报价结算清单'!$P468&gt;0,'2.报价结算清单'!$B468&lt;&gt;0,'2.报价结算清单'!I468&lt;&gt;0),"天","")</f>
        <v/>
      </c>
      <c r="M365" s="80" t="str">
        <f t="shared" si="14"/>
        <v/>
      </c>
      <c r="N365" s="78" t="str">
        <f t="shared" si="15"/>
        <v/>
      </c>
      <c r="O365" s="78" t="str">
        <f>IF(AND('2.报价结算清单'!$P468&gt;0,'2.报价结算清单'!$B468&lt;&gt;0,'2.报价结算清单'!S468&lt;&gt;0),'2.报价结算清单'!S468,"")</f>
        <v/>
      </c>
      <c r="P365" s="78" t="str">
        <f>IF(AND('2.报价结算清单'!$P468&gt;0,'2.报价结算清单'!$B468&lt;&gt;0,'2.报价结算清单'!T468&lt;&gt;0),'2.报价结算清单'!T468,"")</f>
        <v/>
      </c>
      <c r="Q365" s="78" t="str">
        <f>IF(F365="",J365,VLOOKUP(F365,框架条目清单!A:K,4,FALSE))</f>
        <v/>
      </c>
      <c r="R365" s="106" t="str">
        <f>IF($A365="","",'2.报价结算清单'!$K$183)</f>
        <v/>
      </c>
      <c r="S365" s="80" t="str">
        <f>IF($A365="","",'2.报价结算清单'!$E$183)</f>
        <v/>
      </c>
      <c r="T365" s="78" t="str">
        <f>IF(F365="","",VLOOKUP(F365,框架条目清单!A:K,7,FALSE))</f>
        <v/>
      </c>
      <c r="U365" s="78" t="str">
        <f>IF(F365="","",VLOOKUP(F365,框架条目清单!A:K,8,FALSE))</f>
        <v/>
      </c>
      <c r="V365" s="78" t="str">
        <f>IF(F365="","",VLOOKUP(F365,框架条目清单!A:K,9,FALSE))</f>
        <v/>
      </c>
    </row>
    <row r="366" spans="1:22">
      <c r="A366" s="78" t="str">
        <f>IF(AND('2.报价结算清单'!$P469&gt;0,'2.报价结算清单'!$B469&lt;&gt;0,'2.报价结算清单'!$F469&lt;&gt;0),'2.报价结算清单'!$F469,"")</f>
        <v/>
      </c>
      <c r="B366" s="78" t="str">
        <f>_xlfn.IFNA(VLOOKUP(A366,'3.框架内物料'!$A:$I,3,0),A366)</f>
        <v/>
      </c>
      <c r="C366" s="78" t="str">
        <f>IF(AND('2.报价结算清单'!$P469&gt;0,'2.报价结算清单'!$B469&lt;&gt;0,'2.报价结算清单'!C469&lt;&gt;0),'2.报价结算清单'!C469,"")</f>
        <v/>
      </c>
      <c r="D366" s="78" t="str">
        <f>IF(AND('2.报价结算清单'!$P469&gt;0,'2.报价结算清单'!$B469&lt;&gt;0,'2.报价结算清单'!D469&lt;&gt;0),'2.报价结算清单'!D469,"")</f>
        <v/>
      </c>
      <c r="E366" s="78" t="str">
        <f>IF(AND('2.报价结算清单'!$P469&gt;0,'2.报价结算清单'!$B469&lt;&gt;0,'2.报价结算清单'!E469&lt;&gt;0),'2.报价结算清单'!E469,"")</f>
        <v/>
      </c>
      <c r="F366" s="105" t="str">
        <f>_xlfn.IFNA(IF($A366="","",IF(VLOOKUP($A366,'3.框架内物料'!$A:$I,2,0)="","",VLOOKUP($A366,'3.框架内物料'!$A:$I,2,0))),"")</f>
        <v/>
      </c>
      <c r="G366" s="87" t="str">
        <f>IF(AND('2.报价结算清单'!$P469&gt;0,'2.报价结算清单'!$B469&lt;&gt;0,'2.报价结算清单'!H469&lt;&gt;0),'2.报价结算清单'!H469,"")</f>
        <v/>
      </c>
      <c r="H366" s="122" t="str">
        <f>IF(AND('2.报价结算清单'!$P469&gt;0,'2.报价结算清单'!$B469&lt;&gt;0,'2.报价结算清单'!$F469&lt;&gt;0),'2.报价结算清单'!J469,"")</f>
        <v/>
      </c>
      <c r="I366" s="105" t="str">
        <f>IF(AND('2.报价结算清单'!$P469&gt;0,'2.报价结算清单'!$B469&lt;&gt;0,'2.报价结算清单'!$F469&lt;&gt;0),'2.报价结算清单'!L469,"")</f>
        <v/>
      </c>
      <c r="J366" s="105" t="str">
        <f>IF(AND('2.报价结算清单'!$P469&gt;0,'2.报价结算清单'!$B469&lt;&gt;0,'2.报价结算清单'!I469&lt;&gt;0),'2.报价结算清单'!I469,"")</f>
        <v/>
      </c>
      <c r="K366" s="105" t="str">
        <f>IF(AND('2.报价结算清单'!$P469&gt;0,'2.报价结算清单'!$B469&lt;&gt;0,'2.报价结算清单'!$F469&lt;&gt;0),'2.报价结算清单'!N469,"")</f>
        <v/>
      </c>
      <c r="L366" s="105" t="str">
        <f>IF(AND('2.报价结算清单'!$P469&gt;0,'2.报价结算清单'!$B469&lt;&gt;0,'2.报价结算清单'!I469&lt;&gt;0),"天","")</f>
        <v/>
      </c>
      <c r="M366" s="80" t="str">
        <f t="shared" si="14"/>
        <v/>
      </c>
      <c r="N366" s="78" t="str">
        <f t="shared" si="15"/>
        <v/>
      </c>
      <c r="O366" s="78" t="str">
        <f>IF(AND('2.报价结算清单'!$P469&gt;0,'2.报价结算清单'!$B469&lt;&gt;0,'2.报价结算清单'!S469&lt;&gt;0),'2.报价结算清单'!S469,"")</f>
        <v/>
      </c>
      <c r="P366" s="78" t="str">
        <f>IF(AND('2.报价结算清单'!$P469&gt;0,'2.报价结算清单'!$B469&lt;&gt;0,'2.报价结算清单'!T469&lt;&gt;0),'2.报价结算清单'!T469,"")</f>
        <v/>
      </c>
      <c r="Q366" s="78" t="str">
        <f>IF(F366="",J366,VLOOKUP(F366,框架条目清单!A:K,4,FALSE))</f>
        <v/>
      </c>
      <c r="R366" s="106" t="str">
        <f>IF($A366="","",'2.报价结算清单'!$K$183)</f>
        <v/>
      </c>
      <c r="S366" s="80" t="str">
        <f>IF($A366="","",'2.报价结算清单'!$E$183)</f>
        <v/>
      </c>
      <c r="T366" s="78" t="str">
        <f>IF(F366="","",VLOOKUP(F366,框架条目清单!A:K,7,FALSE))</f>
        <v/>
      </c>
      <c r="U366" s="78" t="str">
        <f>IF(F366="","",VLOOKUP(F366,框架条目清单!A:K,8,FALSE))</f>
        <v/>
      </c>
      <c r="V366" s="78" t="str">
        <f>IF(F366="","",VLOOKUP(F366,框架条目清单!A:K,9,FALSE))</f>
        <v/>
      </c>
    </row>
    <row r="367" spans="1:22">
      <c r="A367" s="78" t="str">
        <f>IF(AND('2.报价结算清单'!$P470&gt;0,'2.报价结算清单'!$B470&lt;&gt;0,'2.报价结算清单'!$F470&lt;&gt;0),'2.报价结算清单'!$F470,"")</f>
        <v/>
      </c>
      <c r="B367" s="78" t="str">
        <f>_xlfn.IFNA(VLOOKUP(A367,'3.框架内物料'!$A:$I,3,0),A367)</f>
        <v/>
      </c>
      <c r="C367" s="78" t="str">
        <f>IF(AND('2.报价结算清单'!$P470&gt;0,'2.报价结算清单'!$B470&lt;&gt;0,'2.报价结算清单'!C470&lt;&gt;0),'2.报价结算清单'!C470,"")</f>
        <v/>
      </c>
      <c r="D367" s="78" t="str">
        <f>IF(AND('2.报价结算清单'!$P470&gt;0,'2.报价结算清单'!$B470&lt;&gt;0,'2.报价结算清单'!D470&lt;&gt;0),'2.报价结算清单'!D470,"")</f>
        <v/>
      </c>
      <c r="E367" s="78" t="str">
        <f>IF(AND('2.报价结算清单'!$P470&gt;0,'2.报价结算清单'!$B470&lt;&gt;0,'2.报价结算清单'!E470&lt;&gt;0),'2.报价结算清单'!E470,"")</f>
        <v/>
      </c>
      <c r="F367" s="105" t="str">
        <f>_xlfn.IFNA(IF($A367="","",IF(VLOOKUP($A367,'3.框架内物料'!$A:$I,2,0)="","",VLOOKUP($A367,'3.框架内物料'!$A:$I,2,0))),"")</f>
        <v/>
      </c>
      <c r="G367" s="87" t="str">
        <f>IF(AND('2.报价结算清单'!$P470&gt;0,'2.报价结算清单'!$B470&lt;&gt;0,'2.报价结算清单'!H470&lt;&gt;0),'2.报价结算清单'!H470,"")</f>
        <v/>
      </c>
      <c r="H367" s="122" t="str">
        <f>IF(AND('2.报价结算清单'!$P470&gt;0,'2.报价结算清单'!$B470&lt;&gt;0,'2.报价结算清单'!$F470&lt;&gt;0),'2.报价结算清单'!J470,"")</f>
        <v/>
      </c>
      <c r="I367" s="105" t="str">
        <f>IF(AND('2.报价结算清单'!$P470&gt;0,'2.报价结算清单'!$B470&lt;&gt;0,'2.报价结算清单'!$F470&lt;&gt;0),'2.报价结算清单'!L470,"")</f>
        <v/>
      </c>
      <c r="J367" s="105" t="str">
        <f>IF(AND('2.报价结算清单'!$P470&gt;0,'2.报价结算清单'!$B470&lt;&gt;0,'2.报价结算清单'!I470&lt;&gt;0),'2.报价结算清单'!I470,"")</f>
        <v/>
      </c>
      <c r="K367" s="105" t="str">
        <f>IF(AND('2.报价结算清单'!$P470&gt;0,'2.报价结算清单'!$B470&lt;&gt;0,'2.报价结算清单'!$F470&lt;&gt;0),'2.报价结算清单'!N470,"")</f>
        <v/>
      </c>
      <c r="L367" s="105" t="str">
        <f>IF(AND('2.报价结算清单'!$P470&gt;0,'2.报价结算清单'!$B470&lt;&gt;0,'2.报价结算清单'!I470&lt;&gt;0),"天","")</f>
        <v/>
      </c>
      <c r="M367" s="80" t="str">
        <f t="shared" si="14"/>
        <v/>
      </c>
      <c r="N367" s="78" t="str">
        <f t="shared" si="15"/>
        <v/>
      </c>
      <c r="O367" s="78" t="str">
        <f>IF(AND('2.报价结算清单'!$P470&gt;0,'2.报价结算清单'!$B470&lt;&gt;0,'2.报价结算清单'!S470&lt;&gt;0),'2.报价结算清单'!S470,"")</f>
        <v/>
      </c>
      <c r="P367" s="78" t="str">
        <f>IF(AND('2.报价结算清单'!$P470&gt;0,'2.报价结算清单'!$B470&lt;&gt;0,'2.报价结算清单'!T470&lt;&gt;0),'2.报价结算清单'!T470,"")</f>
        <v/>
      </c>
      <c r="Q367" s="78" t="str">
        <f>IF(F367="",J367,VLOOKUP(F367,框架条目清单!A:K,4,FALSE))</f>
        <v/>
      </c>
      <c r="R367" s="106" t="str">
        <f>IF($A367="","",'2.报价结算清单'!$K$183)</f>
        <v/>
      </c>
      <c r="S367" s="80" t="str">
        <f>IF($A367="","",'2.报价结算清单'!$E$183)</f>
        <v/>
      </c>
      <c r="T367" s="78" t="str">
        <f>IF(F367="","",VLOOKUP(F367,框架条目清单!A:K,7,FALSE))</f>
        <v/>
      </c>
      <c r="U367" s="78" t="str">
        <f>IF(F367="","",VLOOKUP(F367,框架条目清单!A:K,8,FALSE))</f>
        <v/>
      </c>
      <c r="V367" s="78" t="str">
        <f>IF(F367="","",VLOOKUP(F367,框架条目清单!A:K,9,FALSE))</f>
        <v/>
      </c>
    </row>
    <row r="368" spans="1:22">
      <c r="A368" s="78" t="str">
        <f>IF(AND('2.报价结算清单'!$P471&gt;0,'2.报价结算清单'!$B471&lt;&gt;0,'2.报价结算清单'!$F471&lt;&gt;0),'2.报价结算清单'!$F471,"")</f>
        <v/>
      </c>
      <c r="B368" s="78" t="str">
        <f>_xlfn.IFNA(VLOOKUP(A368,'3.框架内物料'!$A:$I,3,0),A368)</f>
        <v/>
      </c>
      <c r="C368" s="78" t="str">
        <f>IF(AND('2.报价结算清单'!$P471&gt;0,'2.报价结算清单'!$B471&lt;&gt;0,'2.报价结算清单'!C471&lt;&gt;0),'2.报价结算清单'!C471,"")</f>
        <v/>
      </c>
      <c r="D368" s="78" t="str">
        <f>IF(AND('2.报价结算清单'!$P471&gt;0,'2.报价结算清单'!$B471&lt;&gt;0,'2.报价结算清单'!D471&lt;&gt;0),'2.报价结算清单'!D471,"")</f>
        <v/>
      </c>
      <c r="E368" s="78" t="str">
        <f>IF(AND('2.报价结算清单'!$P471&gt;0,'2.报价结算清单'!$B471&lt;&gt;0,'2.报价结算清单'!E471&lt;&gt;0),'2.报价结算清单'!E471,"")</f>
        <v/>
      </c>
      <c r="F368" s="105" t="str">
        <f>_xlfn.IFNA(IF($A368="","",IF(VLOOKUP($A368,'3.框架内物料'!$A:$I,2,0)="","",VLOOKUP($A368,'3.框架内物料'!$A:$I,2,0))),"")</f>
        <v/>
      </c>
      <c r="G368" s="87" t="str">
        <f>IF(AND('2.报价结算清单'!$P471&gt;0,'2.报价结算清单'!$B471&lt;&gt;0,'2.报价结算清单'!H471&lt;&gt;0),'2.报价结算清单'!H471,"")</f>
        <v/>
      </c>
      <c r="H368" s="122" t="str">
        <f>IF(AND('2.报价结算清单'!$P471&gt;0,'2.报价结算清单'!$B471&lt;&gt;0,'2.报价结算清单'!$F471&lt;&gt;0),'2.报价结算清单'!J471,"")</f>
        <v/>
      </c>
      <c r="I368" s="105" t="str">
        <f>IF(AND('2.报价结算清单'!$P471&gt;0,'2.报价结算清单'!$B471&lt;&gt;0,'2.报价结算清单'!$F471&lt;&gt;0),'2.报价结算清单'!L471,"")</f>
        <v/>
      </c>
      <c r="J368" s="105" t="str">
        <f>IF(AND('2.报价结算清单'!$P471&gt;0,'2.报价结算清单'!$B471&lt;&gt;0,'2.报价结算清单'!I471&lt;&gt;0),'2.报价结算清单'!I471,"")</f>
        <v/>
      </c>
      <c r="K368" s="105" t="str">
        <f>IF(AND('2.报价结算清单'!$P471&gt;0,'2.报价结算清单'!$B471&lt;&gt;0,'2.报价结算清单'!$F471&lt;&gt;0),'2.报价结算清单'!N471,"")</f>
        <v/>
      </c>
      <c r="L368" s="105" t="str">
        <f>IF(AND('2.报价结算清单'!$P471&gt;0,'2.报价结算清单'!$B471&lt;&gt;0,'2.报价结算清单'!I471&lt;&gt;0),"天","")</f>
        <v/>
      </c>
      <c r="M368" s="80" t="str">
        <f t="shared" si="14"/>
        <v/>
      </c>
      <c r="N368" s="78" t="str">
        <f t="shared" si="15"/>
        <v/>
      </c>
      <c r="O368" s="78" t="str">
        <f>IF(AND('2.报价结算清单'!$P471&gt;0,'2.报价结算清单'!$B471&lt;&gt;0,'2.报价结算清单'!S471&lt;&gt;0),'2.报价结算清单'!S471,"")</f>
        <v/>
      </c>
      <c r="P368" s="78" t="str">
        <f>IF(AND('2.报价结算清单'!$P471&gt;0,'2.报价结算清单'!$B471&lt;&gt;0,'2.报价结算清单'!T471&lt;&gt;0),'2.报价结算清单'!T471,"")</f>
        <v/>
      </c>
      <c r="Q368" s="78" t="str">
        <f>IF(F368="",J368,VLOOKUP(F368,框架条目清单!A:K,4,FALSE))</f>
        <v/>
      </c>
      <c r="R368" s="106" t="str">
        <f>IF($A368="","",'2.报价结算清单'!$K$183)</f>
        <v/>
      </c>
      <c r="S368" s="80" t="str">
        <f>IF($A368="","",'2.报价结算清单'!$E$183)</f>
        <v/>
      </c>
      <c r="T368" s="78" t="str">
        <f>IF(F368="","",VLOOKUP(F368,框架条目清单!A:K,7,FALSE))</f>
        <v/>
      </c>
      <c r="U368" s="78" t="str">
        <f>IF(F368="","",VLOOKUP(F368,框架条目清单!A:K,8,FALSE))</f>
        <v/>
      </c>
      <c r="V368" s="78" t="str">
        <f>IF(F368="","",VLOOKUP(F368,框架条目清单!A:K,9,FALSE))</f>
        <v/>
      </c>
    </row>
    <row r="369" spans="1:22">
      <c r="A369" s="78" t="str">
        <f>IF(AND('2.报价结算清单'!$P472&gt;0,'2.报价结算清单'!$B472&lt;&gt;0,'2.报价结算清单'!$F472&lt;&gt;0),'2.报价结算清单'!$F472,"")</f>
        <v/>
      </c>
      <c r="B369" s="78" t="str">
        <f>_xlfn.IFNA(VLOOKUP(A369,'3.框架内物料'!$A:$I,3,0),A369)</f>
        <v/>
      </c>
      <c r="C369" s="78" t="str">
        <f>IF(AND('2.报价结算清单'!$P472&gt;0,'2.报价结算清单'!$B472&lt;&gt;0,'2.报价结算清单'!C472&lt;&gt;0),'2.报价结算清单'!C472,"")</f>
        <v/>
      </c>
      <c r="D369" s="78" t="str">
        <f>IF(AND('2.报价结算清单'!$P472&gt;0,'2.报价结算清单'!$B472&lt;&gt;0,'2.报价结算清单'!D472&lt;&gt;0),'2.报价结算清单'!D472,"")</f>
        <v/>
      </c>
      <c r="E369" s="78" t="str">
        <f>IF(AND('2.报价结算清单'!$P472&gt;0,'2.报价结算清单'!$B472&lt;&gt;0,'2.报价结算清单'!E472&lt;&gt;0),'2.报价结算清单'!E472,"")</f>
        <v/>
      </c>
      <c r="F369" s="105" t="str">
        <f>_xlfn.IFNA(IF($A369="","",IF(VLOOKUP($A369,'3.框架内物料'!$A:$I,2,0)="","",VLOOKUP($A369,'3.框架内物料'!$A:$I,2,0))),"")</f>
        <v/>
      </c>
      <c r="G369" s="87" t="str">
        <f>IF(AND('2.报价结算清单'!$P472&gt;0,'2.报价结算清单'!$B472&lt;&gt;0,'2.报价结算清单'!H472&lt;&gt;0),'2.报价结算清单'!H472,"")</f>
        <v/>
      </c>
      <c r="H369" s="122" t="str">
        <f>IF(AND('2.报价结算清单'!$P472&gt;0,'2.报价结算清单'!$B472&lt;&gt;0,'2.报价结算清单'!$F472&lt;&gt;0),'2.报价结算清单'!J472,"")</f>
        <v/>
      </c>
      <c r="I369" s="105" t="str">
        <f>IF(AND('2.报价结算清单'!$P472&gt;0,'2.报价结算清单'!$B472&lt;&gt;0,'2.报价结算清单'!$F472&lt;&gt;0),'2.报价结算清单'!L472,"")</f>
        <v/>
      </c>
      <c r="J369" s="105" t="str">
        <f>IF(AND('2.报价结算清单'!$P472&gt;0,'2.报价结算清单'!$B472&lt;&gt;0,'2.报价结算清单'!I472&lt;&gt;0),'2.报价结算清单'!I472,"")</f>
        <v/>
      </c>
      <c r="K369" s="105" t="str">
        <f>IF(AND('2.报价结算清单'!$P472&gt;0,'2.报价结算清单'!$B472&lt;&gt;0,'2.报价结算清单'!$F472&lt;&gt;0),'2.报价结算清单'!N472,"")</f>
        <v/>
      </c>
      <c r="L369" s="105" t="str">
        <f>IF(AND('2.报价结算清单'!$P472&gt;0,'2.报价结算清单'!$B472&lt;&gt;0,'2.报价结算清单'!I472&lt;&gt;0),"天","")</f>
        <v/>
      </c>
      <c r="M369" s="80" t="str">
        <f t="shared" si="14"/>
        <v/>
      </c>
      <c r="N369" s="78" t="str">
        <f t="shared" si="15"/>
        <v/>
      </c>
      <c r="O369" s="78" t="str">
        <f>IF(AND('2.报价结算清单'!$P472&gt;0,'2.报价结算清单'!$B472&lt;&gt;0,'2.报价结算清单'!S472&lt;&gt;0),'2.报价结算清单'!S472,"")</f>
        <v/>
      </c>
      <c r="P369" s="78" t="str">
        <f>IF(AND('2.报价结算清单'!$P472&gt;0,'2.报价结算清单'!$B472&lt;&gt;0,'2.报价结算清单'!T472&lt;&gt;0),'2.报价结算清单'!T472,"")</f>
        <v/>
      </c>
      <c r="Q369" s="78" t="str">
        <f>IF(F369="",J369,VLOOKUP(F369,框架条目清单!A:K,4,FALSE))</f>
        <v/>
      </c>
      <c r="R369" s="106" t="str">
        <f>IF($A369="","",'2.报价结算清单'!$K$183)</f>
        <v/>
      </c>
      <c r="S369" s="80" t="str">
        <f>IF($A369="","",'2.报价结算清单'!$E$183)</f>
        <v/>
      </c>
      <c r="T369" s="78" t="str">
        <f>IF(F369="","",VLOOKUP(F369,框架条目清单!A:K,7,FALSE))</f>
        <v/>
      </c>
      <c r="U369" s="78" t="str">
        <f>IF(F369="","",VLOOKUP(F369,框架条目清单!A:K,8,FALSE))</f>
        <v/>
      </c>
      <c r="V369" s="78" t="str">
        <f>IF(F369="","",VLOOKUP(F369,框架条目清单!A:K,9,FALSE))</f>
        <v/>
      </c>
    </row>
    <row r="370" spans="1:22">
      <c r="A370" s="78" t="str">
        <f>IF(AND('2.报价结算清单'!$P473&gt;0,'2.报价结算清单'!$B473&lt;&gt;0,'2.报价结算清单'!$F473&lt;&gt;0),'2.报价结算清单'!$F473,"")</f>
        <v/>
      </c>
      <c r="B370" s="78" t="str">
        <f>_xlfn.IFNA(VLOOKUP(A370,'3.框架内物料'!$A:$I,3,0),A370)</f>
        <v/>
      </c>
      <c r="C370" s="78" t="str">
        <f>IF(AND('2.报价结算清单'!$P473&gt;0,'2.报价结算清单'!$B473&lt;&gt;0,'2.报价结算清单'!C473&lt;&gt;0),'2.报价结算清单'!C473,"")</f>
        <v/>
      </c>
      <c r="D370" s="78" t="str">
        <f>IF(AND('2.报价结算清单'!$P473&gt;0,'2.报价结算清单'!$B473&lt;&gt;0,'2.报价结算清单'!D473&lt;&gt;0),'2.报价结算清单'!D473,"")</f>
        <v/>
      </c>
      <c r="E370" s="78" t="str">
        <f>IF(AND('2.报价结算清单'!$P473&gt;0,'2.报价结算清单'!$B473&lt;&gt;0,'2.报价结算清单'!E473&lt;&gt;0),'2.报价结算清单'!E473,"")</f>
        <v/>
      </c>
      <c r="F370" s="105" t="str">
        <f>_xlfn.IFNA(IF($A370="","",IF(VLOOKUP($A370,'3.框架内物料'!$A:$I,2,0)="","",VLOOKUP($A370,'3.框架内物料'!$A:$I,2,0))),"")</f>
        <v/>
      </c>
      <c r="G370" s="87" t="str">
        <f>IF(AND('2.报价结算清单'!$P473&gt;0,'2.报价结算清单'!$B473&lt;&gt;0,'2.报价结算清单'!H473&lt;&gt;0),'2.报价结算清单'!H473,"")</f>
        <v/>
      </c>
      <c r="H370" s="122" t="str">
        <f>IF(AND('2.报价结算清单'!$P473&gt;0,'2.报价结算清单'!$B473&lt;&gt;0,'2.报价结算清单'!$F473&lt;&gt;0),'2.报价结算清单'!J473,"")</f>
        <v/>
      </c>
      <c r="I370" s="105" t="str">
        <f>IF(AND('2.报价结算清单'!$P473&gt;0,'2.报价结算清单'!$B473&lt;&gt;0,'2.报价结算清单'!$F473&lt;&gt;0),'2.报价结算清单'!L473,"")</f>
        <v/>
      </c>
      <c r="J370" s="105" t="str">
        <f>IF(AND('2.报价结算清单'!$P473&gt;0,'2.报价结算清单'!$B473&lt;&gt;0,'2.报价结算清单'!I473&lt;&gt;0),'2.报价结算清单'!I473,"")</f>
        <v/>
      </c>
      <c r="K370" s="105" t="str">
        <f>IF(AND('2.报价结算清单'!$P473&gt;0,'2.报价结算清单'!$B473&lt;&gt;0,'2.报价结算清单'!$F473&lt;&gt;0),'2.报价结算清单'!N473,"")</f>
        <v/>
      </c>
      <c r="L370" s="105" t="str">
        <f>IF(AND('2.报价结算清单'!$P473&gt;0,'2.报价结算清单'!$B473&lt;&gt;0,'2.报价结算清单'!I473&lt;&gt;0),"天","")</f>
        <v/>
      </c>
      <c r="M370" s="80" t="str">
        <f t="shared" si="14"/>
        <v/>
      </c>
      <c r="N370" s="78" t="str">
        <f t="shared" si="15"/>
        <v/>
      </c>
      <c r="O370" s="78" t="str">
        <f>IF(AND('2.报价结算清单'!$P473&gt;0,'2.报价结算清单'!$B473&lt;&gt;0,'2.报价结算清单'!S473&lt;&gt;0),'2.报价结算清单'!S473,"")</f>
        <v/>
      </c>
      <c r="P370" s="78" t="str">
        <f>IF(AND('2.报价结算清单'!$P473&gt;0,'2.报价结算清单'!$B473&lt;&gt;0,'2.报价结算清单'!T473&lt;&gt;0),'2.报价结算清单'!T473,"")</f>
        <v/>
      </c>
      <c r="Q370" s="78" t="str">
        <f>IF(F370="",J370,VLOOKUP(F370,框架条目清单!A:K,4,FALSE))</f>
        <v/>
      </c>
      <c r="R370" s="106" t="str">
        <f>IF($A370="","",'2.报价结算清单'!$K$183)</f>
        <v/>
      </c>
      <c r="S370" s="80" t="str">
        <f>IF($A370="","",'2.报价结算清单'!$E$183)</f>
        <v/>
      </c>
      <c r="T370" s="78" t="str">
        <f>IF(F370="","",VLOOKUP(F370,框架条目清单!A:K,7,FALSE))</f>
        <v/>
      </c>
      <c r="U370" s="78" t="str">
        <f>IF(F370="","",VLOOKUP(F370,框架条目清单!A:K,8,FALSE))</f>
        <v/>
      </c>
      <c r="V370" s="78" t="str">
        <f>IF(F370="","",VLOOKUP(F370,框架条目清单!A:K,9,FALSE))</f>
        <v/>
      </c>
    </row>
    <row r="371" spans="1:22">
      <c r="A371" s="78" t="str">
        <f>IF(AND('2.报价结算清单'!$P474&gt;0,'2.报价结算清单'!$B474&lt;&gt;0,'2.报价结算清单'!$F474&lt;&gt;0),'2.报价结算清单'!$F474,"")</f>
        <v/>
      </c>
      <c r="B371" s="78" t="str">
        <f>_xlfn.IFNA(VLOOKUP(A371,'3.框架内物料'!$A:$I,3,0),A371)</f>
        <v/>
      </c>
      <c r="C371" s="78" t="str">
        <f>IF(AND('2.报价结算清单'!$P474&gt;0,'2.报价结算清单'!$B474&lt;&gt;0,'2.报价结算清单'!C474&lt;&gt;0),'2.报价结算清单'!C474,"")</f>
        <v/>
      </c>
      <c r="D371" s="78" t="str">
        <f>IF(AND('2.报价结算清单'!$P474&gt;0,'2.报价结算清单'!$B474&lt;&gt;0,'2.报价结算清单'!D474&lt;&gt;0),'2.报价结算清单'!D474,"")</f>
        <v/>
      </c>
      <c r="E371" s="78" t="str">
        <f>IF(AND('2.报价结算清单'!$P474&gt;0,'2.报价结算清单'!$B474&lt;&gt;0,'2.报价结算清单'!E474&lt;&gt;0),'2.报价结算清单'!E474,"")</f>
        <v/>
      </c>
      <c r="F371" s="105" t="str">
        <f>_xlfn.IFNA(IF($A371="","",IF(VLOOKUP($A371,'3.框架内物料'!$A:$I,2,0)="","",VLOOKUP($A371,'3.框架内物料'!$A:$I,2,0))),"")</f>
        <v/>
      </c>
      <c r="G371" s="87" t="str">
        <f>IF(AND('2.报价结算清单'!$P474&gt;0,'2.报价结算清单'!$B474&lt;&gt;0,'2.报价结算清单'!H474&lt;&gt;0),'2.报价结算清单'!H474,"")</f>
        <v/>
      </c>
      <c r="H371" s="122" t="str">
        <f>IF(AND('2.报价结算清单'!$P474&gt;0,'2.报价结算清单'!$B474&lt;&gt;0,'2.报价结算清单'!$F474&lt;&gt;0),'2.报价结算清单'!J474,"")</f>
        <v/>
      </c>
      <c r="I371" s="105" t="str">
        <f>IF(AND('2.报价结算清单'!$P474&gt;0,'2.报价结算清单'!$B474&lt;&gt;0,'2.报价结算清单'!$F474&lt;&gt;0),'2.报价结算清单'!L474,"")</f>
        <v/>
      </c>
      <c r="J371" s="105" t="str">
        <f>IF(AND('2.报价结算清单'!$P474&gt;0,'2.报价结算清单'!$B474&lt;&gt;0,'2.报价结算清单'!I474&lt;&gt;0),'2.报价结算清单'!I474,"")</f>
        <v/>
      </c>
      <c r="K371" s="105" t="str">
        <f>IF(AND('2.报价结算清单'!$P474&gt;0,'2.报价结算清单'!$B474&lt;&gt;0,'2.报价结算清单'!$F474&lt;&gt;0),'2.报价结算清单'!N474,"")</f>
        <v/>
      </c>
      <c r="L371" s="105" t="str">
        <f>IF(AND('2.报价结算清单'!$P474&gt;0,'2.报价结算清单'!$B474&lt;&gt;0,'2.报价结算清单'!I474&lt;&gt;0),"天","")</f>
        <v/>
      </c>
      <c r="M371" s="80" t="str">
        <f t="shared" si="14"/>
        <v/>
      </c>
      <c r="N371" s="78" t="str">
        <f t="shared" si="15"/>
        <v/>
      </c>
      <c r="O371" s="78" t="str">
        <f>IF(AND('2.报价结算清单'!$P474&gt;0,'2.报价结算清单'!$B474&lt;&gt;0,'2.报价结算清单'!S474&lt;&gt;0),'2.报价结算清单'!S474,"")</f>
        <v/>
      </c>
      <c r="P371" s="78" t="str">
        <f>IF(AND('2.报价结算清单'!$P474&gt;0,'2.报价结算清单'!$B474&lt;&gt;0,'2.报价结算清单'!T474&lt;&gt;0),'2.报价结算清单'!T474,"")</f>
        <v/>
      </c>
      <c r="Q371" s="78" t="str">
        <f>IF(F371="",J371,VLOOKUP(F371,框架条目清单!A:K,4,FALSE))</f>
        <v/>
      </c>
      <c r="R371" s="106" t="str">
        <f>IF($A371="","",'2.报价结算清单'!$K$183)</f>
        <v/>
      </c>
      <c r="S371" s="80" t="str">
        <f>IF($A371="","",'2.报价结算清单'!$E$183)</f>
        <v/>
      </c>
      <c r="T371" s="78" t="str">
        <f>IF(F371="","",VLOOKUP(F371,框架条目清单!A:K,7,FALSE))</f>
        <v/>
      </c>
      <c r="U371" s="78" t="str">
        <f>IF(F371="","",VLOOKUP(F371,框架条目清单!A:K,8,FALSE))</f>
        <v/>
      </c>
      <c r="V371" s="78" t="str">
        <f>IF(F371="","",VLOOKUP(F371,框架条目清单!A:K,9,FALSE))</f>
        <v/>
      </c>
    </row>
    <row r="372" spans="1:22">
      <c r="A372" s="78" t="str">
        <f>IF(AND('2.报价结算清单'!$P475&gt;0,'2.报价结算清单'!$B475&lt;&gt;0,'2.报价结算清单'!$F475&lt;&gt;0),'2.报价结算清单'!$F475,"")</f>
        <v/>
      </c>
      <c r="B372" s="78" t="str">
        <f>_xlfn.IFNA(VLOOKUP(A372,'3.框架内物料'!$A:$I,3,0),A372)</f>
        <v/>
      </c>
      <c r="C372" s="78" t="str">
        <f>IF(AND('2.报价结算清单'!$P475&gt;0,'2.报价结算清单'!$B475&lt;&gt;0,'2.报价结算清单'!C475&lt;&gt;0),'2.报价结算清单'!C475,"")</f>
        <v/>
      </c>
      <c r="D372" s="78" t="str">
        <f>IF(AND('2.报价结算清单'!$P475&gt;0,'2.报价结算清单'!$B475&lt;&gt;0,'2.报价结算清单'!D475&lt;&gt;0),'2.报价结算清单'!D475,"")</f>
        <v/>
      </c>
      <c r="E372" s="78" t="str">
        <f>IF(AND('2.报价结算清单'!$P475&gt;0,'2.报价结算清单'!$B475&lt;&gt;0,'2.报价结算清单'!E475&lt;&gt;0),'2.报价结算清单'!E475,"")</f>
        <v/>
      </c>
      <c r="F372" s="105" t="str">
        <f>_xlfn.IFNA(IF($A372="","",IF(VLOOKUP($A372,'3.框架内物料'!$A:$I,2,0)="","",VLOOKUP($A372,'3.框架内物料'!$A:$I,2,0))),"")</f>
        <v/>
      </c>
      <c r="G372" s="87" t="str">
        <f>IF(AND('2.报价结算清单'!$P475&gt;0,'2.报价结算清单'!$B475&lt;&gt;0,'2.报价结算清单'!H475&lt;&gt;0),'2.报价结算清单'!H475,"")</f>
        <v/>
      </c>
      <c r="H372" s="122" t="str">
        <f>IF(AND('2.报价结算清单'!$P475&gt;0,'2.报价结算清单'!$B475&lt;&gt;0,'2.报价结算清单'!$F475&lt;&gt;0),'2.报价结算清单'!J475,"")</f>
        <v/>
      </c>
      <c r="I372" s="105" t="str">
        <f>IF(AND('2.报价结算清单'!$P475&gt;0,'2.报价结算清单'!$B475&lt;&gt;0,'2.报价结算清单'!$F475&lt;&gt;0),'2.报价结算清单'!L475,"")</f>
        <v/>
      </c>
      <c r="J372" s="105" t="str">
        <f>IF(AND('2.报价结算清单'!$P475&gt;0,'2.报价结算清单'!$B475&lt;&gt;0,'2.报价结算清单'!I475&lt;&gt;0),'2.报价结算清单'!I475,"")</f>
        <v/>
      </c>
      <c r="K372" s="105" t="str">
        <f>IF(AND('2.报价结算清单'!$P475&gt;0,'2.报价结算清单'!$B475&lt;&gt;0,'2.报价结算清单'!$F475&lt;&gt;0),'2.报价结算清单'!N475,"")</f>
        <v/>
      </c>
      <c r="L372" s="105" t="str">
        <f>IF(AND('2.报价结算清单'!$P475&gt;0,'2.报价结算清单'!$B475&lt;&gt;0,'2.报价结算清单'!I475&lt;&gt;0),"天","")</f>
        <v/>
      </c>
      <c r="M372" s="80" t="str">
        <f t="shared" si="14"/>
        <v/>
      </c>
      <c r="N372" s="78" t="str">
        <f t="shared" si="15"/>
        <v/>
      </c>
      <c r="O372" s="78" t="str">
        <f>IF(AND('2.报价结算清单'!$P475&gt;0,'2.报价结算清单'!$B475&lt;&gt;0,'2.报价结算清单'!S475&lt;&gt;0),'2.报价结算清单'!S475,"")</f>
        <v/>
      </c>
      <c r="P372" s="78" t="str">
        <f>IF(AND('2.报价结算清单'!$P475&gt;0,'2.报价结算清单'!$B475&lt;&gt;0,'2.报价结算清单'!T475&lt;&gt;0),'2.报价结算清单'!T475,"")</f>
        <v/>
      </c>
      <c r="Q372" s="78" t="str">
        <f>IF(F372="",J372,VLOOKUP(F372,框架条目清单!A:K,4,FALSE))</f>
        <v/>
      </c>
      <c r="R372" s="106" t="str">
        <f>IF($A372="","",'2.报价结算清单'!$K$183)</f>
        <v/>
      </c>
      <c r="S372" s="80" t="str">
        <f>IF($A372="","",'2.报价结算清单'!$E$183)</f>
        <v/>
      </c>
      <c r="T372" s="78" t="str">
        <f>IF(F372="","",VLOOKUP(F372,框架条目清单!A:K,7,FALSE))</f>
        <v/>
      </c>
      <c r="U372" s="78" t="str">
        <f>IF(F372="","",VLOOKUP(F372,框架条目清单!A:K,8,FALSE))</f>
        <v/>
      </c>
      <c r="V372" s="78" t="str">
        <f>IF(F372="","",VLOOKUP(F372,框架条目清单!A:K,9,FALSE))</f>
        <v/>
      </c>
    </row>
    <row r="373" spans="1:22">
      <c r="A373" s="78" t="str">
        <f>IF(AND('2.报价结算清单'!$P476&gt;0,'2.报价结算清单'!$B476&lt;&gt;0,'2.报价结算清单'!$F476&lt;&gt;0),'2.报价结算清单'!$F476,"")</f>
        <v/>
      </c>
      <c r="B373" s="78" t="str">
        <f>_xlfn.IFNA(VLOOKUP(A373,'3.框架内物料'!$A:$I,3,0),A373)</f>
        <v/>
      </c>
      <c r="C373" s="78" t="str">
        <f>IF(AND('2.报价结算清单'!$P476&gt;0,'2.报价结算清单'!$B476&lt;&gt;0,'2.报价结算清单'!C476&lt;&gt;0),'2.报价结算清单'!C476,"")</f>
        <v/>
      </c>
      <c r="D373" s="78" t="str">
        <f>IF(AND('2.报价结算清单'!$P476&gt;0,'2.报价结算清单'!$B476&lt;&gt;0,'2.报价结算清单'!D476&lt;&gt;0),'2.报价结算清单'!D476,"")</f>
        <v/>
      </c>
      <c r="E373" s="78" t="str">
        <f>IF(AND('2.报价结算清单'!$P476&gt;0,'2.报价结算清单'!$B476&lt;&gt;0,'2.报价结算清单'!E476&lt;&gt;0),'2.报价结算清单'!E476,"")</f>
        <v/>
      </c>
      <c r="F373" s="105" t="str">
        <f>_xlfn.IFNA(IF($A373="","",IF(VLOOKUP($A373,'3.框架内物料'!$A:$I,2,0)="","",VLOOKUP($A373,'3.框架内物料'!$A:$I,2,0))),"")</f>
        <v/>
      </c>
      <c r="G373" s="87" t="str">
        <f>IF(AND('2.报价结算清单'!$P476&gt;0,'2.报价结算清单'!$B476&lt;&gt;0,'2.报价结算清单'!H476&lt;&gt;0),'2.报价结算清单'!H476,"")</f>
        <v/>
      </c>
      <c r="H373" s="122" t="str">
        <f>IF(AND('2.报价结算清单'!$P476&gt;0,'2.报价结算清单'!$B476&lt;&gt;0,'2.报价结算清单'!$F476&lt;&gt;0),'2.报价结算清单'!J476,"")</f>
        <v/>
      </c>
      <c r="I373" s="105" t="str">
        <f>IF(AND('2.报价结算清单'!$P476&gt;0,'2.报价结算清单'!$B476&lt;&gt;0,'2.报价结算清单'!$F476&lt;&gt;0),'2.报价结算清单'!L476,"")</f>
        <v/>
      </c>
      <c r="J373" s="105" t="str">
        <f>IF(AND('2.报价结算清单'!$P476&gt;0,'2.报价结算清单'!$B476&lt;&gt;0,'2.报价结算清单'!I476&lt;&gt;0),'2.报价结算清单'!I476,"")</f>
        <v/>
      </c>
      <c r="K373" s="105" t="str">
        <f>IF(AND('2.报价结算清单'!$P476&gt;0,'2.报价结算清单'!$B476&lt;&gt;0,'2.报价结算清单'!$F476&lt;&gt;0),'2.报价结算清单'!N476,"")</f>
        <v/>
      </c>
      <c r="L373" s="105" t="str">
        <f>IF(AND('2.报价结算清单'!$P476&gt;0,'2.报价结算清单'!$B476&lt;&gt;0,'2.报价结算清单'!I476&lt;&gt;0),"天","")</f>
        <v/>
      </c>
      <c r="M373" s="80" t="str">
        <f t="shared" si="14"/>
        <v/>
      </c>
      <c r="N373" s="78" t="str">
        <f t="shared" si="15"/>
        <v/>
      </c>
      <c r="O373" s="78" t="str">
        <f>IF(AND('2.报价结算清单'!$P476&gt;0,'2.报价结算清单'!$B476&lt;&gt;0,'2.报价结算清单'!S476&lt;&gt;0),'2.报价结算清单'!S476,"")</f>
        <v/>
      </c>
      <c r="P373" s="78" t="str">
        <f>IF(AND('2.报价结算清单'!$P476&gt;0,'2.报价结算清单'!$B476&lt;&gt;0,'2.报价结算清单'!T476&lt;&gt;0),'2.报价结算清单'!T476,"")</f>
        <v/>
      </c>
      <c r="Q373" s="78" t="str">
        <f>IF(F373="",J373,VLOOKUP(F373,框架条目清单!A:K,4,FALSE))</f>
        <v/>
      </c>
      <c r="R373" s="106" t="str">
        <f>IF($A373="","",'2.报价结算清单'!$K$183)</f>
        <v/>
      </c>
      <c r="S373" s="80" t="str">
        <f>IF($A373="","",'2.报价结算清单'!$E$183)</f>
        <v/>
      </c>
      <c r="T373" s="78" t="str">
        <f>IF(F373="","",VLOOKUP(F373,框架条目清单!A:K,7,FALSE))</f>
        <v/>
      </c>
      <c r="U373" s="78" t="str">
        <f>IF(F373="","",VLOOKUP(F373,框架条目清单!A:K,8,FALSE))</f>
        <v/>
      </c>
      <c r="V373" s="78" t="str">
        <f>IF(F373="","",VLOOKUP(F373,框架条目清单!A:K,9,FALSE))</f>
        <v/>
      </c>
    </row>
    <row r="374" spans="1:22">
      <c r="A374" s="78" t="str">
        <f>IF(AND('2.报价结算清单'!$P477&gt;0,'2.报价结算清单'!$B477&lt;&gt;0,'2.报价结算清单'!$F477&lt;&gt;0),'2.报价结算清单'!$F477,"")</f>
        <v/>
      </c>
      <c r="B374" s="78" t="str">
        <f>_xlfn.IFNA(VLOOKUP(A374,'3.框架内物料'!$A:$I,3,0),A374)</f>
        <v/>
      </c>
      <c r="C374" s="78" t="str">
        <f>IF(AND('2.报价结算清单'!$P477&gt;0,'2.报价结算清单'!$B477&lt;&gt;0,'2.报价结算清单'!C477&lt;&gt;0),'2.报价结算清单'!C477,"")</f>
        <v/>
      </c>
      <c r="D374" s="78" t="str">
        <f>IF(AND('2.报价结算清单'!$P477&gt;0,'2.报价结算清单'!$B477&lt;&gt;0,'2.报价结算清单'!D477&lt;&gt;0),'2.报价结算清单'!D477,"")</f>
        <v/>
      </c>
      <c r="E374" s="78" t="str">
        <f>IF(AND('2.报价结算清单'!$P477&gt;0,'2.报价结算清单'!$B477&lt;&gt;0,'2.报价结算清单'!E477&lt;&gt;0),'2.报价结算清单'!E477,"")</f>
        <v/>
      </c>
      <c r="F374" s="105" t="str">
        <f>_xlfn.IFNA(IF($A374="","",IF(VLOOKUP($A374,'3.框架内物料'!$A:$I,2,0)="","",VLOOKUP($A374,'3.框架内物料'!$A:$I,2,0))),"")</f>
        <v/>
      </c>
      <c r="G374" s="87" t="str">
        <f>IF(AND('2.报价结算清单'!$P477&gt;0,'2.报价结算清单'!$B477&lt;&gt;0,'2.报价结算清单'!H477&lt;&gt;0),'2.报价结算清单'!H477,"")</f>
        <v/>
      </c>
      <c r="H374" s="122" t="str">
        <f>IF(AND('2.报价结算清单'!$P477&gt;0,'2.报价结算清单'!$B477&lt;&gt;0,'2.报价结算清单'!$F477&lt;&gt;0),'2.报价结算清单'!J477,"")</f>
        <v/>
      </c>
      <c r="I374" s="105" t="str">
        <f>IF(AND('2.报价结算清单'!$P477&gt;0,'2.报价结算清单'!$B477&lt;&gt;0,'2.报价结算清单'!$F477&lt;&gt;0),'2.报价结算清单'!L477,"")</f>
        <v/>
      </c>
      <c r="J374" s="105" t="str">
        <f>IF(AND('2.报价结算清单'!$P477&gt;0,'2.报价结算清单'!$B477&lt;&gt;0,'2.报价结算清单'!I477&lt;&gt;0),'2.报价结算清单'!I477,"")</f>
        <v/>
      </c>
      <c r="K374" s="105" t="str">
        <f>IF(AND('2.报价结算清单'!$P477&gt;0,'2.报价结算清单'!$B477&lt;&gt;0,'2.报价结算清单'!$F477&lt;&gt;0),'2.报价结算清单'!N477,"")</f>
        <v/>
      </c>
      <c r="L374" s="105" t="str">
        <f>IF(AND('2.报价结算清单'!$P477&gt;0,'2.报价结算清单'!$B477&lt;&gt;0,'2.报价结算清单'!I477&lt;&gt;0),"天","")</f>
        <v/>
      </c>
      <c r="M374" s="80" t="str">
        <f t="shared" si="14"/>
        <v/>
      </c>
      <c r="N374" s="78" t="str">
        <f t="shared" si="15"/>
        <v/>
      </c>
      <c r="O374" s="78" t="str">
        <f>IF(AND('2.报价结算清单'!$P477&gt;0,'2.报价结算清单'!$B477&lt;&gt;0,'2.报价结算清单'!S477&lt;&gt;0),'2.报价结算清单'!S477,"")</f>
        <v/>
      </c>
      <c r="P374" s="78" t="str">
        <f>IF(AND('2.报价结算清单'!$P477&gt;0,'2.报价结算清单'!$B477&lt;&gt;0,'2.报价结算清单'!T477&lt;&gt;0),'2.报价结算清单'!T477,"")</f>
        <v/>
      </c>
      <c r="Q374" s="78" t="str">
        <f>IF(F374="",J374,VLOOKUP(F374,框架条目清单!A:K,4,FALSE))</f>
        <v/>
      </c>
      <c r="R374" s="106" t="str">
        <f>IF($A374="","",'2.报价结算清单'!$K$183)</f>
        <v/>
      </c>
      <c r="S374" s="80" t="str">
        <f>IF($A374="","",'2.报价结算清单'!$E$183)</f>
        <v/>
      </c>
      <c r="T374" s="78" t="str">
        <f>IF(F374="","",VLOOKUP(F374,框架条目清单!A:K,7,FALSE))</f>
        <v/>
      </c>
      <c r="U374" s="78" t="str">
        <f>IF(F374="","",VLOOKUP(F374,框架条目清单!A:K,8,FALSE))</f>
        <v/>
      </c>
      <c r="V374" s="78" t="str">
        <f>IF(F374="","",VLOOKUP(F374,框架条目清单!A:K,9,FALSE))</f>
        <v/>
      </c>
    </row>
    <row r="375" spans="1:22">
      <c r="A375" s="78" t="str">
        <f>IF(AND('2.报价结算清单'!$P478&gt;0,'2.报价结算清单'!$B478&lt;&gt;0,'2.报价结算清单'!$F478&lt;&gt;0),'2.报价结算清单'!$F478,"")</f>
        <v/>
      </c>
      <c r="B375" s="78" t="str">
        <f>_xlfn.IFNA(VLOOKUP(A375,'3.框架内物料'!$A:$I,3,0),A375)</f>
        <v/>
      </c>
      <c r="C375" s="78" t="str">
        <f>IF(AND('2.报价结算清单'!$P478&gt;0,'2.报价结算清单'!$B478&lt;&gt;0,'2.报价结算清单'!C478&lt;&gt;0),'2.报价结算清单'!C478,"")</f>
        <v/>
      </c>
      <c r="D375" s="78" t="str">
        <f>IF(AND('2.报价结算清单'!$P478&gt;0,'2.报价结算清单'!$B478&lt;&gt;0,'2.报价结算清单'!D478&lt;&gt;0),'2.报价结算清单'!D478,"")</f>
        <v/>
      </c>
      <c r="E375" s="78" t="str">
        <f>IF(AND('2.报价结算清单'!$P478&gt;0,'2.报价结算清单'!$B478&lt;&gt;0,'2.报价结算清单'!E478&lt;&gt;0),'2.报价结算清单'!E478,"")</f>
        <v/>
      </c>
      <c r="F375" s="105" t="str">
        <f>_xlfn.IFNA(IF($A375="","",IF(VLOOKUP($A375,'3.框架内物料'!$A:$I,2,0)="","",VLOOKUP($A375,'3.框架内物料'!$A:$I,2,0))),"")</f>
        <v/>
      </c>
      <c r="G375" s="87" t="str">
        <f>IF(AND('2.报价结算清单'!$P478&gt;0,'2.报价结算清单'!$B478&lt;&gt;0,'2.报价结算清单'!H478&lt;&gt;0),'2.报价结算清单'!H478,"")</f>
        <v/>
      </c>
      <c r="H375" s="122" t="str">
        <f>IF(AND('2.报价结算清单'!$P478&gt;0,'2.报价结算清单'!$B478&lt;&gt;0,'2.报价结算清单'!$F478&lt;&gt;0),'2.报价结算清单'!J478,"")</f>
        <v/>
      </c>
      <c r="I375" s="105" t="str">
        <f>IF(AND('2.报价结算清单'!$P478&gt;0,'2.报价结算清单'!$B478&lt;&gt;0,'2.报价结算清单'!$F478&lt;&gt;0),'2.报价结算清单'!L478,"")</f>
        <v/>
      </c>
      <c r="J375" s="105" t="str">
        <f>IF(AND('2.报价结算清单'!$P478&gt;0,'2.报价结算清单'!$B478&lt;&gt;0,'2.报价结算清单'!I478&lt;&gt;0),'2.报价结算清单'!I478,"")</f>
        <v/>
      </c>
      <c r="K375" s="105" t="str">
        <f>IF(AND('2.报价结算清单'!$P478&gt;0,'2.报价结算清单'!$B478&lt;&gt;0,'2.报价结算清单'!$F478&lt;&gt;0),'2.报价结算清单'!N478,"")</f>
        <v/>
      </c>
      <c r="L375" s="105" t="str">
        <f>IF(AND('2.报价结算清单'!$P478&gt;0,'2.报价结算清单'!$B478&lt;&gt;0,'2.报价结算清单'!I478&lt;&gt;0),"天","")</f>
        <v/>
      </c>
      <c r="M375" s="80" t="str">
        <f t="shared" si="14"/>
        <v/>
      </c>
      <c r="N375" s="78" t="str">
        <f t="shared" si="15"/>
        <v/>
      </c>
      <c r="O375" s="78" t="str">
        <f>IF(AND('2.报价结算清单'!$P478&gt;0,'2.报价结算清单'!$B478&lt;&gt;0,'2.报价结算清单'!S478&lt;&gt;0),'2.报价结算清单'!S478,"")</f>
        <v/>
      </c>
      <c r="P375" s="78" t="str">
        <f>IF(AND('2.报价结算清单'!$P478&gt;0,'2.报价结算清单'!$B478&lt;&gt;0,'2.报价结算清单'!T478&lt;&gt;0),'2.报价结算清单'!T478,"")</f>
        <v/>
      </c>
      <c r="Q375" s="78" t="str">
        <f>IF(F375="",J375,VLOOKUP(F375,框架条目清单!A:K,4,FALSE))</f>
        <v/>
      </c>
      <c r="R375" s="106" t="str">
        <f>IF($A375="","",'2.报价结算清单'!$K$183)</f>
        <v/>
      </c>
      <c r="S375" s="80" t="str">
        <f>IF($A375="","",'2.报价结算清单'!$E$183)</f>
        <v/>
      </c>
      <c r="T375" s="78" t="str">
        <f>IF(F375="","",VLOOKUP(F375,框架条目清单!A:K,7,FALSE))</f>
        <v/>
      </c>
      <c r="U375" s="78" t="str">
        <f>IF(F375="","",VLOOKUP(F375,框架条目清单!A:K,8,FALSE))</f>
        <v/>
      </c>
      <c r="V375" s="78" t="str">
        <f>IF(F375="","",VLOOKUP(F375,框架条目清单!A:K,9,FALSE))</f>
        <v/>
      </c>
    </row>
    <row r="376" spans="1:22">
      <c r="A376" s="78" t="str">
        <f>IF(AND('2.报价结算清单'!$P479&gt;0,'2.报价结算清单'!$B479&lt;&gt;0,'2.报价结算清单'!$F479&lt;&gt;0),'2.报价结算清单'!$F479,"")</f>
        <v/>
      </c>
      <c r="B376" s="78" t="str">
        <f>_xlfn.IFNA(VLOOKUP(A376,'3.框架内物料'!$A:$I,3,0),A376)</f>
        <v/>
      </c>
      <c r="C376" s="78" t="str">
        <f>IF(AND('2.报价结算清单'!$P479&gt;0,'2.报价结算清单'!$B479&lt;&gt;0,'2.报价结算清单'!C479&lt;&gt;0),'2.报价结算清单'!C479,"")</f>
        <v/>
      </c>
      <c r="D376" s="78" t="str">
        <f>IF(AND('2.报价结算清单'!$P479&gt;0,'2.报价结算清单'!$B479&lt;&gt;0,'2.报价结算清单'!D479&lt;&gt;0),'2.报价结算清单'!D479,"")</f>
        <v/>
      </c>
      <c r="E376" s="78" t="str">
        <f>IF(AND('2.报价结算清单'!$P479&gt;0,'2.报价结算清单'!$B479&lt;&gt;0,'2.报价结算清单'!E479&lt;&gt;0),'2.报价结算清单'!E479,"")</f>
        <v/>
      </c>
      <c r="F376" s="105" t="str">
        <f>_xlfn.IFNA(IF($A376="","",IF(VLOOKUP($A376,'3.框架内物料'!$A:$I,2,0)="","",VLOOKUP($A376,'3.框架内物料'!$A:$I,2,0))),"")</f>
        <v/>
      </c>
      <c r="G376" s="87" t="str">
        <f>IF(AND('2.报价结算清单'!$P479&gt;0,'2.报价结算清单'!$B479&lt;&gt;0,'2.报价结算清单'!H479&lt;&gt;0),'2.报价结算清单'!H479,"")</f>
        <v/>
      </c>
      <c r="H376" s="122" t="str">
        <f>IF(AND('2.报价结算清单'!$P479&gt;0,'2.报价结算清单'!$B479&lt;&gt;0,'2.报价结算清单'!$F479&lt;&gt;0),'2.报价结算清单'!J479,"")</f>
        <v/>
      </c>
      <c r="I376" s="105" t="str">
        <f>IF(AND('2.报价结算清单'!$P479&gt;0,'2.报价结算清单'!$B479&lt;&gt;0,'2.报价结算清单'!$F479&lt;&gt;0),'2.报价结算清单'!L479,"")</f>
        <v/>
      </c>
      <c r="J376" s="105" t="str">
        <f>IF(AND('2.报价结算清单'!$P479&gt;0,'2.报价结算清单'!$B479&lt;&gt;0,'2.报价结算清单'!I479&lt;&gt;0),'2.报价结算清单'!I479,"")</f>
        <v/>
      </c>
      <c r="K376" s="105" t="str">
        <f>IF(AND('2.报价结算清单'!$P479&gt;0,'2.报价结算清单'!$B479&lt;&gt;0,'2.报价结算清单'!$F479&lt;&gt;0),'2.报价结算清单'!N479,"")</f>
        <v/>
      </c>
      <c r="L376" s="105" t="str">
        <f>IF(AND('2.报价结算清单'!$P479&gt;0,'2.报价结算清单'!$B479&lt;&gt;0,'2.报价结算清单'!I479&lt;&gt;0),"天","")</f>
        <v/>
      </c>
      <c r="M376" s="80" t="str">
        <f t="shared" si="14"/>
        <v/>
      </c>
      <c r="N376" s="78" t="str">
        <f t="shared" si="15"/>
        <v/>
      </c>
      <c r="O376" s="78" t="str">
        <f>IF(AND('2.报价结算清单'!$P479&gt;0,'2.报价结算清单'!$B479&lt;&gt;0,'2.报价结算清单'!S479&lt;&gt;0),'2.报价结算清单'!S479,"")</f>
        <v/>
      </c>
      <c r="P376" s="78" t="str">
        <f>IF(AND('2.报价结算清单'!$P479&gt;0,'2.报价结算清单'!$B479&lt;&gt;0,'2.报价结算清单'!T479&lt;&gt;0),'2.报价结算清单'!T479,"")</f>
        <v/>
      </c>
      <c r="Q376" s="78" t="str">
        <f>IF(F376="",J376,VLOOKUP(F376,框架条目清单!A:K,4,FALSE))</f>
        <v/>
      </c>
      <c r="R376" s="106" t="str">
        <f>IF($A376="","",'2.报价结算清单'!$K$183)</f>
        <v/>
      </c>
      <c r="S376" s="80" t="str">
        <f>IF($A376="","",'2.报价结算清单'!$E$183)</f>
        <v/>
      </c>
      <c r="T376" s="78" t="str">
        <f>IF(F376="","",VLOOKUP(F376,框架条目清单!A:K,7,FALSE))</f>
        <v/>
      </c>
      <c r="U376" s="78" t="str">
        <f>IF(F376="","",VLOOKUP(F376,框架条目清单!A:K,8,FALSE))</f>
        <v/>
      </c>
      <c r="V376" s="78" t="str">
        <f>IF(F376="","",VLOOKUP(F376,框架条目清单!A:K,9,FALSE))</f>
        <v/>
      </c>
    </row>
    <row r="377" spans="1:22">
      <c r="A377" s="78" t="str">
        <f>IF(AND('2.报价结算清单'!$P480&gt;0,'2.报价结算清单'!$B480&lt;&gt;0,'2.报价结算清单'!$F480&lt;&gt;0),'2.报价结算清单'!$F480,"")</f>
        <v/>
      </c>
      <c r="B377" s="78" t="str">
        <f>_xlfn.IFNA(VLOOKUP(A377,'3.框架内物料'!$A:$I,3,0),A377)</f>
        <v/>
      </c>
      <c r="C377" s="78" t="str">
        <f>IF(AND('2.报价结算清单'!$P480&gt;0,'2.报价结算清单'!$B480&lt;&gt;0,'2.报价结算清单'!C480&lt;&gt;0),'2.报价结算清单'!C480,"")</f>
        <v/>
      </c>
      <c r="D377" s="78" t="str">
        <f>IF(AND('2.报价结算清单'!$P480&gt;0,'2.报价结算清单'!$B480&lt;&gt;0,'2.报价结算清单'!D480&lt;&gt;0),'2.报价结算清单'!D480,"")</f>
        <v/>
      </c>
      <c r="E377" s="78" t="str">
        <f>IF(AND('2.报价结算清单'!$P480&gt;0,'2.报价结算清单'!$B480&lt;&gt;0,'2.报价结算清单'!E480&lt;&gt;0),'2.报价结算清单'!E480,"")</f>
        <v/>
      </c>
      <c r="F377" s="105" t="str">
        <f>_xlfn.IFNA(IF($A377="","",IF(VLOOKUP($A377,'3.框架内物料'!$A:$I,2,0)="","",VLOOKUP($A377,'3.框架内物料'!$A:$I,2,0))),"")</f>
        <v/>
      </c>
      <c r="G377" s="87" t="str">
        <f>IF(AND('2.报价结算清单'!$P480&gt;0,'2.报价结算清单'!$B480&lt;&gt;0,'2.报价结算清单'!H480&lt;&gt;0),'2.报价结算清单'!H480,"")</f>
        <v/>
      </c>
      <c r="H377" s="122" t="str">
        <f>IF(AND('2.报价结算清单'!$P480&gt;0,'2.报价结算清单'!$B480&lt;&gt;0,'2.报价结算清单'!$F480&lt;&gt;0),'2.报价结算清单'!J480,"")</f>
        <v/>
      </c>
      <c r="I377" s="105" t="str">
        <f>IF(AND('2.报价结算清单'!$P480&gt;0,'2.报价结算清单'!$B480&lt;&gt;0,'2.报价结算清单'!$F480&lt;&gt;0),'2.报价结算清单'!L480,"")</f>
        <v/>
      </c>
      <c r="J377" s="105" t="str">
        <f>IF(AND('2.报价结算清单'!$P480&gt;0,'2.报价结算清单'!$B480&lt;&gt;0,'2.报价结算清单'!I480&lt;&gt;0),'2.报价结算清单'!I480,"")</f>
        <v/>
      </c>
      <c r="K377" s="105" t="str">
        <f>IF(AND('2.报价结算清单'!$P480&gt;0,'2.报价结算清单'!$B480&lt;&gt;0,'2.报价结算清单'!$F480&lt;&gt;0),'2.报价结算清单'!N480,"")</f>
        <v/>
      </c>
      <c r="L377" s="105" t="str">
        <f>IF(AND('2.报价结算清单'!$P480&gt;0,'2.报价结算清单'!$B480&lt;&gt;0,'2.报价结算清单'!I480&lt;&gt;0),"天","")</f>
        <v/>
      </c>
      <c r="M377" s="80" t="str">
        <f t="shared" si="14"/>
        <v/>
      </c>
      <c r="N377" s="78" t="str">
        <f t="shared" si="15"/>
        <v/>
      </c>
      <c r="O377" s="78" t="str">
        <f>IF(AND('2.报价结算清单'!$P480&gt;0,'2.报价结算清单'!$B480&lt;&gt;0,'2.报价结算清单'!S480&lt;&gt;0),'2.报价结算清单'!S480,"")</f>
        <v/>
      </c>
      <c r="P377" s="78" t="str">
        <f>IF(AND('2.报价结算清单'!$P480&gt;0,'2.报价结算清单'!$B480&lt;&gt;0,'2.报价结算清单'!T480&lt;&gt;0),'2.报价结算清单'!T480,"")</f>
        <v/>
      </c>
      <c r="Q377" s="78" t="str">
        <f>IF(F377="",J377,VLOOKUP(F377,框架条目清单!A:K,4,FALSE))</f>
        <v/>
      </c>
      <c r="R377" s="106" t="str">
        <f>IF($A377="","",'2.报价结算清单'!$K$183)</f>
        <v/>
      </c>
      <c r="S377" s="80" t="str">
        <f>IF($A377="","",'2.报价结算清单'!$E$183)</f>
        <v/>
      </c>
      <c r="T377" s="78" t="str">
        <f>IF(F377="","",VLOOKUP(F377,框架条目清单!A:K,7,FALSE))</f>
        <v/>
      </c>
      <c r="U377" s="78" t="str">
        <f>IF(F377="","",VLOOKUP(F377,框架条目清单!A:K,8,FALSE))</f>
        <v/>
      </c>
      <c r="V377" s="78" t="str">
        <f>IF(F377="","",VLOOKUP(F377,框架条目清单!A:K,9,FALSE))</f>
        <v/>
      </c>
    </row>
    <row r="378" spans="1:22">
      <c r="A378" s="78" t="str">
        <f>IF(AND('2.报价结算清单'!$P481&gt;0,'2.报价结算清单'!$B481&lt;&gt;0,'2.报价结算清单'!$F481&lt;&gt;0),'2.报价结算清单'!$F481,"")</f>
        <v/>
      </c>
      <c r="B378" s="78" t="str">
        <f>_xlfn.IFNA(VLOOKUP(A378,'3.框架内物料'!$A:$I,3,0),A378)</f>
        <v/>
      </c>
      <c r="C378" s="78" t="str">
        <f>IF(AND('2.报价结算清单'!$P481&gt;0,'2.报价结算清单'!$B481&lt;&gt;0,'2.报价结算清单'!C481&lt;&gt;0),'2.报价结算清单'!C481,"")</f>
        <v/>
      </c>
      <c r="D378" s="78" t="str">
        <f>IF(AND('2.报价结算清单'!$P481&gt;0,'2.报价结算清单'!$B481&lt;&gt;0,'2.报价结算清单'!D481&lt;&gt;0),'2.报价结算清单'!D481,"")</f>
        <v/>
      </c>
      <c r="E378" s="78" t="str">
        <f>IF(AND('2.报价结算清单'!$P481&gt;0,'2.报价结算清单'!$B481&lt;&gt;0,'2.报价结算清单'!E481&lt;&gt;0),'2.报价结算清单'!E481,"")</f>
        <v/>
      </c>
      <c r="F378" s="105" t="str">
        <f>_xlfn.IFNA(IF($A378="","",IF(VLOOKUP($A378,'3.框架内物料'!$A:$I,2,0)="","",VLOOKUP($A378,'3.框架内物料'!$A:$I,2,0))),"")</f>
        <v/>
      </c>
      <c r="G378" s="87" t="str">
        <f>IF(AND('2.报价结算清单'!$P481&gt;0,'2.报价结算清单'!$B481&lt;&gt;0,'2.报价结算清单'!H481&lt;&gt;0),'2.报价结算清单'!H481,"")</f>
        <v/>
      </c>
      <c r="H378" s="122" t="str">
        <f>IF(AND('2.报价结算清单'!$P481&gt;0,'2.报价结算清单'!$B481&lt;&gt;0,'2.报价结算清单'!$F481&lt;&gt;0),'2.报价结算清单'!J481,"")</f>
        <v/>
      </c>
      <c r="I378" s="105" t="str">
        <f>IF(AND('2.报价结算清单'!$P481&gt;0,'2.报价结算清单'!$B481&lt;&gt;0,'2.报价结算清单'!$F481&lt;&gt;0),'2.报价结算清单'!L481,"")</f>
        <v/>
      </c>
      <c r="J378" s="105" t="str">
        <f>IF(AND('2.报价结算清单'!$P481&gt;0,'2.报价结算清单'!$B481&lt;&gt;0,'2.报价结算清单'!I481&lt;&gt;0),'2.报价结算清单'!I481,"")</f>
        <v/>
      </c>
      <c r="K378" s="105" t="str">
        <f>IF(AND('2.报价结算清单'!$P481&gt;0,'2.报价结算清单'!$B481&lt;&gt;0,'2.报价结算清单'!$F481&lt;&gt;0),'2.报价结算清单'!N481,"")</f>
        <v/>
      </c>
      <c r="L378" s="105" t="str">
        <f>IF(AND('2.报价结算清单'!$P481&gt;0,'2.报价结算清单'!$B481&lt;&gt;0,'2.报价结算清单'!I481&lt;&gt;0),"天","")</f>
        <v/>
      </c>
      <c r="M378" s="80" t="str">
        <f t="shared" si="14"/>
        <v/>
      </c>
      <c r="N378" s="78" t="str">
        <f t="shared" si="15"/>
        <v/>
      </c>
      <c r="O378" s="78" t="str">
        <f>IF(AND('2.报价结算清单'!$P481&gt;0,'2.报价结算清单'!$B481&lt;&gt;0,'2.报价结算清单'!S481&lt;&gt;0),'2.报价结算清单'!S481,"")</f>
        <v/>
      </c>
      <c r="P378" s="78" t="str">
        <f>IF(AND('2.报价结算清单'!$P481&gt;0,'2.报价结算清单'!$B481&lt;&gt;0,'2.报价结算清单'!T481&lt;&gt;0),'2.报价结算清单'!T481,"")</f>
        <v/>
      </c>
      <c r="Q378" s="78" t="str">
        <f>IF(F378="",J378,VLOOKUP(F378,框架条目清单!A:K,4,FALSE))</f>
        <v/>
      </c>
      <c r="R378" s="106" t="str">
        <f>IF($A378="","",'2.报价结算清单'!$K$183)</f>
        <v/>
      </c>
      <c r="S378" s="80" t="str">
        <f>IF($A378="","",'2.报价结算清单'!$E$183)</f>
        <v/>
      </c>
      <c r="T378" s="78" t="str">
        <f>IF(F378="","",VLOOKUP(F378,框架条目清单!A:K,7,FALSE))</f>
        <v/>
      </c>
      <c r="U378" s="78" t="str">
        <f>IF(F378="","",VLOOKUP(F378,框架条目清单!A:K,8,FALSE))</f>
        <v/>
      </c>
      <c r="V378" s="78" t="str">
        <f>IF(F378="","",VLOOKUP(F378,框架条目清单!A:K,9,FALSE))</f>
        <v/>
      </c>
    </row>
    <row r="379" spans="1:22">
      <c r="A379" s="78" t="str">
        <f>IF(AND('2.报价结算清单'!$P482&gt;0,'2.报价结算清单'!$B482&lt;&gt;0,'2.报价结算清单'!$F482&lt;&gt;0),'2.报价结算清单'!$F482,"")</f>
        <v/>
      </c>
      <c r="B379" s="78" t="str">
        <f>_xlfn.IFNA(VLOOKUP(A379,'3.框架内物料'!$A:$I,3,0),A379)</f>
        <v/>
      </c>
      <c r="C379" s="78" t="str">
        <f>IF(AND('2.报价结算清单'!$P482&gt;0,'2.报价结算清单'!$B482&lt;&gt;0,'2.报价结算清单'!C482&lt;&gt;0),'2.报价结算清单'!C482,"")</f>
        <v/>
      </c>
      <c r="D379" s="78" t="str">
        <f>IF(AND('2.报价结算清单'!$P482&gt;0,'2.报价结算清单'!$B482&lt;&gt;0,'2.报价结算清单'!D482&lt;&gt;0),'2.报价结算清单'!D482,"")</f>
        <v/>
      </c>
      <c r="E379" s="78" t="str">
        <f>IF(AND('2.报价结算清单'!$P482&gt;0,'2.报价结算清单'!$B482&lt;&gt;0,'2.报价结算清单'!E482&lt;&gt;0),'2.报价结算清单'!E482,"")</f>
        <v/>
      </c>
      <c r="F379" s="105" t="str">
        <f>_xlfn.IFNA(IF($A379="","",IF(VLOOKUP($A379,'3.框架内物料'!$A:$I,2,0)="","",VLOOKUP($A379,'3.框架内物料'!$A:$I,2,0))),"")</f>
        <v/>
      </c>
      <c r="G379" s="87" t="str">
        <f>IF(AND('2.报价结算清单'!$P482&gt;0,'2.报价结算清单'!$B482&lt;&gt;0,'2.报价结算清单'!H482&lt;&gt;0),'2.报价结算清单'!H482,"")</f>
        <v/>
      </c>
      <c r="H379" s="122" t="str">
        <f>IF(AND('2.报价结算清单'!$P482&gt;0,'2.报价结算清单'!$B482&lt;&gt;0,'2.报价结算清单'!$F482&lt;&gt;0),'2.报价结算清单'!J482,"")</f>
        <v/>
      </c>
      <c r="I379" s="105" t="str">
        <f>IF(AND('2.报价结算清单'!$P482&gt;0,'2.报价结算清单'!$B482&lt;&gt;0,'2.报价结算清单'!$F482&lt;&gt;0),'2.报价结算清单'!L482,"")</f>
        <v/>
      </c>
      <c r="J379" s="105" t="str">
        <f>IF(AND('2.报价结算清单'!$P482&gt;0,'2.报价结算清单'!$B482&lt;&gt;0,'2.报价结算清单'!I482&lt;&gt;0),'2.报价结算清单'!I482,"")</f>
        <v/>
      </c>
      <c r="K379" s="105" t="str">
        <f>IF(AND('2.报价结算清单'!$P482&gt;0,'2.报价结算清单'!$B482&lt;&gt;0,'2.报价结算清单'!$F482&lt;&gt;0),'2.报价结算清单'!N482,"")</f>
        <v/>
      </c>
      <c r="L379" s="105" t="str">
        <f>IF(AND('2.报价结算清单'!$P482&gt;0,'2.报价结算清单'!$B482&lt;&gt;0,'2.报价结算清单'!I482&lt;&gt;0),"天","")</f>
        <v/>
      </c>
      <c r="M379" s="80" t="str">
        <f t="shared" si="14"/>
        <v/>
      </c>
      <c r="N379" s="78" t="str">
        <f t="shared" si="15"/>
        <v/>
      </c>
      <c r="O379" s="78" t="str">
        <f>IF(AND('2.报价结算清单'!$P482&gt;0,'2.报价结算清单'!$B482&lt;&gt;0,'2.报价结算清单'!S482&lt;&gt;0),'2.报价结算清单'!S482,"")</f>
        <v/>
      </c>
      <c r="P379" s="78" t="str">
        <f>IF(AND('2.报价结算清单'!$P482&gt;0,'2.报价结算清单'!$B482&lt;&gt;0,'2.报价结算清单'!T482&lt;&gt;0),'2.报价结算清单'!T482,"")</f>
        <v/>
      </c>
      <c r="Q379" s="78" t="str">
        <f>IF(F379="",J379,VLOOKUP(F379,框架条目清单!A:K,4,FALSE))</f>
        <v/>
      </c>
      <c r="R379" s="106" t="str">
        <f>IF($A379="","",'2.报价结算清单'!$K$183)</f>
        <v/>
      </c>
      <c r="S379" s="80" t="str">
        <f>IF($A379="","",'2.报价结算清单'!$E$183)</f>
        <v/>
      </c>
      <c r="T379" s="78" t="str">
        <f>IF(F379="","",VLOOKUP(F379,框架条目清单!A:K,7,FALSE))</f>
        <v/>
      </c>
      <c r="U379" s="78" t="str">
        <f>IF(F379="","",VLOOKUP(F379,框架条目清单!A:K,8,FALSE))</f>
        <v/>
      </c>
      <c r="V379" s="78" t="str">
        <f>IF(F379="","",VLOOKUP(F379,框架条目清单!A:K,9,FALSE))</f>
        <v/>
      </c>
    </row>
    <row r="380" spans="1:22">
      <c r="A380" s="78" t="str">
        <f>IF(AND('2.报价结算清单'!$P483&gt;0,'2.报价结算清单'!$B483&lt;&gt;0,'2.报价结算清单'!$F483&lt;&gt;0),'2.报价结算清单'!$F483,"")</f>
        <v/>
      </c>
      <c r="B380" s="78" t="str">
        <f>_xlfn.IFNA(VLOOKUP(A380,'3.框架内物料'!$A:$I,3,0),A380)</f>
        <v/>
      </c>
      <c r="C380" s="78" t="str">
        <f>IF(AND('2.报价结算清单'!$P483&gt;0,'2.报价结算清单'!$B483&lt;&gt;0,'2.报价结算清单'!C483&lt;&gt;0),'2.报价结算清单'!C483,"")</f>
        <v/>
      </c>
      <c r="D380" s="78" t="str">
        <f>IF(AND('2.报价结算清单'!$P483&gt;0,'2.报价结算清单'!$B483&lt;&gt;0,'2.报价结算清单'!D483&lt;&gt;0),'2.报价结算清单'!D483,"")</f>
        <v/>
      </c>
      <c r="E380" s="78" t="str">
        <f>IF(AND('2.报价结算清单'!$P483&gt;0,'2.报价结算清单'!$B483&lt;&gt;0,'2.报价结算清单'!E483&lt;&gt;0),'2.报价结算清单'!E483,"")</f>
        <v/>
      </c>
      <c r="F380" s="105" t="str">
        <f>_xlfn.IFNA(IF($A380="","",IF(VLOOKUP($A380,'3.框架内物料'!$A:$I,2,0)="","",VLOOKUP($A380,'3.框架内物料'!$A:$I,2,0))),"")</f>
        <v/>
      </c>
      <c r="G380" s="87" t="str">
        <f>IF(AND('2.报价结算清单'!$P483&gt;0,'2.报价结算清单'!$B483&lt;&gt;0,'2.报价结算清单'!H483&lt;&gt;0),'2.报价结算清单'!H483,"")</f>
        <v/>
      </c>
      <c r="H380" s="122" t="str">
        <f>IF(AND('2.报价结算清单'!$P483&gt;0,'2.报价结算清单'!$B483&lt;&gt;0,'2.报价结算清单'!$F483&lt;&gt;0),'2.报价结算清单'!J483,"")</f>
        <v/>
      </c>
      <c r="I380" s="105" t="str">
        <f>IF(AND('2.报价结算清单'!$P483&gt;0,'2.报价结算清单'!$B483&lt;&gt;0,'2.报价结算清单'!$F483&lt;&gt;0),'2.报价结算清单'!L483,"")</f>
        <v/>
      </c>
      <c r="J380" s="105" t="str">
        <f>IF(AND('2.报价结算清单'!$P483&gt;0,'2.报价结算清单'!$B483&lt;&gt;0,'2.报价结算清单'!I483&lt;&gt;0),'2.报价结算清单'!I483,"")</f>
        <v/>
      </c>
      <c r="K380" s="105" t="str">
        <f>IF(AND('2.报价结算清单'!$P483&gt;0,'2.报价结算清单'!$B483&lt;&gt;0,'2.报价结算清单'!$F483&lt;&gt;0),'2.报价结算清单'!N483,"")</f>
        <v/>
      </c>
      <c r="L380" s="105" t="str">
        <f>IF(AND('2.报价结算清单'!$P483&gt;0,'2.报价结算清单'!$B483&lt;&gt;0,'2.报价结算清单'!I483&lt;&gt;0),"天","")</f>
        <v/>
      </c>
      <c r="M380" s="80" t="str">
        <f t="shared" si="14"/>
        <v/>
      </c>
      <c r="N380" s="78" t="str">
        <f t="shared" si="15"/>
        <v/>
      </c>
      <c r="O380" s="78" t="str">
        <f>IF(AND('2.报价结算清单'!$P483&gt;0,'2.报价结算清单'!$B483&lt;&gt;0,'2.报价结算清单'!S483&lt;&gt;0),'2.报价结算清单'!S483,"")</f>
        <v/>
      </c>
      <c r="P380" s="78" t="str">
        <f>IF(AND('2.报价结算清单'!$P483&gt;0,'2.报价结算清单'!$B483&lt;&gt;0,'2.报价结算清单'!T483&lt;&gt;0),'2.报价结算清单'!T483,"")</f>
        <v/>
      </c>
      <c r="Q380" s="78" t="str">
        <f>IF(F380="",J380,VLOOKUP(F380,框架条目清单!A:K,4,FALSE))</f>
        <v/>
      </c>
      <c r="R380" s="106" t="str">
        <f>IF($A380="","",'2.报价结算清单'!$K$183)</f>
        <v/>
      </c>
      <c r="S380" s="80" t="str">
        <f>IF($A380="","",'2.报价结算清单'!$E$183)</f>
        <v/>
      </c>
      <c r="T380" s="78" t="str">
        <f>IF(F380="","",VLOOKUP(F380,框架条目清单!A:K,7,FALSE))</f>
        <v/>
      </c>
      <c r="U380" s="78" t="str">
        <f>IF(F380="","",VLOOKUP(F380,框架条目清单!A:K,8,FALSE))</f>
        <v/>
      </c>
      <c r="V380" s="78" t="str">
        <f>IF(F380="","",VLOOKUP(F380,框架条目清单!A:K,9,FALSE))</f>
        <v/>
      </c>
    </row>
    <row r="381" spans="1:22">
      <c r="A381" s="78" t="str">
        <f>IF(AND('2.报价结算清单'!$P484&gt;0,'2.报价结算清单'!$B484&lt;&gt;0,'2.报价结算清单'!$F484&lt;&gt;0),'2.报价结算清单'!$F484,"")</f>
        <v/>
      </c>
      <c r="B381" s="78" t="str">
        <f>_xlfn.IFNA(VLOOKUP(A381,'3.框架内物料'!$A:$I,3,0),A381)</f>
        <v/>
      </c>
      <c r="C381" s="78" t="str">
        <f>IF(AND('2.报价结算清单'!$P484&gt;0,'2.报价结算清单'!$B484&lt;&gt;0,'2.报价结算清单'!C484&lt;&gt;0),'2.报价结算清单'!C484,"")</f>
        <v/>
      </c>
      <c r="D381" s="78" t="str">
        <f>IF(AND('2.报价结算清单'!$P484&gt;0,'2.报价结算清单'!$B484&lt;&gt;0,'2.报价结算清单'!D484&lt;&gt;0),'2.报价结算清单'!D484,"")</f>
        <v/>
      </c>
      <c r="E381" s="78" t="str">
        <f>IF(AND('2.报价结算清单'!$P484&gt;0,'2.报价结算清单'!$B484&lt;&gt;0,'2.报价结算清单'!E484&lt;&gt;0),'2.报价结算清单'!E484,"")</f>
        <v/>
      </c>
      <c r="F381" s="105" t="str">
        <f>_xlfn.IFNA(IF($A381="","",IF(VLOOKUP($A381,'3.框架内物料'!$A:$I,2,0)="","",VLOOKUP($A381,'3.框架内物料'!$A:$I,2,0))),"")</f>
        <v/>
      </c>
      <c r="G381" s="87" t="str">
        <f>IF(AND('2.报价结算清单'!$P484&gt;0,'2.报价结算清单'!$B484&lt;&gt;0,'2.报价结算清单'!H484&lt;&gt;0),'2.报价结算清单'!H484,"")</f>
        <v/>
      </c>
      <c r="H381" s="122" t="str">
        <f>IF(AND('2.报价结算清单'!$P484&gt;0,'2.报价结算清单'!$B484&lt;&gt;0,'2.报价结算清单'!$F484&lt;&gt;0),'2.报价结算清单'!J484,"")</f>
        <v/>
      </c>
      <c r="I381" s="105" t="str">
        <f>IF(AND('2.报价结算清单'!$P484&gt;0,'2.报价结算清单'!$B484&lt;&gt;0,'2.报价结算清单'!$F484&lt;&gt;0),'2.报价结算清单'!L484,"")</f>
        <v/>
      </c>
      <c r="J381" s="105" t="str">
        <f>IF(AND('2.报价结算清单'!$P484&gt;0,'2.报价结算清单'!$B484&lt;&gt;0,'2.报价结算清单'!I484&lt;&gt;0),'2.报价结算清单'!I484,"")</f>
        <v/>
      </c>
      <c r="K381" s="105" t="str">
        <f>IF(AND('2.报价结算清单'!$P484&gt;0,'2.报价结算清单'!$B484&lt;&gt;0,'2.报价结算清单'!$F484&lt;&gt;0),'2.报价结算清单'!N484,"")</f>
        <v/>
      </c>
      <c r="L381" s="105" t="str">
        <f>IF(AND('2.报价结算清单'!$P484&gt;0,'2.报价结算清单'!$B484&lt;&gt;0,'2.报价结算清单'!I484&lt;&gt;0),"天","")</f>
        <v/>
      </c>
      <c r="M381" s="80" t="str">
        <f t="shared" si="14"/>
        <v/>
      </c>
      <c r="N381" s="78" t="str">
        <f t="shared" si="15"/>
        <v/>
      </c>
      <c r="O381" s="78" t="str">
        <f>IF(AND('2.报价结算清单'!$P484&gt;0,'2.报价结算清单'!$B484&lt;&gt;0,'2.报价结算清单'!S484&lt;&gt;0),'2.报价结算清单'!S484,"")</f>
        <v/>
      </c>
      <c r="P381" s="78" t="str">
        <f>IF(AND('2.报价结算清单'!$P484&gt;0,'2.报价结算清单'!$B484&lt;&gt;0,'2.报价结算清单'!T484&lt;&gt;0),'2.报价结算清单'!T484,"")</f>
        <v/>
      </c>
      <c r="Q381" s="78" t="str">
        <f>IF(F381="",J381,VLOOKUP(F381,框架条目清单!A:K,4,FALSE))</f>
        <v/>
      </c>
      <c r="R381" s="106" t="str">
        <f>IF($A381="","",'2.报价结算清单'!$K$183)</f>
        <v/>
      </c>
      <c r="S381" s="80" t="str">
        <f>IF($A381="","",'2.报价结算清单'!$E$183)</f>
        <v/>
      </c>
      <c r="T381" s="78" t="str">
        <f>IF(F381="","",VLOOKUP(F381,框架条目清单!A:K,7,FALSE))</f>
        <v/>
      </c>
      <c r="U381" s="78" t="str">
        <f>IF(F381="","",VLOOKUP(F381,框架条目清单!A:K,8,FALSE))</f>
        <v/>
      </c>
      <c r="V381" s="78" t="str">
        <f>IF(F381="","",VLOOKUP(F381,框架条目清单!A:K,9,FALSE))</f>
        <v/>
      </c>
    </row>
    <row r="382" spans="1:22">
      <c r="A382" s="78" t="str">
        <f>IF(AND('2.报价结算清单'!$P485&gt;0,'2.报价结算清单'!$B485&lt;&gt;0,'2.报价结算清单'!$F485&lt;&gt;0),'2.报价结算清单'!$F485,"")</f>
        <v/>
      </c>
      <c r="B382" s="78" t="str">
        <f>_xlfn.IFNA(VLOOKUP(A382,'3.框架内物料'!$A:$I,3,0),A382)</f>
        <v/>
      </c>
      <c r="C382" s="78" t="str">
        <f>IF(AND('2.报价结算清单'!$P485&gt;0,'2.报价结算清单'!$B485&lt;&gt;0,'2.报价结算清单'!C485&lt;&gt;0),'2.报价结算清单'!C485,"")</f>
        <v/>
      </c>
      <c r="D382" s="78" t="str">
        <f>IF(AND('2.报价结算清单'!$P485&gt;0,'2.报价结算清单'!$B485&lt;&gt;0,'2.报价结算清单'!D485&lt;&gt;0),'2.报价结算清单'!D485,"")</f>
        <v/>
      </c>
      <c r="E382" s="78" t="str">
        <f>IF(AND('2.报价结算清单'!$P485&gt;0,'2.报价结算清单'!$B485&lt;&gt;0,'2.报价结算清单'!E485&lt;&gt;0),'2.报价结算清单'!E485,"")</f>
        <v/>
      </c>
      <c r="F382" s="105" t="str">
        <f>_xlfn.IFNA(IF($A382="","",IF(VLOOKUP($A382,'3.框架内物料'!$A:$I,2,0)="","",VLOOKUP($A382,'3.框架内物料'!$A:$I,2,0))),"")</f>
        <v/>
      </c>
      <c r="G382" s="87" t="str">
        <f>IF(AND('2.报价结算清单'!$P485&gt;0,'2.报价结算清单'!$B485&lt;&gt;0,'2.报价结算清单'!H485&lt;&gt;0),'2.报价结算清单'!H485,"")</f>
        <v/>
      </c>
      <c r="H382" s="122" t="str">
        <f>IF(AND('2.报价结算清单'!$P485&gt;0,'2.报价结算清单'!$B485&lt;&gt;0,'2.报价结算清单'!$F485&lt;&gt;0),'2.报价结算清单'!J485,"")</f>
        <v/>
      </c>
      <c r="I382" s="105" t="str">
        <f>IF(AND('2.报价结算清单'!$P485&gt;0,'2.报价结算清单'!$B485&lt;&gt;0,'2.报价结算清单'!$F485&lt;&gt;0),'2.报价结算清单'!L485,"")</f>
        <v/>
      </c>
      <c r="J382" s="105" t="str">
        <f>IF(AND('2.报价结算清单'!$P485&gt;0,'2.报价结算清单'!$B485&lt;&gt;0,'2.报价结算清单'!I485&lt;&gt;0),'2.报价结算清单'!I485,"")</f>
        <v/>
      </c>
      <c r="K382" s="105" t="str">
        <f>IF(AND('2.报价结算清单'!$P485&gt;0,'2.报价结算清单'!$B485&lt;&gt;0,'2.报价结算清单'!$F485&lt;&gt;0),'2.报价结算清单'!N485,"")</f>
        <v/>
      </c>
      <c r="L382" s="105" t="str">
        <f>IF(AND('2.报价结算清单'!$P485&gt;0,'2.报价结算清单'!$B485&lt;&gt;0,'2.报价结算清单'!I485&lt;&gt;0),"天","")</f>
        <v/>
      </c>
      <c r="M382" s="80" t="str">
        <f t="shared" si="14"/>
        <v/>
      </c>
      <c r="N382" s="78" t="str">
        <f t="shared" si="15"/>
        <v/>
      </c>
      <c r="O382" s="78" t="str">
        <f>IF(AND('2.报价结算清单'!$P485&gt;0,'2.报价结算清单'!$B485&lt;&gt;0,'2.报价结算清单'!S485&lt;&gt;0),'2.报价结算清单'!S485,"")</f>
        <v/>
      </c>
      <c r="P382" s="78" t="str">
        <f>IF(AND('2.报价结算清单'!$P485&gt;0,'2.报价结算清单'!$B485&lt;&gt;0,'2.报价结算清单'!T485&lt;&gt;0),'2.报价结算清单'!T485,"")</f>
        <v/>
      </c>
      <c r="Q382" s="78" t="str">
        <f>IF(F382="",J382,VLOOKUP(F382,框架条目清单!A:K,4,FALSE))</f>
        <v/>
      </c>
      <c r="R382" s="106" t="str">
        <f>IF($A382="","",'2.报价结算清单'!$K$183)</f>
        <v/>
      </c>
      <c r="S382" s="80" t="str">
        <f>IF($A382="","",'2.报价结算清单'!$E$183)</f>
        <v/>
      </c>
      <c r="T382" s="78" t="str">
        <f>IF(F382="","",VLOOKUP(F382,框架条目清单!A:K,7,FALSE))</f>
        <v/>
      </c>
      <c r="U382" s="78" t="str">
        <f>IF(F382="","",VLOOKUP(F382,框架条目清单!A:K,8,FALSE))</f>
        <v/>
      </c>
      <c r="V382" s="78" t="str">
        <f>IF(F382="","",VLOOKUP(F382,框架条目清单!A:K,9,FALSE))</f>
        <v/>
      </c>
    </row>
    <row r="383" spans="1:22">
      <c r="A383" s="78" t="str">
        <f>IF(AND('2.报价结算清单'!$P486&gt;0,'2.报价结算清单'!$B486&lt;&gt;0,'2.报价结算清单'!$F486&lt;&gt;0),'2.报价结算清单'!$F486,"")</f>
        <v/>
      </c>
      <c r="B383" s="78" t="str">
        <f>_xlfn.IFNA(VLOOKUP(A383,'3.框架内物料'!$A:$I,3,0),A383)</f>
        <v/>
      </c>
      <c r="C383" s="78" t="str">
        <f>IF(AND('2.报价结算清单'!$P486&gt;0,'2.报价结算清单'!$B486&lt;&gt;0,'2.报价结算清单'!C486&lt;&gt;0),'2.报价结算清单'!C486,"")</f>
        <v/>
      </c>
      <c r="D383" s="78" t="str">
        <f>IF(AND('2.报价结算清单'!$P486&gt;0,'2.报价结算清单'!$B486&lt;&gt;0,'2.报价结算清单'!D486&lt;&gt;0),'2.报价结算清单'!D486,"")</f>
        <v/>
      </c>
      <c r="E383" s="78" t="str">
        <f>IF(AND('2.报价结算清单'!$P486&gt;0,'2.报价结算清单'!$B486&lt;&gt;0,'2.报价结算清单'!E486&lt;&gt;0),'2.报价结算清单'!E486,"")</f>
        <v/>
      </c>
      <c r="F383" s="105" t="str">
        <f>_xlfn.IFNA(IF($A383="","",IF(VLOOKUP($A383,'3.框架内物料'!$A:$I,2,0)="","",VLOOKUP($A383,'3.框架内物料'!$A:$I,2,0))),"")</f>
        <v/>
      </c>
      <c r="G383" s="87" t="str">
        <f>IF(AND('2.报价结算清单'!$P486&gt;0,'2.报价结算清单'!$B486&lt;&gt;0,'2.报价结算清单'!H486&lt;&gt;0),'2.报价结算清单'!H486,"")</f>
        <v/>
      </c>
      <c r="H383" s="122" t="str">
        <f>IF(AND('2.报价结算清单'!$P486&gt;0,'2.报价结算清单'!$B486&lt;&gt;0,'2.报价结算清单'!$F486&lt;&gt;0),'2.报价结算清单'!J486,"")</f>
        <v/>
      </c>
      <c r="I383" s="105" t="str">
        <f>IF(AND('2.报价结算清单'!$P486&gt;0,'2.报价结算清单'!$B486&lt;&gt;0,'2.报价结算清单'!$F486&lt;&gt;0),'2.报价结算清单'!L486,"")</f>
        <v/>
      </c>
      <c r="J383" s="105" t="str">
        <f>IF(AND('2.报价结算清单'!$P486&gt;0,'2.报价结算清单'!$B486&lt;&gt;0,'2.报价结算清单'!I486&lt;&gt;0),'2.报价结算清单'!I486,"")</f>
        <v/>
      </c>
      <c r="K383" s="105" t="str">
        <f>IF(AND('2.报价结算清单'!$P486&gt;0,'2.报价结算清单'!$B486&lt;&gt;0,'2.报价结算清单'!$F486&lt;&gt;0),'2.报价结算清单'!N486,"")</f>
        <v/>
      </c>
      <c r="L383" s="105" t="str">
        <f>IF(AND('2.报价结算清单'!$P486&gt;0,'2.报价结算清单'!$B486&lt;&gt;0,'2.报价结算清单'!I486&lt;&gt;0),"天","")</f>
        <v/>
      </c>
      <c r="M383" s="80" t="str">
        <f t="shared" si="14"/>
        <v/>
      </c>
      <c r="N383" s="78" t="str">
        <f t="shared" si="15"/>
        <v/>
      </c>
      <c r="O383" s="78" t="str">
        <f>IF(AND('2.报价结算清单'!$P486&gt;0,'2.报价结算清单'!$B486&lt;&gt;0,'2.报价结算清单'!S486&lt;&gt;0),'2.报价结算清单'!S486,"")</f>
        <v/>
      </c>
      <c r="P383" s="78" t="str">
        <f>IF(AND('2.报价结算清单'!$P486&gt;0,'2.报价结算清单'!$B486&lt;&gt;0,'2.报价结算清单'!T486&lt;&gt;0),'2.报价结算清单'!T486,"")</f>
        <v/>
      </c>
      <c r="Q383" s="78" t="str">
        <f>IF(F383="",J383,VLOOKUP(F383,框架条目清单!A:K,4,FALSE))</f>
        <v/>
      </c>
      <c r="R383" s="106" t="str">
        <f>IF($A383="","",'2.报价结算清单'!$K$183)</f>
        <v/>
      </c>
      <c r="S383" s="80" t="str">
        <f>IF($A383="","",'2.报价结算清单'!$E$183)</f>
        <v/>
      </c>
      <c r="T383" s="78" t="str">
        <f>IF(F383="","",VLOOKUP(F383,框架条目清单!A:K,7,FALSE))</f>
        <v/>
      </c>
      <c r="U383" s="78" t="str">
        <f>IF(F383="","",VLOOKUP(F383,框架条目清单!A:K,8,FALSE))</f>
        <v/>
      </c>
      <c r="V383" s="78" t="str">
        <f>IF(F383="","",VLOOKUP(F383,框架条目清单!A:K,9,FALSE))</f>
        <v/>
      </c>
    </row>
    <row r="384" spans="1:22">
      <c r="A384" s="78" t="str">
        <f>IF(AND('2.报价结算清单'!$P487&gt;0,'2.报价结算清单'!$B487&lt;&gt;0,'2.报价结算清单'!$F487&lt;&gt;0),'2.报价结算清单'!$F487,"")</f>
        <v/>
      </c>
      <c r="B384" s="78" t="str">
        <f>_xlfn.IFNA(VLOOKUP(A384,'3.框架内物料'!$A:$I,3,0),A384)</f>
        <v/>
      </c>
      <c r="C384" s="78" t="str">
        <f>IF(AND('2.报价结算清单'!$P487&gt;0,'2.报价结算清单'!$B487&lt;&gt;0,'2.报价结算清单'!C487&lt;&gt;0),'2.报价结算清单'!C487,"")</f>
        <v/>
      </c>
      <c r="D384" s="78" t="str">
        <f>IF(AND('2.报价结算清单'!$P487&gt;0,'2.报价结算清单'!$B487&lt;&gt;0,'2.报价结算清单'!D487&lt;&gt;0),'2.报价结算清单'!D487,"")</f>
        <v/>
      </c>
      <c r="E384" s="78" t="str">
        <f>IF(AND('2.报价结算清单'!$P487&gt;0,'2.报价结算清单'!$B487&lt;&gt;0,'2.报价结算清单'!E487&lt;&gt;0),'2.报价结算清单'!E487,"")</f>
        <v/>
      </c>
      <c r="F384" s="105" t="str">
        <f>_xlfn.IFNA(IF($A384="","",IF(VLOOKUP($A384,'3.框架内物料'!$A:$I,2,0)="","",VLOOKUP($A384,'3.框架内物料'!$A:$I,2,0))),"")</f>
        <v/>
      </c>
      <c r="G384" s="87" t="str">
        <f>IF(AND('2.报价结算清单'!$P487&gt;0,'2.报价结算清单'!$B487&lt;&gt;0,'2.报价结算清单'!H487&lt;&gt;0),'2.报价结算清单'!H487,"")</f>
        <v/>
      </c>
      <c r="H384" s="122" t="str">
        <f>IF(AND('2.报价结算清单'!$P487&gt;0,'2.报价结算清单'!$B487&lt;&gt;0,'2.报价结算清单'!$F487&lt;&gt;0),'2.报价结算清单'!J487,"")</f>
        <v/>
      </c>
      <c r="I384" s="105" t="str">
        <f>IF(AND('2.报价结算清单'!$P487&gt;0,'2.报价结算清单'!$B487&lt;&gt;0,'2.报价结算清单'!$F487&lt;&gt;0),'2.报价结算清单'!L487,"")</f>
        <v/>
      </c>
      <c r="J384" s="105" t="str">
        <f>IF(AND('2.报价结算清单'!$P487&gt;0,'2.报价结算清单'!$B487&lt;&gt;0,'2.报价结算清单'!I487&lt;&gt;0),'2.报价结算清单'!I487,"")</f>
        <v/>
      </c>
      <c r="K384" s="105" t="str">
        <f>IF(AND('2.报价结算清单'!$P487&gt;0,'2.报价结算清单'!$B487&lt;&gt;0,'2.报价结算清单'!$F487&lt;&gt;0),'2.报价结算清单'!N487,"")</f>
        <v/>
      </c>
      <c r="L384" s="105" t="str">
        <f>IF(AND('2.报价结算清单'!$P487&gt;0,'2.报价结算清单'!$B487&lt;&gt;0,'2.报价结算清单'!I487&lt;&gt;0),"天","")</f>
        <v/>
      </c>
      <c r="M384" s="80" t="str">
        <f t="shared" si="14"/>
        <v/>
      </c>
      <c r="N384" s="78" t="str">
        <f t="shared" si="15"/>
        <v/>
      </c>
      <c r="O384" s="78" t="str">
        <f>IF(AND('2.报价结算清单'!$P487&gt;0,'2.报价结算清单'!$B487&lt;&gt;0,'2.报价结算清单'!S487&lt;&gt;0),'2.报价结算清单'!S487,"")</f>
        <v/>
      </c>
      <c r="P384" s="78" t="str">
        <f>IF(AND('2.报价结算清单'!$P487&gt;0,'2.报价结算清单'!$B487&lt;&gt;0,'2.报价结算清单'!T487&lt;&gt;0),'2.报价结算清单'!T487,"")</f>
        <v/>
      </c>
      <c r="Q384" s="78" t="str">
        <f>IF(F384="",J384,VLOOKUP(F384,框架条目清单!A:K,4,FALSE))</f>
        <v/>
      </c>
      <c r="R384" s="106" t="str">
        <f>IF($A384="","",'2.报价结算清单'!$K$183)</f>
        <v/>
      </c>
      <c r="S384" s="80" t="str">
        <f>IF($A384="","",'2.报价结算清单'!$E$183)</f>
        <v/>
      </c>
      <c r="T384" s="78" t="str">
        <f>IF(F384="","",VLOOKUP(F384,框架条目清单!A:K,7,FALSE))</f>
        <v/>
      </c>
      <c r="U384" s="78" t="str">
        <f>IF(F384="","",VLOOKUP(F384,框架条目清单!A:K,8,FALSE))</f>
        <v/>
      </c>
      <c r="V384" s="78" t="str">
        <f>IF(F384="","",VLOOKUP(F384,框架条目清单!A:K,9,FALSE))</f>
        <v/>
      </c>
    </row>
    <row r="385" spans="1:22">
      <c r="A385" s="78" t="str">
        <f>IF(AND('2.报价结算清单'!$P488&gt;0,'2.报价结算清单'!$B488&lt;&gt;0,'2.报价结算清单'!$F488&lt;&gt;0),'2.报价结算清单'!$F488,"")</f>
        <v/>
      </c>
      <c r="B385" s="78" t="str">
        <f>_xlfn.IFNA(VLOOKUP(A385,'3.框架内物料'!$A:$I,3,0),A385)</f>
        <v/>
      </c>
      <c r="C385" s="78" t="str">
        <f>IF(AND('2.报价结算清单'!$P488&gt;0,'2.报价结算清单'!$B488&lt;&gt;0,'2.报价结算清单'!C488&lt;&gt;0),'2.报价结算清单'!C488,"")</f>
        <v/>
      </c>
      <c r="D385" s="78" t="str">
        <f>IF(AND('2.报价结算清单'!$P488&gt;0,'2.报价结算清单'!$B488&lt;&gt;0,'2.报价结算清单'!D488&lt;&gt;0),'2.报价结算清单'!D488,"")</f>
        <v/>
      </c>
      <c r="E385" s="78" t="str">
        <f>IF(AND('2.报价结算清单'!$P488&gt;0,'2.报价结算清单'!$B488&lt;&gt;0,'2.报价结算清单'!E488&lt;&gt;0),'2.报价结算清单'!E488,"")</f>
        <v/>
      </c>
      <c r="F385" s="105" t="str">
        <f>_xlfn.IFNA(IF($A385="","",IF(VLOOKUP($A385,'3.框架内物料'!$A:$I,2,0)="","",VLOOKUP($A385,'3.框架内物料'!$A:$I,2,0))),"")</f>
        <v/>
      </c>
      <c r="G385" s="87" t="str">
        <f>IF(AND('2.报价结算清单'!$P488&gt;0,'2.报价结算清单'!$B488&lt;&gt;0,'2.报价结算清单'!H488&lt;&gt;0),'2.报价结算清单'!H488,"")</f>
        <v/>
      </c>
      <c r="H385" s="122" t="str">
        <f>IF(AND('2.报价结算清单'!$P488&gt;0,'2.报价结算清单'!$B488&lt;&gt;0,'2.报价结算清单'!$F488&lt;&gt;0),'2.报价结算清单'!J488,"")</f>
        <v/>
      </c>
      <c r="I385" s="105" t="str">
        <f>IF(AND('2.报价结算清单'!$P488&gt;0,'2.报价结算清单'!$B488&lt;&gt;0,'2.报价结算清单'!$F488&lt;&gt;0),'2.报价结算清单'!L488,"")</f>
        <v/>
      </c>
      <c r="J385" s="105" t="str">
        <f>IF(AND('2.报价结算清单'!$P488&gt;0,'2.报价结算清单'!$B488&lt;&gt;0,'2.报价结算清单'!I488&lt;&gt;0),'2.报价结算清单'!I488,"")</f>
        <v/>
      </c>
      <c r="K385" s="105" t="str">
        <f>IF(AND('2.报价结算清单'!$P488&gt;0,'2.报价结算清单'!$B488&lt;&gt;0,'2.报价结算清单'!$F488&lt;&gt;0),'2.报价结算清单'!N488,"")</f>
        <v/>
      </c>
      <c r="L385" s="105" t="str">
        <f>IF(AND('2.报价结算清单'!$P488&gt;0,'2.报价结算清单'!$B488&lt;&gt;0,'2.报价结算清单'!I488&lt;&gt;0),"天","")</f>
        <v/>
      </c>
      <c r="M385" s="80" t="str">
        <f t="shared" si="14"/>
        <v/>
      </c>
      <c r="N385" s="78" t="str">
        <f t="shared" si="15"/>
        <v/>
      </c>
      <c r="O385" s="78" t="str">
        <f>IF(AND('2.报价结算清单'!$P488&gt;0,'2.报价结算清单'!$B488&lt;&gt;0,'2.报价结算清单'!S488&lt;&gt;0),'2.报价结算清单'!S488,"")</f>
        <v/>
      </c>
      <c r="P385" s="78" t="str">
        <f>IF(AND('2.报价结算清单'!$P488&gt;0,'2.报价结算清单'!$B488&lt;&gt;0,'2.报价结算清单'!T488&lt;&gt;0),'2.报价结算清单'!T488,"")</f>
        <v/>
      </c>
      <c r="Q385" s="78" t="str">
        <f>IF(F385="",J385,VLOOKUP(F385,框架条目清单!A:K,4,FALSE))</f>
        <v/>
      </c>
      <c r="R385" s="106" t="str">
        <f>IF($A385="","",'2.报价结算清单'!$K$183)</f>
        <v/>
      </c>
      <c r="S385" s="80" t="str">
        <f>IF($A385="","",'2.报价结算清单'!$E$183)</f>
        <v/>
      </c>
      <c r="T385" s="78" t="str">
        <f>IF(F385="","",VLOOKUP(F385,框架条目清单!A:K,7,FALSE))</f>
        <v/>
      </c>
      <c r="U385" s="78" t="str">
        <f>IF(F385="","",VLOOKUP(F385,框架条目清单!A:K,8,FALSE))</f>
        <v/>
      </c>
      <c r="V385" s="78" t="str">
        <f>IF(F385="","",VLOOKUP(F385,框架条目清单!A:K,9,FALSE))</f>
        <v/>
      </c>
    </row>
    <row r="386" spans="1:22">
      <c r="A386" s="78" t="str">
        <f>IF(AND('2.报价结算清单'!$P489&gt;0,'2.报价结算清单'!$B489&lt;&gt;0,'2.报价结算清单'!$F489&lt;&gt;0),'2.报价结算清单'!$F489,"")</f>
        <v/>
      </c>
      <c r="B386" s="78" t="str">
        <f>_xlfn.IFNA(VLOOKUP(A386,'3.框架内物料'!$A:$I,3,0),A386)</f>
        <v/>
      </c>
      <c r="C386" s="78" t="str">
        <f>IF(AND('2.报价结算清单'!$P489&gt;0,'2.报价结算清单'!$B489&lt;&gt;0,'2.报价结算清单'!C489&lt;&gt;0),'2.报价结算清单'!C489,"")</f>
        <v/>
      </c>
      <c r="D386" s="78" t="str">
        <f>IF(AND('2.报价结算清单'!$P489&gt;0,'2.报价结算清单'!$B489&lt;&gt;0,'2.报价结算清单'!D489&lt;&gt;0),'2.报价结算清单'!D489,"")</f>
        <v/>
      </c>
      <c r="E386" s="78" t="str">
        <f>IF(AND('2.报价结算清单'!$P489&gt;0,'2.报价结算清单'!$B489&lt;&gt;0,'2.报价结算清单'!E489&lt;&gt;0),'2.报价结算清单'!E489,"")</f>
        <v/>
      </c>
      <c r="F386" s="105" t="str">
        <f>_xlfn.IFNA(IF($A386="","",IF(VLOOKUP($A386,'3.框架内物料'!$A:$I,2,0)="","",VLOOKUP($A386,'3.框架内物料'!$A:$I,2,0))),"")</f>
        <v/>
      </c>
      <c r="G386" s="87" t="str">
        <f>IF(AND('2.报价结算清单'!$P489&gt;0,'2.报价结算清单'!$B489&lt;&gt;0,'2.报价结算清单'!H489&lt;&gt;0),'2.报价结算清单'!H489,"")</f>
        <v/>
      </c>
      <c r="H386" s="122" t="str">
        <f>IF(AND('2.报价结算清单'!$P489&gt;0,'2.报价结算清单'!$B489&lt;&gt;0,'2.报价结算清单'!$F489&lt;&gt;0),'2.报价结算清单'!J489,"")</f>
        <v/>
      </c>
      <c r="I386" s="105" t="str">
        <f>IF(AND('2.报价结算清单'!$P489&gt;0,'2.报价结算清单'!$B489&lt;&gt;0,'2.报价结算清单'!$F489&lt;&gt;0),'2.报价结算清单'!L489,"")</f>
        <v/>
      </c>
      <c r="J386" s="105" t="str">
        <f>IF(AND('2.报价结算清单'!$P489&gt;0,'2.报价结算清单'!$B489&lt;&gt;0,'2.报价结算清单'!I489&lt;&gt;0),'2.报价结算清单'!I489,"")</f>
        <v/>
      </c>
      <c r="K386" s="105" t="str">
        <f>IF(AND('2.报价结算清单'!$P489&gt;0,'2.报价结算清单'!$B489&lt;&gt;0,'2.报价结算清单'!$F489&lt;&gt;0),'2.报价结算清单'!N489,"")</f>
        <v/>
      </c>
      <c r="L386" s="105" t="str">
        <f>IF(AND('2.报价结算清单'!$P489&gt;0,'2.报价结算清单'!$B489&lt;&gt;0,'2.报价结算清单'!I489&lt;&gt;0),"天","")</f>
        <v/>
      </c>
      <c r="M386" s="80" t="str">
        <f t="shared" si="14"/>
        <v/>
      </c>
      <c r="N386" s="78" t="str">
        <f t="shared" si="15"/>
        <v/>
      </c>
      <c r="O386" s="78" t="str">
        <f>IF(AND('2.报价结算清单'!$P489&gt;0,'2.报价结算清单'!$B489&lt;&gt;0,'2.报价结算清单'!S489&lt;&gt;0),'2.报价结算清单'!S489,"")</f>
        <v/>
      </c>
      <c r="P386" s="78" t="str">
        <f>IF(AND('2.报价结算清单'!$P489&gt;0,'2.报价结算清单'!$B489&lt;&gt;0,'2.报价结算清单'!T489&lt;&gt;0),'2.报价结算清单'!T489,"")</f>
        <v/>
      </c>
      <c r="Q386" s="78" t="str">
        <f>IF(F386="",J386,VLOOKUP(F386,框架条目清单!A:K,4,FALSE))</f>
        <v/>
      </c>
      <c r="R386" s="106" t="str">
        <f>IF($A386="","",'2.报价结算清单'!$K$183)</f>
        <v/>
      </c>
      <c r="S386" s="80" t="str">
        <f>IF($A386="","",'2.报价结算清单'!$E$183)</f>
        <v/>
      </c>
      <c r="T386" s="78" t="str">
        <f>IF(F386="","",VLOOKUP(F386,框架条目清单!A:K,7,FALSE))</f>
        <v/>
      </c>
      <c r="U386" s="78" t="str">
        <f>IF(F386="","",VLOOKUP(F386,框架条目清单!A:K,8,FALSE))</f>
        <v/>
      </c>
      <c r="V386" s="78" t="str">
        <f>IF(F386="","",VLOOKUP(F386,框架条目清单!A:K,9,FALSE))</f>
        <v/>
      </c>
    </row>
    <row r="387" spans="1:22">
      <c r="A387" s="78" t="str">
        <f>IF(AND('2.报价结算清单'!$P490&gt;0,'2.报价结算清单'!$B490&lt;&gt;0,'2.报价结算清单'!$F490&lt;&gt;0),'2.报价结算清单'!$F490,"")</f>
        <v/>
      </c>
      <c r="B387" s="78" t="str">
        <f>_xlfn.IFNA(VLOOKUP(A387,'3.框架内物料'!$A:$I,3,0),A387)</f>
        <v/>
      </c>
      <c r="C387" s="78" t="str">
        <f>IF(AND('2.报价结算清单'!$P490&gt;0,'2.报价结算清单'!$B490&lt;&gt;0,'2.报价结算清单'!C490&lt;&gt;0),'2.报价结算清单'!C490,"")</f>
        <v/>
      </c>
      <c r="D387" s="78" t="str">
        <f>IF(AND('2.报价结算清单'!$P490&gt;0,'2.报价结算清单'!$B490&lt;&gt;0,'2.报价结算清单'!D490&lt;&gt;0),'2.报价结算清单'!D490,"")</f>
        <v/>
      </c>
      <c r="E387" s="78" t="str">
        <f>IF(AND('2.报价结算清单'!$P490&gt;0,'2.报价结算清单'!$B490&lt;&gt;0,'2.报价结算清单'!E490&lt;&gt;0),'2.报价结算清单'!E490,"")</f>
        <v/>
      </c>
      <c r="F387" s="105" t="str">
        <f>_xlfn.IFNA(IF($A387="","",IF(VLOOKUP($A387,'3.框架内物料'!$A:$I,2,0)="","",VLOOKUP($A387,'3.框架内物料'!$A:$I,2,0))),"")</f>
        <v/>
      </c>
      <c r="G387" s="87" t="str">
        <f>IF(AND('2.报价结算清单'!$P490&gt;0,'2.报价结算清单'!$B490&lt;&gt;0,'2.报价结算清单'!H490&lt;&gt;0),'2.报价结算清单'!H490,"")</f>
        <v/>
      </c>
      <c r="H387" s="122" t="str">
        <f>IF(AND('2.报价结算清单'!$P490&gt;0,'2.报价结算清单'!$B490&lt;&gt;0,'2.报价结算清单'!$F490&lt;&gt;0),'2.报价结算清单'!J490,"")</f>
        <v/>
      </c>
      <c r="I387" s="105" t="str">
        <f>IF(AND('2.报价结算清单'!$P490&gt;0,'2.报价结算清单'!$B490&lt;&gt;0,'2.报价结算清单'!$F490&lt;&gt;0),'2.报价结算清单'!L490,"")</f>
        <v/>
      </c>
      <c r="J387" s="105" t="str">
        <f>IF(AND('2.报价结算清单'!$P490&gt;0,'2.报价结算清单'!$B490&lt;&gt;0,'2.报价结算清单'!I490&lt;&gt;0),'2.报价结算清单'!I490,"")</f>
        <v/>
      </c>
      <c r="K387" s="105" t="str">
        <f>IF(AND('2.报价结算清单'!$P490&gt;0,'2.报价结算清单'!$B490&lt;&gt;0,'2.报价结算清单'!$F490&lt;&gt;0),'2.报价结算清单'!N490,"")</f>
        <v/>
      </c>
      <c r="L387" s="105" t="str">
        <f>IF(AND('2.报价结算清单'!$P490&gt;0,'2.报价结算清单'!$B490&lt;&gt;0,'2.报价结算清单'!I490&lt;&gt;0),"天","")</f>
        <v/>
      </c>
      <c r="M387" s="80" t="str">
        <f t="shared" si="14"/>
        <v/>
      </c>
      <c r="N387" s="78" t="str">
        <f t="shared" si="15"/>
        <v/>
      </c>
      <c r="O387" s="78" t="str">
        <f>IF(AND('2.报价结算清单'!$P490&gt;0,'2.报价结算清单'!$B490&lt;&gt;0,'2.报价结算清单'!S490&lt;&gt;0),'2.报价结算清单'!S490,"")</f>
        <v/>
      </c>
      <c r="P387" s="78" t="str">
        <f>IF(AND('2.报价结算清单'!$P490&gt;0,'2.报价结算清单'!$B490&lt;&gt;0,'2.报价结算清单'!T490&lt;&gt;0),'2.报价结算清单'!T490,"")</f>
        <v/>
      </c>
      <c r="Q387" s="78" t="str">
        <f>IF(F387="",J387,VLOOKUP(F387,框架条目清单!A:K,4,FALSE))</f>
        <v/>
      </c>
      <c r="R387" s="106" t="str">
        <f>IF($A387="","",'2.报价结算清单'!$K$183)</f>
        <v/>
      </c>
      <c r="S387" s="80" t="str">
        <f>IF($A387="","",'2.报价结算清单'!$E$183)</f>
        <v/>
      </c>
      <c r="T387" s="78" t="str">
        <f>IF(F387="","",VLOOKUP(F387,框架条目清单!A:K,7,FALSE))</f>
        <v/>
      </c>
      <c r="U387" s="78" t="str">
        <f>IF(F387="","",VLOOKUP(F387,框架条目清单!A:K,8,FALSE))</f>
        <v/>
      </c>
      <c r="V387" s="78" t="str">
        <f>IF(F387="","",VLOOKUP(F387,框架条目清单!A:K,9,FALSE))</f>
        <v/>
      </c>
    </row>
    <row r="388" spans="1:22">
      <c r="A388" s="78" t="str">
        <f>IF(AND('2.报价结算清单'!$P491&gt;0,'2.报价结算清单'!$B491&lt;&gt;0,'2.报价结算清单'!$F491&lt;&gt;0),'2.报价结算清单'!$F491,"")</f>
        <v/>
      </c>
      <c r="B388" s="78" t="str">
        <f>_xlfn.IFNA(VLOOKUP(A388,'3.框架内物料'!$A:$I,3,0),A388)</f>
        <v/>
      </c>
      <c r="C388" s="78" t="str">
        <f>IF(AND('2.报价结算清单'!$P491&gt;0,'2.报价结算清单'!$B491&lt;&gt;0,'2.报价结算清单'!C491&lt;&gt;0),'2.报价结算清单'!C491,"")</f>
        <v/>
      </c>
      <c r="D388" s="78" t="str">
        <f>IF(AND('2.报价结算清单'!$P491&gt;0,'2.报价结算清单'!$B491&lt;&gt;0,'2.报价结算清单'!D491&lt;&gt;0),'2.报价结算清单'!D491,"")</f>
        <v/>
      </c>
      <c r="E388" s="78" t="str">
        <f>IF(AND('2.报价结算清单'!$P491&gt;0,'2.报价结算清单'!$B491&lt;&gt;0,'2.报价结算清单'!E491&lt;&gt;0),'2.报价结算清单'!E491,"")</f>
        <v/>
      </c>
      <c r="F388" s="105" t="str">
        <f>_xlfn.IFNA(IF($A388="","",IF(VLOOKUP($A388,'3.框架内物料'!$A:$I,2,0)="","",VLOOKUP($A388,'3.框架内物料'!$A:$I,2,0))),"")</f>
        <v/>
      </c>
      <c r="G388" s="87" t="str">
        <f>IF(AND('2.报价结算清单'!$P491&gt;0,'2.报价结算清单'!$B491&lt;&gt;0,'2.报价结算清单'!H491&lt;&gt;0),'2.报价结算清单'!H491,"")</f>
        <v/>
      </c>
      <c r="H388" s="122" t="str">
        <f>IF(AND('2.报价结算清单'!$P491&gt;0,'2.报价结算清单'!$B491&lt;&gt;0,'2.报价结算清单'!$F491&lt;&gt;0),'2.报价结算清单'!J491,"")</f>
        <v/>
      </c>
      <c r="I388" s="105" t="str">
        <f>IF(AND('2.报价结算清单'!$P491&gt;0,'2.报价结算清单'!$B491&lt;&gt;0,'2.报价结算清单'!$F491&lt;&gt;0),'2.报价结算清单'!L491,"")</f>
        <v/>
      </c>
      <c r="J388" s="105" t="str">
        <f>IF(AND('2.报价结算清单'!$P491&gt;0,'2.报价结算清单'!$B491&lt;&gt;0,'2.报价结算清单'!I491&lt;&gt;0),'2.报价结算清单'!I491,"")</f>
        <v/>
      </c>
      <c r="K388" s="105" t="str">
        <f>IF(AND('2.报价结算清单'!$P491&gt;0,'2.报价结算清单'!$B491&lt;&gt;0,'2.报价结算清单'!$F491&lt;&gt;0),'2.报价结算清单'!N491,"")</f>
        <v/>
      </c>
      <c r="L388" s="105" t="str">
        <f>IF(AND('2.报价结算清单'!$P491&gt;0,'2.报价结算清单'!$B491&lt;&gt;0,'2.报价结算清单'!I491&lt;&gt;0),"天","")</f>
        <v/>
      </c>
      <c r="M388" s="80" t="str">
        <f t="shared" si="14"/>
        <v/>
      </c>
      <c r="N388" s="78" t="str">
        <f t="shared" si="15"/>
        <v/>
      </c>
      <c r="O388" s="78" t="str">
        <f>IF(AND('2.报价结算清单'!$P491&gt;0,'2.报价结算清单'!$B491&lt;&gt;0,'2.报价结算清单'!S491&lt;&gt;0),'2.报价结算清单'!S491,"")</f>
        <v/>
      </c>
      <c r="P388" s="78" t="str">
        <f>IF(AND('2.报价结算清单'!$P491&gt;0,'2.报价结算清单'!$B491&lt;&gt;0,'2.报价结算清单'!T491&lt;&gt;0),'2.报价结算清单'!T491,"")</f>
        <v/>
      </c>
      <c r="Q388" s="78" t="str">
        <f>IF(F388="",J388,VLOOKUP(F388,框架条目清单!A:K,4,FALSE))</f>
        <v/>
      </c>
      <c r="R388" s="106" t="str">
        <f>IF($A388="","",'2.报价结算清单'!$K$183)</f>
        <v/>
      </c>
      <c r="S388" s="80" t="str">
        <f>IF($A388="","",'2.报价结算清单'!$E$183)</f>
        <v/>
      </c>
      <c r="T388" s="78" t="str">
        <f>IF(F388="","",VLOOKUP(F388,框架条目清单!A:K,7,FALSE))</f>
        <v/>
      </c>
      <c r="U388" s="78" t="str">
        <f>IF(F388="","",VLOOKUP(F388,框架条目清单!A:K,8,FALSE))</f>
        <v/>
      </c>
      <c r="V388" s="78" t="str">
        <f>IF(F388="","",VLOOKUP(F388,框架条目清单!A:K,9,FALSE))</f>
        <v/>
      </c>
    </row>
    <row r="389" spans="1:22">
      <c r="A389" s="78" t="str">
        <f>IF(AND('2.报价结算清单'!$P492&gt;0,'2.报价结算清单'!$B492&lt;&gt;0,'2.报价结算清单'!$F492&lt;&gt;0),'2.报价结算清单'!$F492,"")</f>
        <v/>
      </c>
      <c r="B389" s="78" t="str">
        <f>_xlfn.IFNA(VLOOKUP(A389,'3.框架内物料'!$A:$I,3,0),A389)</f>
        <v/>
      </c>
      <c r="C389" s="78" t="str">
        <f>IF(AND('2.报价结算清单'!$P492&gt;0,'2.报价结算清单'!$B492&lt;&gt;0,'2.报价结算清单'!C492&lt;&gt;0),'2.报价结算清单'!C492,"")</f>
        <v/>
      </c>
      <c r="D389" s="78" t="str">
        <f>IF(AND('2.报价结算清单'!$P492&gt;0,'2.报价结算清单'!$B492&lt;&gt;0,'2.报价结算清单'!D492&lt;&gt;0),'2.报价结算清单'!D492,"")</f>
        <v/>
      </c>
      <c r="E389" s="78" t="str">
        <f>IF(AND('2.报价结算清单'!$P492&gt;0,'2.报价结算清单'!$B492&lt;&gt;0,'2.报价结算清单'!E492&lt;&gt;0),'2.报价结算清单'!E492,"")</f>
        <v/>
      </c>
      <c r="F389" s="105" t="str">
        <f>_xlfn.IFNA(IF($A389="","",IF(VLOOKUP($A389,'3.框架内物料'!$A:$I,2,0)="","",VLOOKUP($A389,'3.框架内物料'!$A:$I,2,0))),"")</f>
        <v/>
      </c>
      <c r="G389" s="87" t="str">
        <f>IF(AND('2.报价结算清单'!$P492&gt;0,'2.报价结算清单'!$B492&lt;&gt;0,'2.报价结算清单'!H492&lt;&gt;0),'2.报价结算清单'!H492,"")</f>
        <v/>
      </c>
      <c r="H389" s="122" t="str">
        <f>IF(AND('2.报价结算清单'!$P492&gt;0,'2.报价结算清单'!$B492&lt;&gt;0,'2.报价结算清单'!$F492&lt;&gt;0),'2.报价结算清单'!J492,"")</f>
        <v/>
      </c>
      <c r="I389" s="105" t="str">
        <f>IF(AND('2.报价结算清单'!$P492&gt;0,'2.报价结算清单'!$B492&lt;&gt;0,'2.报价结算清单'!$F492&lt;&gt;0),'2.报价结算清单'!L492,"")</f>
        <v/>
      </c>
      <c r="J389" s="105" t="str">
        <f>IF(AND('2.报价结算清单'!$P492&gt;0,'2.报价结算清单'!$B492&lt;&gt;0,'2.报价结算清单'!I492&lt;&gt;0),'2.报价结算清单'!I492,"")</f>
        <v/>
      </c>
      <c r="K389" s="105" t="str">
        <f>IF(AND('2.报价结算清单'!$P492&gt;0,'2.报价结算清单'!$B492&lt;&gt;0,'2.报价结算清单'!$F492&lt;&gt;0),'2.报价结算清单'!N492,"")</f>
        <v/>
      </c>
      <c r="L389" s="105" t="str">
        <f>IF(AND('2.报价结算清单'!$P492&gt;0,'2.报价结算清单'!$B492&lt;&gt;0,'2.报价结算清单'!I492&lt;&gt;0),"天","")</f>
        <v/>
      </c>
      <c r="M389" s="80" t="str">
        <f t="shared" si="14"/>
        <v/>
      </c>
      <c r="N389" s="78" t="str">
        <f t="shared" si="15"/>
        <v/>
      </c>
      <c r="O389" s="78" t="str">
        <f>IF(AND('2.报价结算清单'!$P492&gt;0,'2.报价结算清单'!$B492&lt;&gt;0,'2.报价结算清单'!S492&lt;&gt;0),'2.报价结算清单'!S492,"")</f>
        <v/>
      </c>
      <c r="P389" s="78" t="str">
        <f>IF(AND('2.报价结算清单'!$P492&gt;0,'2.报价结算清单'!$B492&lt;&gt;0,'2.报价结算清单'!T492&lt;&gt;0),'2.报价结算清单'!T492,"")</f>
        <v/>
      </c>
      <c r="Q389" s="78" t="str">
        <f>IF(F389="",J389,VLOOKUP(F389,框架条目清单!A:K,4,FALSE))</f>
        <v/>
      </c>
      <c r="R389" s="106" t="str">
        <f>IF($A389="","",'2.报价结算清单'!$K$183)</f>
        <v/>
      </c>
      <c r="S389" s="80" t="str">
        <f>IF($A389="","",'2.报价结算清单'!$E$183)</f>
        <v/>
      </c>
      <c r="T389" s="78" t="str">
        <f>IF(F389="","",VLOOKUP(F389,框架条目清单!A:K,7,FALSE))</f>
        <v/>
      </c>
      <c r="U389" s="78" t="str">
        <f>IF(F389="","",VLOOKUP(F389,框架条目清单!A:K,8,FALSE))</f>
        <v/>
      </c>
      <c r="V389" s="78" t="str">
        <f>IF(F389="","",VLOOKUP(F389,框架条目清单!A:K,9,FALSE))</f>
        <v/>
      </c>
    </row>
    <row r="390" spans="1:22">
      <c r="A390" s="78" t="str">
        <f>IF(AND('2.报价结算清单'!$P493&gt;0,'2.报价结算清单'!$B493&lt;&gt;0,'2.报价结算清单'!$F493&lt;&gt;0),'2.报价结算清单'!$F493,"")</f>
        <v/>
      </c>
      <c r="B390" s="78" t="str">
        <f>_xlfn.IFNA(VLOOKUP(A390,'3.框架内物料'!$A:$I,3,0),A390)</f>
        <v/>
      </c>
      <c r="C390" s="78" t="str">
        <f>IF(AND('2.报价结算清单'!$P493&gt;0,'2.报价结算清单'!$B493&lt;&gt;0,'2.报价结算清单'!C493&lt;&gt;0),'2.报价结算清单'!C493,"")</f>
        <v/>
      </c>
      <c r="D390" s="78" t="str">
        <f>IF(AND('2.报价结算清单'!$P493&gt;0,'2.报价结算清单'!$B493&lt;&gt;0,'2.报价结算清单'!D493&lt;&gt;0),'2.报价结算清单'!D493,"")</f>
        <v/>
      </c>
      <c r="E390" s="78" t="str">
        <f>IF(AND('2.报价结算清单'!$P493&gt;0,'2.报价结算清单'!$B493&lt;&gt;0,'2.报价结算清单'!E493&lt;&gt;0),'2.报价结算清单'!E493,"")</f>
        <v/>
      </c>
      <c r="F390" s="105" t="str">
        <f>_xlfn.IFNA(IF($A390="","",IF(VLOOKUP($A390,'3.框架内物料'!$A:$I,2,0)="","",VLOOKUP($A390,'3.框架内物料'!$A:$I,2,0))),"")</f>
        <v/>
      </c>
      <c r="G390" s="87" t="str">
        <f>IF(AND('2.报价结算清单'!$P493&gt;0,'2.报价结算清单'!$B493&lt;&gt;0,'2.报价结算清单'!H493&lt;&gt;0),'2.报价结算清单'!H493,"")</f>
        <v/>
      </c>
      <c r="H390" s="122" t="str">
        <f>IF(AND('2.报价结算清单'!$P493&gt;0,'2.报价结算清单'!$B493&lt;&gt;0,'2.报价结算清单'!$F493&lt;&gt;0),'2.报价结算清单'!J493,"")</f>
        <v/>
      </c>
      <c r="I390" s="105" t="str">
        <f>IF(AND('2.报价结算清单'!$P493&gt;0,'2.报价结算清单'!$B493&lt;&gt;0,'2.报价结算清单'!$F493&lt;&gt;0),'2.报价结算清单'!L493,"")</f>
        <v/>
      </c>
      <c r="J390" s="105" t="str">
        <f>IF(AND('2.报价结算清单'!$P493&gt;0,'2.报价结算清单'!$B493&lt;&gt;0,'2.报价结算清单'!I493&lt;&gt;0),'2.报价结算清单'!I493,"")</f>
        <v/>
      </c>
      <c r="K390" s="105" t="str">
        <f>IF(AND('2.报价结算清单'!$P493&gt;0,'2.报价结算清单'!$B493&lt;&gt;0,'2.报价结算清单'!$F493&lt;&gt;0),'2.报价结算清单'!N493,"")</f>
        <v/>
      </c>
      <c r="L390" s="105" t="str">
        <f>IF(AND('2.报价结算清单'!$P493&gt;0,'2.报价结算清单'!$B493&lt;&gt;0,'2.报价结算清单'!I493&lt;&gt;0),"天","")</f>
        <v/>
      </c>
      <c r="M390" s="80" t="str">
        <f t="shared" si="14"/>
        <v/>
      </c>
      <c r="N390" s="78" t="str">
        <f t="shared" si="15"/>
        <v/>
      </c>
      <c r="O390" s="78" t="str">
        <f>IF(AND('2.报价结算清单'!$P493&gt;0,'2.报价结算清单'!$B493&lt;&gt;0,'2.报价结算清单'!S493&lt;&gt;0),'2.报价结算清单'!S493,"")</f>
        <v/>
      </c>
      <c r="P390" s="78" t="str">
        <f>IF(AND('2.报价结算清单'!$P493&gt;0,'2.报价结算清单'!$B493&lt;&gt;0,'2.报价结算清单'!T493&lt;&gt;0),'2.报价结算清单'!T493,"")</f>
        <v/>
      </c>
      <c r="Q390" s="78" t="str">
        <f>IF(F390="",J390,VLOOKUP(F390,框架条目清单!A:K,4,FALSE))</f>
        <v/>
      </c>
      <c r="R390" s="106" t="str">
        <f>IF($A390="","",'2.报价结算清单'!$K$183)</f>
        <v/>
      </c>
      <c r="S390" s="80" t="str">
        <f>IF($A390="","",'2.报价结算清单'!$E$183)</f>
        <v/>
      </c>
      <c r="T390" s="78" t="str">
        <f>IF(F390="","",VLOOKUP(F390,框架条目清单!A:K,7,FALSE))</f>
        <v/>
      </c>
      <c r="U390" s="78" t="str">
        <f>IF(F390="","",VLOOKUP(F390,框架条目清单!A:K,8,FALSE))</f>
        <v/>
      </c>
      <c r="V390" s="78" t="str">
        <f>IF(F390="","",VLOOKUP(F390,框架条目清单!A:K,9,FALSE))</f>
        <v/>
      </c>
    </row>
    <row r="391" spans="1:22">
      <c r="A391" s="78" t="str">
        <f>IF(AND('2.报价结算清单'!$P494&gt;0,'2.报价结算清单'!$B494&lt;&gt;0,'2.报价结算清单'!$F494&lt;&gt;0),'2.报价结算清单'!$F494,"")</f>
        <v/>
      </c>
      <c r="B391" s="78" t="str">
        <f>_xlfn.IFNA(VLOOKUP(A391,'3.框架内物料'!$A:$I,3,0),A391)</f>
        <v/>
      </c>
      <c r="C391" s="78" t="str">
        <f>IF(AND('2.报价结算清单'!$P494&gt;0,'2.报价结算清单'!$B494&lt;&gt;0,'2.报价结算清单'!C494&lt;&gt;0),'2.报价结算清单'!C494,"")</f>
        <v/>
      </c>
      <c r="D391" s="78" t="str">
        <f>IF(AND('2.报价结算清单'!$P494&gt;0,'2.报价结算清单'!$B494&lt;&gt;0,'2.报价结算清单'!D494&lt;&gt;0),'2.报价结算清单'!D494,"")</f>
        <v/>
      </c>
      <c r="E391" s="78" t="str">
        <f>IF(AND('2.报价结算清单'!$P494&gt;0,'2.报价结算清单'!$B494&lt;&gt;0,'2.报价结算清单'!E494&lt;&gt;0),'2.报价结算清单'!E494,"")</f>
        <v/>
      </c>
      <c r="F391" s="105" t="str">
        <f>_xlfn.IFNA(IF($A391="","",IF(VLOOKUP($A391,'3.框架内物料'!$A:$I,2,0)="","",VLOOKUP($A391,'3.框架内物料'!$A:$I,2,0))),"")</f>
        <v/>
      </c>
      <c r="G391" s="87" t="str">
        <f>IF(AND('2.报价结算清单'!$P494&gt;0,'2.报价结算清单'!$B494&lt;&gt;0,'2.报价结算清单'!H494&lt;&gt;0),'2.报价结算清单'!H494,"")</f>
        <v/>
      </c>
      <c r="H391" s="122" t="str">
        <f>IF(AND('2.报价结算清单'!$P494&gt;0,'2.报价结算清单'!$B494&lt;&gt;0,'2.报价结算清单'!$F494&lt;&gt;0),'2.报价结算清单'!J494,"")</f>
        <v/>
      </c>
      <c r="I391" s="105" t="str">
        <f>IF(AND('2.报价结算清单'!$P494&gt;0,'2.报价结算清单'!$B494&lt;&gt;0,'2.报价结算清单'!$F494&lt;&gt;0),'2.报价结算清单'!L494,"")</f>
        <v/>
      </c>
      <c r="J391" s="105" t="str">
        <f>IF(AND('2.报价结算清单'!$P494&gt;0,'2.报价结算清单'!$B494&lt;&gt;0,'2.报价结算清单'!I494&lt;&gt;0),'2.报价结算清单'!I494,"")</f>
        <v/>
      </c>
      <c r="K391" s="105" t="str">
        <f>IF(AND('2.报价结算清单'!$P494&gt;0,'2.报价结算清单'!$B494&lt;&gt;0,'2.报价结算清单'!$F494&lt;&gt;0),'2.报价结算清单'!N494,"")</f>
        <v/>
      </c>
      <c r="L391" s="105" t="str">
        <f>IF(AND('2.报价结算清单'!$P494&gt;0,'2.报价结算清单'!$B494&lt;&gt;0,'2.报价结算清单'!I494&lt;&gt;0),"天","")</f>
        <v/>
      </c>
      <c r="M391" s="80" t="str">
        <f t="shared" si="14"/>
        <v/>
      </c>
      <c r="N391" s="78" t="str">
        <f t="shared" si="15"/>
        <v/>
      </c>
      <c r="O391" s="78" t="str">
        <f>IF(AND('2.报价结算清单'!$P494&gt;0,'2.报价结算清单'!$B494&lt;&gt;0,'2.报价结算清单'!S494&lt;&gt;0),'2.报价结算清单'!S494,"")</f>
        <v/>
      </c>
      <c r="P391" s="78" t="str">
        <f>IF(AND('2.报价结算清单'!$P494&gt;0,'2.报价结算清单'!$B494&lt;&gt;0,'2.报价结算清单'!T494&lt;&gt;0),'2.报价结算清单'!T494,"")</f>
        <v/>
      </c>
      <c r="Q391" s="78" t="str">
        <f>IF(F391="",J391,VLOOKUP(F391,框架条目清单!A:K,4,FALSE))</f>
        <v/>
      </c>
      <c r="R391" s="106" t="str">
        <f>IF($A391="","",'2.报价结算清单'!$K$183)</f>
        <v/>
      </c>
      <c r="S391" s="80" t="str">
        <f>IF($A391="","",'2.报价结算清单'!$E$183)</f>
        <v/>
      </c>
      <c r="T391" s="78" t="str">
        <f>IF(F391="","",VLOOKUP(F391,框架条目清单!A:K,7,FALSE))</f>
        <v/>
      </c>
      <c r="U391" s="78" t="str">
        <f>IF(F391="","",VLOOKUP(F391,框架条目清单!A:K,8,FALSE))</f>
        <v/>
      </c>
      <c r="V391" s="78" t="str">
        <f>IF(F391="","",VLOOKUP(F391,框架条目清单!A:K,9,FALSE))</f>
        <v/>
      </c>
    </row>
    <row r="392" spans="1:22">
      <c r="A392" s="78" t="str">
        <f>IF(AND('2.报价结算清单'!$P495&gt;0,'2.报价结算清单'!$B495&lt;&gt;0,'2.报价结算清单'!$F495&lt;&gt;0),'2.报价结算清单'!$F495,"")</f>
        <v/>
      </c>
      <c r="B392" s="78" t="str">
        <f>_xlfn.IFNA(VLOOKUP(A392,'3.框架内物料'!$A:$I,3,0),A392)</f>
        <v/>
      </c>
      <c r="C392" s="78" t="str">
        <f>IF(AND('2.报价结算清单'!$P495&gt;0,'2.报价结算清单'!$B495&lt;&gt;0,'2.报价结算清单'!C495&lt;&gt;0),'2.报价结算清单'!C495,"")</f>
        <v/>
      </c>
      <c r="D392" s="78" t="str">
        <f>IF(AND('2.报价结算清单'!$P495&gt;0,'2.报价结算清单'!$B495&lt;&gt;0,'2.报价结算清单'!D495&lt;&gt;0),'2.报价结算清单'!D495,"")</f>
        <v/>
      </c>
      <c r="E392" s="78" t="str">
        <f>IF(AND('2.报价结算清单'!$P495&gt;0,'2.报价结算清单'!$B495&lt;&gt;0,'2.报价结算清单'!E495&lt;&gt;0),'2.报价结算清单'!E495,"")</f>
        <v/>
      </c>
      <c r="F392" s="105" t="str">
        <f>_xlfn.IFNA(IF($A392="","",IF(VLOOKUP($A392,'3.框架内物料'!$A:$I,2,0)="","",VLOOKUP($A392,'3.框架内物料'!$A:$I,2,0))),"")</f>
        <v/>
      </c>
      <c r="G392" s="87" t="str">
        <f>IF(AND('2.报价结算清单'!$P495&gt;0,'2.报价结算清单'!$B495&lt;&gt;0,'2.报价结算清单'!H495&lt;&gt;0),'2.报价结算清单'!H495,"")</f>
        <v/>
      </c>
      <c r="H392" s="122" t="str">
        <f>IF(AND('2.报价结算清单'!$P495&gt;0,'2.报价结算清单'!$B495&lt;&gt;0,'2.报价结算清单'!$F495&lt;&gt;0),'2.报价结算清单'!J495,"")</f>
        <v/>
      </c>
      <c r="I392" s="105" t="str">
        <f>IF(AND('2.报价结算清单'!$P495&gt;0,'2.报价结算清单'!$B495&lt;&gt;0,'2.报价结算清单'!$F495&lt;&gt;0),'2.报价结算清单'!L495,"")</f>
        <v/>
      </c>
      <c r="J392" s="105" t="str">
        <f>IF(AND('2.报价结算清单'!$P495&gt;0,'2.报价结算清单'!$B495&lt;&gt;0,'2.报价结算清单'!I495&lt;&gt;0),'2.报价结算清单'!I495,"")</f>
        <v/>
      </c>
      <c r="K392" s="105" t="str">
        <f>IF(AND('2.报价结算清单'!$P495&gt;0,'2.报价结算清单'!$B495&lt;&gt;0,'2.报价结算清单'!$F495&lt;&gt;0),'2.报价结算清单'!N495,"")</f>
        <v/>
      </c>
      <c r="L392" s="105" t="str">
        <f>IF(AND('2.报价结算清单'!$P495&gt;0,'2.报价结算清单'!$B495&lt;&gt;0,'2.报价结算清单'!I495&lt;&gt;0),"天","")</f>
        <v/>
      </c>
      <c r="M392" s="80" t="str">
        <f t="shared" ref="M392:M455" si="16">IF(A392="框架外物料","框架外",IF(A392="据实结算","据实结算",IF(A392="","","框架内")))</f>
        <v/>
      </c>
      <c r="N392" s="78" t="str">
        <f t="shared" ref="N392:N455" si="17">IFERROR(IF(H392*I392*K392=0,"",H392*I392*K392),"")</f>
        <v/>
      </c>
      <c r="O392" s="78" t="str">
        <f>IF(AND('2.报价结算清单'!$P495&gt;0,'2.报价结算清单'!$B495&lt;&gt;0,'2.报价结算清单'!S495&lt;&gt;0),'2.报价结算清单'!S495,"")</f>
        <v/>
      </c>
      <c r="P392" s="78" t="str">
        <f>IF(AND('2.报价结算清单'!$P495&gt;0,'2.报价结算清单'!$B495&lt;&gt;0,'2.报价结算清单'!T495&lt;&gt;0),'2.报价结算清单'!T495,"")</f>
        <v/>
      </c>
      <c r="Q392" s="78" t="str">
        <f>IF(F392="",J392,VLOOKUP(F392,框架条目清单!A:K,4,FALSE))</f>
        <v/>
      </c>
      <c r="R392" s="106" t="str">
        <f>IF($A392="","",'2.报价结算清单'!$K$183)</f>
        <v/>
      </c>
      <c r="S392" s="80" t="str">
        <f>IF($A392="","",'2.报价结算清单'!$E$183)</f>
        <v/>
      </c>
      <c r="T392" s="78" t="str">
        <f>IF(F392="","",VLOOKUP(F392,框架条目清单!A:K,7,FALSE))</f>
        <v/>
      </c>
      <c r="U392" s="78" t="str">
        <f>IF(F392="","",VLOOKUP(F392,框架条目清单!A:K,8,FALSE))</f>
        <v/>
      </c>
      <c r="V392" s="78" t="str">
        <f>IF(F392="","",VLOOKUP(F392,框架条目清单!A:K,9,FALSE))</f>
        <v/>
      </c>
    </row>
    <row r="393" spans="1:22">
      <c r="A393" s="78" t="str">
        <f>IF(AND('2.报价结算清单'!$P496&gt;0,'2.报价结算清单'!$B496&lt;&gt;0,'2.报价结算清单'!$F496&lt;&gt;0),'2.报价结算清单'!$F496,"")</f>
        <v/>
      </c>
      <c r="B393" s="78" t="str">
        <f>_xlfn.IFNA(VLOOKUP(A393,'3.框架内物料'!$A:$I,3,0),A393)</f>
        <v/>
      </c>
      <c r="C393" s="78" t="str">
        <f>IF(AND('2.报价结算清单'!$P496&gt;0,'2.报价结算清单'!$B496&lt;&gt;0,'2.报价结算清单'!C496&lt;&gt;0),'2.报价结算清单'!C496,"")</f>
        <v/>
      </c>
      <c r="D393" s="78" t="str">
        <f>IF(AND('2.报价结算清单'!$P496&gt;0,'2.报价结算清单'!$B496&lt;&gt;0,'2.报价结算清单'!D496&lt;&gt;0),'2.报价结算清单'!D496,"")</f>
        <v/>
      </c>
      <c r="E393" s="78" t="str">
        <f>IF(AND('2.报价结算清单'!$P496&gt;0,'2.报价结算清单'!$B496&lt;&gt;0,'2.报价结算清单'!E496&lt;&gt;0),'2.报价结算清单'!E496,"")</f>
        <v/>
      </c>
      <c r="F393" s="105" t="str">
        <f>_xlfn.IFNA(IF($A393="","",IF(VLOOKUP($A393,'3.框架内物料'!$A:$I,2,0)="","",VLOOKUP($A393,'3.框架内物料'!$A:$I,2,0))),"")</f>
        <v/>
      </c>
      <c r="G393" s="87" t="str">
        <f>IF(AND('2.报价结算清单'!$P496&gt;0,'2.报价结算清单'!$B496&lt;&gt;0,'2.报价结算清单'!H496&lt;&gt;0),'2.报价结算清单'!H496,"")</f>
        <v/>
      </c>
      <c r="H393" s="122" t="str">
        <f>IF(AND('2.报价结算清单'!$P496&gt;0,'2.报价结算清单'!$B496&lt;&gt;0,'2.报价结算清单'!$F496&lt;&gt;0),'2.报价结算清单'!J496,"")</f>
        <v/>
      </c>
      <c r="I393" s="105" t="str">
        <f>IF(AND('2.报价结算清单'!$P496&gt;0,'2.报价结算清单'!$B496&lt;&gt;0,'2.报价结算清单'!$F496&lt;&gt;0),'2.报价结算清单'!L496,"")</f>
        <v/>
      </c>
      <c r="J393" s="105" t="str">
        <f>IF(AND('2.报价结算清单'!$P496&gt;0,'2.报价结算清单'!$B496&lt;&gt;0,'2.报价结算清单'!I496&lt;&gt;0),'2.报价结算清单'!I496,"")</f>
        <v/>
      </c>
      <c r="K393" s="105" t="str">
        <f>IF(AND('2.报价结算清单'!$P496&gt;0,'2.报价结算清单'!$B496&lt;&gt;0,'2.报价结算清单'!$F496&lt;&gt;0),'2.报价结算清单'!N496,"")</f>
        <v/>
      </c>
      <c r="L393" s="105" t="str">
        <f>IF(AND('2.报价结算清单'!$P496&gt;0,'2.报价结算清单'!$B496&lt;&gt;0,'2.报价结算清单'!I496&lt;&gt;0),"天","")</f>
        <v/>
      </c>
      <c r="M393" s="80" t="str">
        <f t="shared" si="16"/>
        <v/>
      </c>
      <c r="N393" s="78" t="str">
        <f t="shared" si="17"/>
        <v/>
      </c>
      <c r="O393" s="78" t="str">
        <f>IF(AND('2.报价结算清单'!$P496&gt;0,'2.报价结算清单'!$B496&lt;&gt;0,'2.报价结算清单'!S496&lt;&gt;0),'2.报价结算清单'!S496,"")</f>
        <v/>
      </c>
      <c r="P393" s="78" t="str">
        <f>IF(AND('2.报价结算清单'!$P496&gt;0,'2.报价结算清单'!$B496&lt;&gt;0,'2.报价结算清单'!T496&lt;&gt;0),'2.报价结算清单'!T496,"")</f>
        <v/>
      </c>
      <c r="Q393" s="78" t="str">
        <f>IF(F393="",J393,VLOOKUP(F393,框架条目清单!A:K,4,FALSE))</f>
        <v/>
      </c>
      <c r="R393" s="106" t="str">
        <f>IF($A393="","",'2.报价结算清单'!$K$183)</f>
        <v/>
      </c>
      <c r="S393" s="80" t="str">
        <f>IF($A393="","",'2.报价结算清单'!$E$183)</f>
        <v/>
      </c>
      <c r="T393" s="78" t="str">
        <f>IF(F393="","",VLOOKUP(F393,框架条目清单!A:K,7,FALSE))</f>
        <v/>
      </c>
      <c r="U393" s="78" t="str">
        <f>IF(F393="","",VLOOKUP(F393,框架条目清单!A:K,8,FALSE))</f>
        <v/>
      </c>
      <c r="V393" s="78" t="str">
        <f>IF(F393="","",VLOOKUP(F393,框架条目清单!A:K,9,FALSE))</f>
        <v/>
      </c>
    </row>
    <row r="394" spans="1:22">
      <c r="A394" s="78" t="str">
        <f>IF(AND('2.报价结算清单'!$P497&gt;0,'2.报价结算清单'!$B497&lt;&gt;0,'2.报价结算清单'!$F497&lt;&gt;0),'2.报价结算清单'!$F497,"")</f>
        <v/>
      </c>
      <c r="B394" s="78" t="str">
        <f>_xlfn.IFNA(VLOOKUP(A394,'3.框架内物料'!$A:$I,3,0),A394)</f>
        <v/>
      </c>
      <c r="C394" s="78" t="str">
        <f>IF(AND('2.报价结算清单'!$P497&gt;0,'2.报价结算清单'!$B497&lt;&gt;0,'2.报价结算清单'!C497&lt;&gt;0),'2.报价结算清单'!C497,"")</f>
        <v/>
      </c>
      <c r="D394" s="78" t="str">
        <f>IF(AND('2.报价结算清单'!$P497&gt;0,'2.报价结算清单'!$B497&lt;&gt;0,'2.报价结算清单'!D497&lt;&gt;0),'2.报价结算清单'!D497,"")</f>
        <v/>
      </c>
      <c r="E394" s="78" t="str">
        <f>IF(AND('2.报价结算清单'!$P497&gt;0,'2.报价结算清单'!$B497&lt;&gt;0,'2.报价结算清单'!E497&lt;&gt;0),'2.报价结算清单'!E497,"")</f>
        <v/>
      </c>
      <c r="F394" s="105" t="str">
        <f>_xlfn.IFNA(IF($A394="","",IF(VLOOKUP($A394,'3.框架内物料'!$A:$I,2,0)="","",VLOOKUP($A394,'3.框架内物料'!$A:$I,2,0))),"")</f>
        <v/>
      </c>
      <c r="G394" s="87" t="str">
        <f>IF(AND('2.报价结算清单'!$P497&gt;0,'2.报价结算清单'!$B497&lt;&gt;0,'2.报价结算清单'!H497&lt;&gt;0),'2.报价结算清单'!H497,"")</f>
        <v/>
      </c>
      <c r="H394" s="122" t="str">
        <f>IF(AND('2.报价结算清单'!$P497&gt;0,'2.报价结算清单'!$B497&lt;&gt;0,'2.报价结算清单'!$F497&lt;&gt;0),'2.报价结算清单'!J497,"")</f>
        <v/>
      </c>
      <c r="I394" s="105" t="str">
        <f>IF(AND('2.报价结算清单'!$P497&gt;0,'2.报价结算清单'!$B497&lt;&gt;0,'2.报价结算清单'!$F497&lt;&gt;0),'2.报价结算清单'!L497,"")</f>
        <v/>
      </c>
      <c r="J394" s="105" t="str">
        <f>IF(AND('2.报价结算清单'!$P497&gt;0,'2.报价结算清单'!$B497&lt;&gt;0,'2.报价结算清单'!I497&lt;&gt;0),'2.报价结算清单'!I497,"")</f>
        <v/>
      </c>
      <c r="K394" s="105" t="str">
        <f>IF(AND('2.报价结算清单'!$P497&gt;0,'2.报价结算清单'!$B497&lt;&gt;0,'2.报价结算清单'!$F497&lt;&gt;0),'2.报价结算清单'!N497,"")</f>
        <v/>
      </c>
      <c r="L394" s="105" t="str">
        <f>IF(AND('2.报价结算清单'!$P497&gt;0,'2.报价结算清单'!$B497&lt;&gt;0,'2.报价结算清单'!I497&lt;&gt;0),"天","")</f>
        <v/>
      </c>
      <c r="M394" s="80" t="str">
        <f t="shared" si="16"/>
        <v/>
      </c>
      <c r="N394" s="78" t="str">
        <f t="shared" si="17"/>
        <v/>
      </c>
      <c r="O394" s="78" t="str">
        <f>IF(AND('2.报价结算清单'!$P497&gt;0,'2.报价结算清单'!$B497&lt;&gt;0,'2.报价结算清单'!S497&lt;&gt;0),'2.报价结算清单'!S497,"")</f>
        <v/>
      </c>
      <c r="P394" s="78" t="str">
        <f>IF(AND('2.报价结算清单'!$P497&gt;0,'2.报价结算清单'!$B497&lt;&gt;0,'2.报价结算清单'!T497&lt;&gt;0),'2.报价结算清单'!T497,"")</f>
        <v/>
      </c>
      <c r="Q394" s="78" t="str">
        <f>IF(F394="",J394,VLOOKUP(F394,框架条目清单!A:K,4,FALSE))</f>
        <v/>
      </c>
      <c r="R394" s="106" t="str">
        <f>IF($A394="","",'2.报价结算清单'!$K$183)</f>
        <v/>
      </c>
      <c r="S394" s="80" t="str">
        <f>IF($A394="","",'2.报价结算清单'!$E$183)</f>
        <v/>
      </c>
      <c r="T394" s="78" t="str">
        <f>IF(F394="","",VLOOKUP(F394,框架条目清单!A:K,7,FALSE))</f>
        <v/>
      </c>
      <c r="U394" s="78" t="str">
        <f>IF(F394="","",VLOOKUP(F394,框架条目清单!A:K,8,FALSE))</f>
        <v/>
      </c>
      <c r="V394" s="78" t="str">
        <f>IF(F394="","",VLOOKUP(F394,框架条目清单!A:K,9,FALSE))</f>
        <v/>
      </c>
    </row>
    <row r="395" spans="1:22">
      <c r="A395" s="78" t="str">
        <f>IF(AND('2.报价结算清单'!$P498&gt;0,'2.报价结算清单'!$B498&lt;&gt;0,'2.报价结算清单'!$F498&lt;&gt;0),'2.报价结算清单'!$F498,"")</f>
        <v/>
      </c>
      <c r="B395" s="78" t="str">
        <f>_xlfn.IFNA(VLOOKUP(A395,'3.框架内物料'!$A:$I,3,0),A395)</f>
        <v/>
      </c>
      <c r="C395" s="78" t="str">
        <f>IF(AND('2.报价结算清单'!$P498&gt;0,'2.报价结算清单'!$B498&lt;&gt;0,'2.报价结算清单'!C498&lt;&gt;0),'2.报价结算清单'!C498,"")</f>
        <v/>
      </c>
      <c r="D395" s="78" t="str">
        <f>IF(AND('2.报价结算清单'!$P498&gt;0,'2.报价结算清单'!$B498&lt;&gt;0,'2.报价结算清单'!D498&lt;&gt;0),'2.报价结算清单'!D498,"")</f>
        <v/>
      </c>
      <c r="E395" s="78" t="str">
        <f>IF(AND('2.报价结算清单'!$P498&gt;0,'2.报价结算清单'!$B498&lt;&gt;0,'2.报价结算清单'!E498&lt;&gt;0),'2.报价结算清单'!E498,"")</f>
        <v/>
      </c>
      <c r="F395" s="105" t="str">
        <f>_xlfn.IFNA(IF($A395="","",IF(VLOOKUP($A395,'3.框架内物料'!$A:$I,2,0)="","",VLOOKUP($A395,'3.框架内物料'!$A:$I,2,0))),"")</f>
        <v/>
      </c>
      <c r="G395" s="87" t="str">
        <f>IF(AND('2.报价结算清单'!$P498&gt;0,'2.报价结算清单'!$B498&lt;&gt;0,'2.报价结算清单'!H498&lt;&gt;0),'2.报价结算清单'!H498,"")</f>
        <v/>
      </c>
      <c r="H395" s="122" t="str">
        <f>IF(AND('2.报价结算清单'!$P498&gt;0,'2.报价结算清单'!$B498&lt;&gt;0,'2.报价结算清单'!$F498&lt;&gt;0),'2.报价结算清单'!J498,"")</f>
        <v/>
      </c>
      <c r="I395" s="105" t="str">
        <f>IF(AND('2.报价结算清单'!$P498&gt;0,'2.报价结算清单'!$B498&lt;&gt;0,'2.报价结算清单'!$F498&lt;&gt;0),'2.报价结算清单'!L498,"")</f>
        <v/>
      </c>
      <c r="J395" s="105" t="str">
        <f>IF(AND('2.报价结算清单'!$P498&gt;0,'2.报价结算清单'!$B498&lt;&gt;0,'2.报价结算清单'!I498&lt;&gt;0),'2.报价结算清单'!I498,"")</f>
        <v/>
      </c>
      <c r="K395" s="105" t="str">
        <f>IF(AND('2.报价结算清单'!$P498&gt;0,'2.报价结算清单'!$B498&lt;&gt;0,'2.报价结算清单'!$F498&lt;&gt;0),'2.报价结算清单'!N498,"")</f>
        <v/>
      </c>
      <c r="L395" s="105" t="str">
        <f>IF(AND('2.报价结算清单'!$P498&gt;0,'2.报价结算清单'!$B498&lt;&gt;0,'2.报价结算清单'!I498&lt;&gt;0),"天","")</f>
        <v/>
      </c>
      <c r="M395" s="80" t="str">
        <f t="shared" si="16"/>
        <v/>
      </c>
      <c r="N395" s="78" t="str">
        <f t="shared" si="17"/>
        <v/>
      </c>
      <c r="O395" s="78" t="str">
        <f>IF(AND('2.报价结算清单'!$P498&gt;0,'2.报价结算清单'!$B498&lt;&gt;0,'2.报价结算清单'!S498&lt;&gt;0),'2.报价结算清单'!S498,"")</f>
        <v/>
      </c>
      <c r="P395" s="78" t="str">
        <f>IF(AND('2.报价结算清单'!$P498&gt;0,'2.报价结算清单'!$B498&lt;&gt;0,'2.报价结算清单'!T498&lt;&gt;0),'2.报价结算清单'!T498,"")</f>
        <v/>
      </c>
      <c r="Q395" s="78" t="str">
        <f>IF(F395="",J395,VLOOKUP(F395,框架条目清单!A:K,4,FALSE))</f>
        <v/>
      </c>
      <c r="R395" s="106" t="str">
        <f>IF($A395="","",'2.报价结算清单'!$K$183)</f>
        <v/>
      </c>
      <c r="S395" s="80" t="str">
        <f>IF($A395="","",'2.报价结算清单'!$E$183)</f>
        <v/>
      </c>
      <c r="T395" s="78" t="str">
        <f>IF(F395="","",VLOOKUP(F395,框架条目清单!A:K,7,FALSE))</f>
        <v/>
      </c>
      <c r="U395" s="78" t="str">
        <f>IF(F395="","",VLOOKUP(F395,框架条目清单!A:K,8,FALSE))</f>
        <v/>
      </c>
      <c r="V395" s="78" t="str">
        <f>IF(F395="","",VLOOKUP(F395,框架条目清单!A:K,9,FALSE))</f>
        <v/>
      </c>
    </row>
    <row r="396" spans="1:22">
      <c r="A396" s="78" t="str">
        <f>IF(AND('2.报价结算清单'!$P499&gt;0,'2.报价结算清单'!$B499&lt;&gt;0,'2.报价结算清单'!$F499&lt;&gt;0),'2.报价结算清单'!$F499,"")</f>
        <v/>
      </c>
      <c r="B396" s="78" t="str">
        <f>_xlfn.IFNA(VLOOKUP(A396,'3.框架内物料'!$A:$I,3,0),A396)</f>
        <v/>
      </c>
      <c r="C396" s="78" t="str">
        <f>IF(AND('2.报价结算清单'!$P499&gt;0,'2.报价结算清单'!$B499&lt;&gt;0,'2.报价结算清单'!C499&lt;&gt;0),'2.报价结算清单'!C499,"")</f>
        <v/>
      </c>
      <c r="D396" s="78" t="str">
        <f>IF(AND('2.报价结算清单'!$P499&gt;0,'2.报价结算清单'!$B499&lt;&gt;0,'2.报价结算清单'!D499&lt;&gt;0),'2.报价结算清单'!D499,"")</f>
        <v/>
      </c>
      <c r="E396" s="78" t="str">
        <f>IF(AND('2.报价结算清单'!$P499&gt;0,'2.报价结算清单'!$B499&lt;&gt;0,'2.报价结算清单'!E499&lt;&gt;0),'2.报价结算清单'!E499,"")</f>
        <v/>
      </c>
      <c r="F396" s="105" t="str">
        <f>_xlfn.IFNA(IF($A396="","",IF(VLOOKUP($A396,'3.框架内物料'!$A:$I,2,0)="","",VLOOKUP($A396,'3.框架内物料'!$A:$I,2,0))),"")</f>
        <v/>
      </c>
      <c r="G396" s="87" t="str">
        <f>IF(AND('2.报价结算清单'!$P499&gt;0,'2.报价结算清单'!$B499&lt;&gt;0,'2.报价结算清单'!H499&lt;&gt;0),'2.报价结算清单'!H499,"")</f>
        <v/>
      </c>
      <c r="H396" s="122" t="str">
        <f>IF(AND('2.报价结算清单'!$P499&gt;0,'2.报价结算清单'!$B499&lt;&gt;0,'2.报价结算清单'!$F499&lt;&gt;0),'2.报价结算清单'!J499,"")</f>
        <v/>
      </c>
      <c r="I396" s="105" t="str">
        <f>IF(AND('2.报价结算清单'!$P499&gt;0,'2.报价结算清单'!$B499&lt;&gt;0,'2.报价结算清单'!$F499&lt;&gt;0),'2.报价结算清单'!L499,"")</f>
        <v/>
      </c>
      <c r="J396" s="105" t="str">
        <f>IF(AND('2.报价结算清单'!$P499&gt;0,'2.报价结算清单'!$B499&lt;&gt;0,'2.报价结算清单'!I499&lt;&gt;0),'2.报价结算清单'!I499,"")</f>
        <v/>
      </c>
      <c r="K396" s="105" t="str">
        <f>IF(AND('2.报价结算清单'!$P499&gt;0,'2.报价结算清单'!$B499&lt;&gt;0,'2.报价结算清单'!$F499&lt;&gt;0),'2.报价结算清单'!N499,"")</f>
        <v/>
      </c>
      <c r="L396" s="105" t="str">
        <f>IF(AND('2.报价结算清单'!$P499&gt;0,'2.报价结算清单'!$B499&lt;&gt;0,'2.报价结算清单'!I499&lt;&gt;0),"天","")</f>
        <v/>
      </c>
      <c r="M396" s="80" t="str">
        <f t="shared" si="16"/>
        <v/>
      </c>
      <c r="N396" s="78" t="str">
        <f t="shared" si="17"/>
        <v/>
      </c>
      <c r="O396" s="78" t="str">
        <f>IF(AND('2.报价结算清单'!$P499&gt;0,'2.报价结算清单'!$B499&lt;&gt;0,'2.报价结算清单'!S499&lt;&gt;0),'2.报价结算清单'!S499,"")</f>
        <v/>
      </c>
      <c r="P396" s="78" t="str">
        <f>IF(AND('2.报价结算清单'!$P499&gt;0,'2.报价结算清单'!$B499&lt;&gt;0,'2.报价结算清单'!T499&lt;&gt;0),'2.报价结算清单'!T499,"")</f>
        <v/>
      </c>
      <c r="Q396" s="78" t="str">
        <f>IF(F396="",J396,VLOOKUP(F396,框架条目清单!A:K,4,FALSE))</f>
        <v/>
      </c>
      <c r="R396" s="106" t="str">
        <f>IF($A396="","",'2.报价结算清单'!$K$183)</f>
        <v/>
      </c>
      <c r="S396" s="80" t="str">
        <f>IF($A396="","",'2.报价结算清单'!$E$183)</f>
        <v/>
      </c>
      <c r="T396" s="78" t="str">
        <f>IF(F396="","",VLOOKUP(F396,框架条目清单!A:K,7,FALSE))</f>
        <v/>
      </c>
      <c r="U396" s="78" t="str">
        <f>IF(F396="","",VLOOKUP(F396,框架条目清单!A:K,8,FALSE))</f>
        <v/>
      </c>
      <c r="V396" s="78" t="str">
        <f>IF(F396="","",VLOOKUP(F396,框架条目清单!A:K,9,FALSE))</f>
        <v/>
      </c>
    </row>
    <row r="397" spans="1:22">
      <c r="A397" s="78" t="str">
        <f>IF(AND('2.报价结算清单'!$P500&gt;0,'2.报价结算清单'!$B500&lt;&gt;0,'2.报价结算清单'!$F500&lt;&gt;0),'2.报价结算清单'!$F500,"")</f>
        <v/>
      </c>
      <c r="B397" s="78" t="str">
        <f>_xlfn.IFNA(VLOOKUP(A397,'3.框架内物料'!$A:$I,3,0),A397)</f>
        <v/>
      </c>
      <c r="C397" s="78" t="str">
        <f>IF(AND('2.报价结算清单'!$P500&gt;0,'2.报价结算清单'!$B500&lt;&gt;0,'2.报价结算清单'!C500&lt;&gt;0),'2.报价结算清单'!C500,"")</f>
        <v/>
      </c>
      <c r="D397" s="78" t="str">
        <f>IF(AND('2.报价结算清单'!$P500&gt;0,'2.报价结算清单'!$B500&lt;&gt;0,'2.报价结算清单'!D500&lt;&gt;0),'2.报价结算清单'!D500,"")</f>
        <v/>
      </c>
      <c r="E397" s="78" t="str">
        <f>IF(AND('2.报价结算清单'!$P500&gt;0,'2.报价结算清单'!$B500&lt;&gt;0,'2.报价结算清单'!E500&lt;&gt;0),'2.报价结算清单'!E500,"")</f>
        <v/>
      </c>
      <c r="F397" s="105" t="str">
        <f>_xlfn.IFNA(IF($A397="","",IF(VLOOKUP($A397,'3.框架内物料'!$A:$I,2,0)="","",VLOOKUP($A397,'3.框架内物料'!$A:$I,2,0))),"")</f>
        <v/>
      </c>
      <c r="G397" s="87" t="str">
        <f>IF(AND('2.报价结算清单'!$P500&gt;0,'2.报价结算清单'!$B500&lt;&gt;0,'2.报价结算清单'!H500&lt;&gt;0),'2.报价结算清单'!H500,"")</f>
        <v/>
      </c>
      <c r="H397" s="122" t="str">
        <f>IF(AND('2.报价结算清单'!$P500&gt;0,'2.报价结算清单'!$B500&lt;&gt;0,'2.报价结算清单'!$F500&lt;&gt;0),'2.报价结算清单'!J500,"")</f>
        <v/>
      </c>
      <c r="I397" s="105" t="str">
        <f>IF(AND('2.报价结算清单'!$P500&gt;0,'2.报价结算清单'!$B500&lt;&gt;0,'2.报价结算清单'!$F500&lt;&gt;0),'2.报价结算清单'!L500,"")</f>
        <v/>
      </c>
      <c r="J397" s="105" t="str">
        <f>IF(AND('2.报价结算清单'!$P500&gt;0,'2.报价结算清单'!$B500&lt;&gt;0,'2.报价结算清单'!I500&lt;&gt;0),'2.报价结算清单'!I500,"")</f>
        <v/>
      </c>
      <c r="K397" s="105" t="str">
        <f>IF(AND('2.报价结算清单'!$P500&gt;0,'2.报价结算清单'!$B500&lt;&gt;0,'2.报价结算清单'!$F500&lt;&gt;0),'2.报价结算清单'!N500,"")</f>
        <v/>
      </c>
      <c r="L397" s="105" t="str">
        <f>IF(AND('2.报价结算清单'!$P500&gt;0,'2.报价结算清单'!$B500&lt;&gt;0,'2.报价结算清单'!I500&lt;&gt;0),"天","")</f>
        <v/>
      </c>
      <c r="M397" s="80" t="str">
        <f t="shared" si="16"/>
        <v/>
      </c>
      <c r="N397" s="78" t="str">
        <f t="shared" si="17"/>
        <v/>
      </c>
      <c r="O397" s="78" t="str">
        <f>IF(AND('2.报价结算清单'!$P500&gt;0,'2.报价结算清单'!$B500&lt;&gt;0,'2.报价结算清单'!S500&lt;&gt;0),'2.报价结算清单'!S500,"")</f>
        <v/>
      </c>
      <c r="P397" s="78" t="str">
        <f>IF(AND('2.报价结算清单'!$P500&gt;0,'2.报价结算清单'!$B500&lt;&gt;0,'2.报价结算清单'!T500&lt;&gt;0),'2.报价结算清单'!T500,"")</f>
        <v/>
      </c>
      <c r="Q397" s="78" t="str">
        <f>IF(F397="",J397,VLOOKUP(F397,框架条目清单!A:K,4,FALSE))</f>
        <v/>
      </c>
      <c r="R397" s="106" t="str">
        <f>IF($A397="","",'2.报价结算清单'!$K$183)</f>
        <v/>
      </c>
      <c r="S397" s="80" t="str">
        <f>IF($A397="","",'2.报价结算清单'!$E$183)</f>
        <v/>
      </c>
      <c r="T397" s="78" t="str">
        <f>IF(F397="","",VLOOKUP(F397,框架条目清单!A:K,7,FALSE))</f>
        <v/>
      </c>
      <c r="U397" s="78" t="str">
        <f>IF(F397="","",VLOOKUP(F397,框架条目清单!A:K,8,FALSE))</f>
        <v/>
      </c>
      <c r="V397" s="78" t="str">
        <f>IF(F397="","",VLOOKUP(F397,框架条目清单!A:K,9,FALSE))</f>
        <v/>
      </c>
    </row>
    <row r="398" spans="1:22">
      <c r="A398" s="78" t="str">
        <f>IF(AND('2.报价结算清单'!$P501&gt;0,'2.报价结算清单'!$B501&lt;&gt;0,'2.报价结算清单'!$F501&lt;&gt;0),'2.报价结算清单'!$F501,"")</f>
        <v/>
      </c>
      <c r="B398" s="78" t="str">
        <f>_xlfn.IFNA(VLOOKUP(A398,'3.框架内物料'!$A:$I,3,0),A398)</f>
        <v/>
      </c>
      <c r="C398" s="78" t="str">
        <f>IF(AND('2.报价结算清单'!$P501&gt;0,'2.报价结算清单'!$B501&lt;&gt;0,'2.报价结算清单'!C501&lt;&gt;0),'2.报价结算清单'!C501,"")</f>
        <v/>
      </c>
      <c r="D398" s="78" t="str">
        <f>IF(AND('2.报价结算清单'!$P501&gt;0,'2.报价结算清单'!$B501&lt;&gt;0,'2.报价结算清单'!D501&lt;&gt;0),'2.报价结算清单'!D501,"")</f>
        <v/>
      </c>
      <c r="E398" s="78" t="str">
        <f>IF(AND('2.报价结算清单'!$P501&gt;0,'2.报价结算清单'!$B501&lt;&gt;0,'2.报价结算清单'!E501&lt;&gt;0),'2.报价结算清单'!E501,"")</f>
        <v/>
      </c>
      <c r="F398" s="105" t="str">
        <f>_xlfn.IFNA(IF($A398="","",IF(VLOOKUP($A398,'3.框架内物料'!$A:$I,2,0)="","",VLOOKUP($A398,'3.框架内物料'!$A:$I,2,0))),"")</f>
        <v/>
      </c>
      <c r="G398" s="87" t="str">
        <f>IF(AND('2.报价结算清单'!$P501&gt;0,'2.报价结算清单'!$B501&lt;&gt;0,'2.报价结算清单'!H501&lt;&gt;0),'2.报价结算清单'!H501,"")</f>
        <v/>
      </c>
      <c r="H398" s="122" t="str">
        <f>IF(AND('2.报价结算清单'!$P501&gt;0,'2.报价结算清单'!$B501&lt;&gt;0,'2.报价结算清单'!$F501&lt;&gt;0),'2.报价结算清单'!J501,"")</f>
        <v/>
      </c>
      <c r="I398" s="105" t="str">
        <f>IF(AND('2.报价结算清单'!$P501&gt;0,'2.报价结算清单'!$B501&lt;&gt;0,'2.报价结算清单'!$F501&lt;&gt;0),'2.报价结算清单'!L501,"")</f>
        <v/>
      </c>
      <c r="J398" s="105" t="str">
        <f>IF(AND('2.报价结算清单'!$P501&gt;0,'2.报价结算清单'!$B501&lt;&gt;0,'2.报价结算清单'!I501&lt;&gt;0),'2.报价结算清单'!I501,"")</f>
        <v/>
      </c>
      <c r="K398" s="105" t="str">
        <f>IF(AND('2.报价结算清单'!$P501&gt;0,'2.报价结算清单'!$B501&lt;&gt;0,'2.报价结算清单'!$F501&lt;&gt;0),'2.报价结算清单'!N501,"")</f>
        <v/>
      </c>
      <c r="L398" s="105" t="str">
        <f>IF(AND('2.报价结算清单'!$P501&gt;0,'2.报价结算清单'!$B501&lt;&gt;0,'2.报价结算清单'!I501&lt;&gt;0),"天","")</f>
        <v/>
      </c>
      <c r="M398" s="80" t="str">
        <f t="shared" si="16"/>
        <v/>
      </c>
      <c r="N398" s="78" t="str">
        <f t="shared" si="17"/>
        <v/>
      </c>
      <c r="O398" s="78" t="str">
        <f>IF(AND('2.报价结算清单'!$P501&gt;0,'2.报价结算清单'!$B501&lt;&gt;0,'2.报价结算清单'!S501&lt;&gt;0),'2.报价结算清单'!S501,"")</f>
        <v/>
      </c>
      <c r="P398" s="78" t="str">
        <f>IF(AND('2.报价结算清单'!$P501&gt;0,'2.报价结算清单'!$B501&lt;&gt;0,'2.报价结算清单'!T501&lt;&gt;0),'2.报价结算清单'!T501,"")</f>
        <v/>
      </c>
      <c r="Q398" s="78" t="str">
        <f>IF(F398="",J398,VLOOKUP(F398,框架条目清单!A:K,4,FALSE))</f>
        <v/>
      </c>
      <c r="R398" s="106" t="str">
        <f>IF($A398="","",'2.报价结算清单'!$K$183)</f>
        <v/>
      </c>
      <c r="S398" s="80" t="str">
        <f>IF($A398="","",'2.报价结算清单'!$E$183)</f>
        <v/>
      </c>
      <c r="T398" s="78" t="str">
        <f>IF(F398="","",VLOOKUP(F398,框架条目清单!A:K,7,FALSE))</f>
        <v/>
      </c>
      <c r="U398" s="78" t="str">
        <f>IF(F398="","",VLOOKUP(F398,框架条目清单!A:K,8,FALSE))</f>
        <v/>
      </c>
      <c r="V398" s="78" t="str">
        <f>IF(F398="","",VLOOKUP(F398,框架条目清单!A:K,9,FALSE))</f>
        <v/>
      </c>
    </row>
    <row r="399" spans="1:22">
      <c r="A399" s="78" t="str">
        <f>IF(AND('2.报价结算清单'!$P502&gt;0,'2.报价结算清单'!$B502&lt;&gt;0,'2.报价结算清单'!$F502&lt;&gt;0),'2.报价结算清单'!$F502,"")</f>
        <v/>
      </c>
      <c r="B399" s="78" t="str">
        <f>_xlfn.IFNA(VLOOKUP(A399,'3.框架内物料'!$A:$I,3,0),A399)</f>
        <v/>
      </c>
      <c r="C399" s="78" t="str">
        <f>IF(AND('2.报价结算清单'!$P502&gt;0,'2.报价结算清单'!$B502&lt;&gt;0,'2.报价结算清单'!C502&lt;&gt;0),'2.报价结算清单'!C502,"")</f>
        <v/>
      </c>
      <c r="D399" s="78" t="str">
        <f>IF(AND('2.报价结算清单'!$P502&gt;0,'2.报价结算清单'!$B502&lt;&gt;0,'2.报价结算清单'!D502&lt;&gt;0),'2.报价结算清单'!D502,"")</f>
        <v/>
      </c>
      <c r="E399" s="78" t="str">
        <f>IF(AND('2.报价结算清单'!$P502&gt;0,'2.报价结算清单'!$B502&lt;&gt;0,'2.报价结算清单'!E502&lt;&gt;0),'2.报价结算清单'!E502,"")</f>
        <v/>
      </c>
      <c r="F399" s="105" t="str">
        <f>_xlfn.IFNA(IF($A399="","",IF(VLOOKUP($A399,'3.框架内物料'!$A:$I,2,0)="","",VLOOKUP($A399,'3.框架内物料'!$A:$I,2,0))),"")</f>
        <v/>
      </c>
      <c r="G399" s="87" t="str">
        <f>IF(AND('2.报价结算清单'!$P502&gt;0,'2.报价结算清单'!$B502&lt;&gt;0,'2.报价结算清单'!H502&lt;&gt;0),'2.报价结算清单'!H502,"")</f>
        <v/>
      </c>
      <c r="H399" s="122" t="str">
        <f>IF(AND('2.报价结算清单'!$P502&gt;0,'2.报价结算清单'!$B502&lt;&gt;0,'2.报价结算清单'!$F502&lt;&gt;0),'2.报价结算清单'!J502,"")</f>
        <v/>
      </c>
      <c r="I399" s="105" t="str">
        <f>IF(AND('2.报价结算清单'!$P502&gt;0,'2.报价结算清单'!$B502&lt;&gt;0,'2.报价结算清单'!$F502&lt;&gt;0),'2.报价结算清单'!L502,"")</f>
        <v/>
      </c>
      <c r="J399" s="105" t="str">
        <f>IF(AND('2.报价结算清单'!$P502&gt;0,'2.报价结算清单'!$B502&lt;&gt;0,'2.报价结算清单'!I502&lt;&gt;0),'2.报价结算清单'!I502,"")</f>
        <v/>
      </c>
      <c r="K399" s="105" t="str">
        <f>IF(AND('2.报价结算清单'!$P502&gt;0,'2.报价结算清单'!$B502&lt;&gt;0,'2.报价结算清单'!$F502&lt;&gt;0),'2.报价结算清单'!N502,"")</f>
        <v/>
      </c>
      <c r="L399" s="105" t="str">
        <f>IF(AND('2.报价结算清单'!$P502&gt;0,'2.报价结算清单'!$B502&lt;&gt;0,'2.报价结算清单'!I502&lt;&gt;0),"天","")</f>
        <v/>
      </c>
      <c r="M399" s="80" t="str">
        <f t="shared" si="16"/>
        <v/>
      </c>
      <c r="N399" s="78" t="str">
        <f t="shared" si="17"/>
        <v/>
      </c>
      <c r="O399" s="78" t="str">
        <f>IF(AND('2.报价结算清单'!$P502&gt;0,'2.报价结算清单'!$B502&lt;&gt;0,'2.报价结算清单'!S502&lt;&gt;0),'2.报价结算清单'!S502,"")</f>
        <v/>
      </c>
      <c r="P399" s="78" t="str">
        <f>IF(AND('2.报价结算清单'!$P502&gt;0,'2.报价结算清单'!$B502&lt;&gt;0,'2.报价结算清单'!T502&lt;&gt;0),'2.报价结算清单'!T502,"")</f>
        <v/>
      </c>
      <c r="Q399" s="78" t="str">
        <f>IF(F399="",J399,VLOOKUP(F399,框架条目清单!A:K,4,FALSE))</f>
        <v/>
      </c>
      <c r="R399" s="106" t="str">
        <f>IF($A399="","",'2.报价结算清单'!$K$183)</f>
        <v/>
      </c>
      <c r="S399" s="80" t="str">
        <f>IF($A399="","",'2.报价结算清单'!$E$183)</f>
        <v/>
      </c>
      <c r="T399" s="78" t="str">
        <f>IF(F399="","",VLOOKUP(F399,框架条目清单!A:K,7,FALSE))</f>
        <v/>
      </c>
      <c r="U399" s="78" t="str">
        <f>IF(F399="","",VLOOKUP(F399,框架条目清单!A:K,8,FALSE))</f>
        <v/>
      </c>
      <c r="V399" s="78" t="str">
        <f>IF(F399="","",VLOOKUP(F399,框架条目清单!A:K,9,FALSE))</f>
        <v/>
      </c>
    </row>
    <row r="400" spans="1:22">
      <c r="A400" s="78" t="str">
        <f>IF(AND('2.报价结算清单'!$P503&gt;0,'2.报价结算清单'!$B503&lt;&gt;0,'2.报价结算清单'!$F503&lt;&gt;0),'2.报价结算清单'!$F503,"")</f>
        <v/>
      </c>
      <c r="B400" s="78" t="str">
        <f>_xlfn.IFNA(VLOOKUP(A400,'3.框架内物料'!$A:$I,3,0),A400)</f>
        <v/>
      </c>
      <c r="C400" s="78" t="str">
        <f>IF(AND('2.报价结算清单'!$P503&gt;0,'2.报价结算清单'!$B503&lt;&gt;0,'2.报价结算清单'!C503&lt;&gt;0),'2.报价结算清单'!C503,"")</f>
        <v/>
      </c>
      <c r="D400" s="78" t="str">
        <f>IF(AND('2.报价结算清单'!$P503&gt;0,'2.报价结算清单'!$B503&lt;&gt;0,'2.报价结算清单'!D503&lt;&gt;0),'2.报价结算清单'!D503,"")</f>
        <v/>
      </c>
      <c r="E400" s="78" t="str">
        <f>IF(AND('2.报价结算清单'!$P503&gt;0,'2.报价结算清单'!$B503&lt;&gt;0,'2.报价结算清单'!E503&lt;&gt;0),'2.报价结算清单'!E503,"")</f>
        <v/>
      </c>
      <c r="F400" s="105" t="str">
        <f>_xlfn.IFNA(IF($A400="","",IF(VLOOKUP($A400,'3.框架内物料'!$A:$I,2,0)="","",VLOOKUP($A400,'3.框架内物料'!$A:$I,2,0))),"")</f>
        <v/>
      </c>
      <c r="G400" s="87" t="str">
        <f>IF(AND('2.报价结算清单'!$P503&gt;0,'2.报价结算清单'!$B503&lt;&gt;0,'2.报价结算清单'!H503&lt;&gt;0),'2.报价结算清单'!H503,"")</f>
        <v/>
      </c>
      <c r="H400" s="122" t="str">
        <f>IF(AND('2.报价结算清单'!$P503&gt;0,'2.报价结算清单'!$B503&lt;&gt;0,'2.报价结算清单'!$F503&lt;&gt;0),'2.报价结算清单'!J503,"")</f>
        <v/>
      </c>
      <c r="I400" s="105" t="str">
        <f>IF(AND('2.报价结算清单'!$P503&gt;0,'2.报价结算清单'!$B503&lt;&gt;0,'2.报价结算清单'!$F503&lt;&gt;0),'2.报价结算清单'!L503,"")</f>
        <v/>
      </c>
      <c r="J400" s="105" t="str">
        <f>IF(AND('2.报价结算清单'!$P503&gt;0,'2.报价结算清单'!$B503&lt;&gt;0,'2.报价结算清单'!I503&lt;&gt;0),'2.报价结算清单'!I503,"")</f>
        <v/>
      </c>
      <c r="K400" s="105" t="str">
        <f>IF(AND('2.报价结算清单'!$P503&gt;0,'2.报价结算清单'!$B503&lt;&gt;0,'2.报价结算清单'!$F503&lt;&gt;0),'2.报价结算清单'!N503,"")</f>
        <v/>
      </c>
      <c r="L400" s="105" t="str">
        <f>IF(AND('2.报价结算清单'!$P503&gt;0,'2.报价结算清单'!$B503&lt;&gt;0,'2.报价结算清单'!I503&lt;&gt;0),"天","")</f>
        <v/>
      </c>
      <c r="M400" s="80" t="str">
        <f t="shared" si="16"/>
        <v/>
      </c>
      <c r="N400" s="78" t="str">
        <f t="shared" si="17"/>
        <v/>
      </c>
      <c r="O400" s="78" t="str">
        <f>IF(AND('2.报价结算清单'!$P503&gt;0,'2.报价结算清单'!$B503&lt;&gt;0,'2.报价结算清单'!S503&lt;&gt;0),'2.报价结算清单'!S503,"")</f>
        <v/>
      </c>
      <c r="P400" s="78" t="str">
        <f>IF(AND('2.报价结算清单'!$P503&gt;0,'2.报价结算清单'!$B503&lt;&gt;0,'2.报价结算清单'!T503&lt;&gt;0),'2.报价结算清单'!T503,"")</f>
        <v/>
      </c>
      <c r="Q400" s="78" t="str">
        <f>IF(F400="",J400,VLOOKUP(F400,框架条目清单!A:K,4,FALSE))</f>
        <v/>
      </c>
      <c r="R400" s="106" t="str">
        <f>IF($A400="","",'2.报价结算清单'!$K$183)</f>
        <v/>
      </c>
      <c r="S400" s="80" t="str">
        <f>IF($A400="","",'2.报价结算清单'!$E$183)</f>
        <v/>
      </c>
      <c r="T400" s="78" t="str">
        <f>IF(F400="","",VLOOKUP(F400,框架条目清单!A:K,7,FALSE))</f>
        <v/>
      </c>
      <c r="U400" s="78" t="str">
        <f>IF(F400="","",VLOOKUP(F400,框架条目清单!A:K,8,FALSE))</f>
        <v/>
      </c>
      <c r="V400" s="78" t="str">
        <f>IF(F400="","",VLOOKUP(F400,框架条目清单!A:K,9,FALSE))</f>
        <v/>
      </c>
    </row>
    <row r="401" spans="1:22">
      <c r="A401" s="78" t="str">
        <f>IF(AND('2.报价结算清单'!$P504&gt;0,'2.报价结算清单'!$B504&lt;&gt;0,'2.报价结算清单'!$F504&lt;&gt;0),'2.报价结算清单'!$F504,"")</f>
        <v/>
      </c>
      <c r="B401" s="78" t="str">
        <f>_xlfn.IFNA(VLOOKUP(A401,'3.框架内物料'!$A:$I,3,0),A401)</f>
        <v/>
      </c>
      <c r="C401" s="78" t="str">
        <f>IF(AND('2.报价结算清单'!$P504&gt;0,'2.报价结算清单'!$B504&lt;&gt;0,'2.报价结算清单'!C504&lt;&gt;0),'2.报价结算清单'!C504,"")</f>
        <v/>
      </c>
      <c r="D401" s="78" t="str">
        <f>IF(AND('2.报价结算清单'!$P504&gt;0,'2.报价结算清单'!$B504&lt;&gt;0,'2.报价结算清单'!D504&lt;&gt;0),'2.报价结算清单'!D504,"")</f>
        <v/>
      </c>
      <c r="E401" s="78" t="str">
        <f>IF(AND('2.报价结算清单'!$P504&gt;0,'2.报价结算清单'!$B504&lt;&gt;0,'2.报价结算清单'!E504&lt;&gt;0),'2.报价结算清单'!E504,"")</f>
        <v/>
      </c>
      <c r="F401" s="105" t="str">
        <f>_xlfn.IFNA(IF($A401="","",IF(VLOOKUP($A401,'3.框架内物料'!$A:$I,2,0)="","",VLOOKUP($A401,'3.框架内物料'!$A:$I,2,0))),"")</f>
        <v/>
      </c>
      <c r="G401" s="87" t="str">
        <f>IF(AND('2.报价结算清单'!$P504&gt;0,'2.报价结算清单'!$B504&lt;&gt;0,'2.报价结算清单'!H504&lt;&gt;0),'2.报价结算清单'!H504,"")</f>
        <v/>
      </c>
      <c r="H401" s="122" t="str">
        <f>IF(AND('2.报价结算清单'!$P504&gt;0,'2.报价结算清单'!$B504&lt;&gt;0,'2.报价结算清单'!$F504&lt;&gt;0),'2.报价结算清单'!J504,"")</f>
        <v/>
      </c>
      <c r="I401" s="105" t="str">
        <f>IF(AND('2.报价结算清单'!$P504&gt;0,'2.报价结算清单'!$B504&lt;&gt;0,'2.报价结算清单'!$F504&lt;&gt;0),'2.报价结算清单'!L504,"")</f>
        <v/>
      </c>
      <c r="J401" s="105" t="str">
        <f>IF(AND('2.报价结算清单'!$P504&gt;0,'2.报价结算清单'!$B504&lt;&gt;0,'2.报价结算清单'!I504&lt;&gt;0),'2.报价结算清单'!I504,"")</f>
        <v/>
      </c>
      <c r="K401" s="105" t="str">
        <f>IF(AND('2.报价结算清单'!$P504&gt;0,'2.报价结算清单'!$B504&lt;&gt;0,'2.报价结算清单'!$F504&lt;&gt;0),'2.报价结算清单'!N504,"")</f>
        <v/>
      </c>
      <c r="L401" s="105" t="str">
        <f>IF(AND('2.报价结算清单'!$P504&gt;0,'2.报价结算清单'!$B504&lt;&gt;0,'2.报价结算清单'!I504&lt;&gt;0),"天","")</f>
        <v/>
      </c>
      <c r="M401" s="80" t="str">
        <f t="shared" si="16"/>
        <v/>
      </c>
      <c r="N401" s="78" t="str">
        <f t="shared" si="17"/>
        <v/>
      </c>
      <c r="O401" s="78" t="str">
        <f>IF(AND('2.报价结算清单'!$P504&gt;0,'2.报价结算清单'!$B504&lt;&gt;0,'2.报价结算清单'!S504&lt;&gt;0),'2.报价结算清单'!S504,"")</f>
        <v/>
      </c>
      <c r="P401" s="78" t="str">
        <f>IF(AND('2.报价结算清单'!$P504&gt;0,'2.报价结算清单'!$B504&lt;&gt;0,'2.报价结算清单'!T504&lt;&gt;0),'2.报价结算清单'!T504,"")</f>
        <v/>
      </c>
      <c r="Q401" s="78" t="str">
        <f>IF(F401="",J401,VLOOKUP(F401,框架条目清单!A:K,4,FALSE))</f>
        <v/>
      </c>
      <c r="R401" s="106" t="str">
        <f>IF($A401="","",'2.报价结算清单'!$K$183)</f>
        <v/>
      </c>
      <c r="S401" s="80" t="str">
        <f>IF($A401="","",'2.报价结算清单'!$E$183)</f>
        <v/>
      </c>
      <c r="T401" s="78" t="str">
        <f>IF(F401="","",VLOOKUP(F401,框架条目清单!A:K,7,FALSE))</f>
        <v/>
      </c>
      <c r="U401" s="78" t="str">
        <f>IF(F401="","",VLOOKUP(F401,框架条目清单!A:K,8,FALSE))</f>
        <v/>
      </c>
      <c r="V401" s="78" t="str">
        <f>IF(F401="","",VLOOKUP(F401,框架条目清单!A:K,9,FALSE))</f>
        <v/>
      </c>
    </row>
    <row r="402" spans="1:22">
      <c r="A402" s="78" t="str">
        <f>IF(AND('2.报价结算清单'!$P505&gt;0,'2.报价结算清单'!$B505&lt;&gt;0,'2.报价结算清单'!$F505&lt;&gt;0),'2.报价结算清单'!$F505,"")</f>
        <v/>
      </c>
      <c r="B402" s="78" t="str">
        <f>_xlfn.IFNA(VLOOKUP(A402,'3.框架内物料'!$A:$I,3,0),A402)</f>
        <v/>
      </c>
      <c r="C402" s="78" t="str">
        <f>IF(AND('2.报价结算清单'!$P505&gt;0,'2.报价结算清单'!$B505&lt;&gt;0,'2.报价结算清单'!C505&lt;&gt;0),'2.报价结算清单'!C505,"")</f>
        <v/>
      </c>
      <c r="D402" s="78" t="str">
        <f>IF(AND('2.报价结算清单'!$P505&gt;0,'2.报价结算清单'!$B505&lt;&gt;0,'2.报价结算清单'!D505&lt;&gt;0),'2.报价结算清单'!D505,"")</f>
        <v/>
      </c>
      <c r="E402" s="78" t="str">
        <f>IF(AND('2.报价结算清单'!$P505&gt;0,'2.报价结算清单'!$B505&lt;&gt;0,'2.报价结算清单'!E505&lt;&gt;0),'2.报价结算清单'!E505,"")</f>
        <v/>
      </c>
      <c r="F402" s="105" t="str">
        <f>_xlfn.IFNA(IF($A402="","",IF(VLOOKUP($A402,'3.框架内物料'!$A:$I,2,0)="","",VLOOKUP($A402,'3.框架内物料'!$A:$I,2,0))),"")</f>
        <v/>
      </c>
      <c r="G402" s="87" t="str">
        <f>IF(AND('2.报价结算清单'!$P505&gt;0,'2.报价结算清单'!$B505&lt;&gt;0,'2.报价结算清单'!H505&lt;&gt;0),'2.报价结算清单'!H505,"")</f>
        <v/>
      </c>
      <c r="H402" s="122" t="str">
        <f>IF(AND('2.报价结算清单'!$P505&gt;0,'2.报价结算清单'!$B505&lt;&gt;0,'2.报价结算清单'!$F505&lt;&gt;0),'2.报价结算清单'!J505,"")</f>
        <v/>
      </c>
      <c r="I402" s="105" t="str">
        <f>IF(AND('2.报价结算清单'!$P505&gt;0,'2.报价结算清单'!$B505&lt;&gt;0,'2.报价结算清单'!$F505&lt;&gt;0),'2.报价结算清单'!L505,"")</f>
        <v/>
      </c>
      <c r="J402" s="105" t="str">
        <f>IF(AND('2.报价结算清单'!$P505&gt;0,'2.报价结算清单'!$B505&lt;&gt;0,'2.报价结算清单'!I505&lt;&gt;0),'2.报价结算清单'!I505,"")</f>
        <v/>
      </c>
      <c r="K402" s="105" t="str">
        <f>IF(AND('2.报价结算清单'!$P505&gt;0,'2.报价结算清单'!$B505&lt;&gt;0,'2.报价结算清单'!$F505&lt;&gt;0),'2.报价结算清单'!N505,"")</f>
        <v/>
      </c>
      <c r="L402" s="105" t="str">
        <f>IF(AND('2.报价结算清单'!$P505&gt;0,'2.报价结算清单'!$B505&lt;&gt;0,'2.报价结算清单'!I505&lt;&gt;0),"天","")</f>
        <v/>
      </c>
      <c r="M402" s="80" t="str">
        <f t="shared" si="16"/>
        <v/>
      </c>
      <c r="N402" s="78" t="str">
        <f t="shared" si="17"/>
        <v/>
      </c>
      <c r="O402" s="78" t="str">
        <f>IF(AND('2.报价结算清单'!$P505&gt;0,'2.报价结算清单'!$B505&lt;&gt;0,'2.报价结算清单'!S505&lt;&gt;0),'2.报价结算清单'!S505,"")</f>
        <v/>
      </c>
      <c r="P402" s="78" t="str">
        <f>IF(AND('2.报价结算清单'!$P505&gt;0,'2.报价结算清单'!$B505&lt;&gt;0,'2.报价结算清单'!T505&lt;&gt;0),'2.报价结算清单'!T505,"")</f>
        <v/>
      </c>
      <c r="Q402" s="78" t="str">
        <f>IF(F402="",J402,VLOOKUP(F402,框架条目清单!A:K,4,FALSE))</f>
        <v/>
      </c>
      <c r="R402" s="106" t="str">
        <f>IF($A402="","",'2.报价结算清单'!$K$183)</f>
        <v/>
      </c>
      <c r="S402" s="80" t="str">
        <f>IF($A402="","",'2.报价结算清单'!$E$183)</f>
        <v/>
      </c>
      <c r="T402" s="78" t="str">
        <f>IF(F402="","",VLOOKUP(F402,框架条目清单!A:K,7,FALSE))</f>
        <v/>
      </c>
      <c r="U402" s="78" t="str">
        <f>IF(F402="","",VLOOKUP(F402,框架条目清单!A:K,8,FALSE))</f>
        <v/>
      </c>
      <c r="V402" s="78" t="str">
        <f>IF(F402="","",VLOOKUP(F402,框架条目清单!A:K,9,FALSE))</f>
        <v/>
      </c>
    </row>
    <row r="403" spans="1:22">
      <c r="A403" s="78" t="str">
        <f>IF(AND('2.报价结算清单'!$P506&gt;0,'2.报价结算清单'!$B506&lt;&gt;0,'2.报价结算清单'!$F506&lt;&gt;0),'2.报价结算清单'!$F506,"")</f>
        <v/>
      </c>
      <c r="B403" s="78" t="str">
        <f>_xlfn.IFNA(VLOOKUP(A403,'3.框架内物料'!$A:$I,3,0),A403)</f>
        <v/>
      </c>
      <c r="C403" s="78" t="str">
        <f>IF(AND('2.报价结算清单'!$P506&gt;0,'2.报价结算清单'!$B506&lt;&gt;0,'2.报价结算清单'!C506&lt;&gt;0),'2.报价结算清单'!C506,"")</f>
        <v/>
      </c>
      <c r="D403" s="78" t="str">
        <f>IF(AND('2.报价结算清单'!$P506&gt;0,'2.报价结算清单'!$B506&lt;&gt;0,'2.报价结算清单'!D506&lt;&gt;0),'2.报价结算清单'!D506,"")</f>
        <v/>
      </c>
      <c r="E403" s="78" t="str">
        <f>IF(AND('2.报价结算清单'!$P506&gt;0,'2.报价结算清单'!$B506&lt;&gt;0,'2.报价结算清单'!E506&lt;&gt;0),'2.报价结算清单'!E506,"")</f>
        <v/>
      </c>
      <c r="F403" s="105" t="str">
        <f>_xlfn.IFNA(IF($A403="","",IF(VLOOKUP($A403,'3.框架内物料'!$A:$I,2,0)="","",VLOOKUP($A403,'3.框架内物料'!$A:$I,2,0))),"")</f>
        <v/>
      </c>
      <c r="G403" s="87" t="str">
        <f>IF(AND('2.报价结算清单'!$P506&gt;0,'2.报价结算清单'!$B506&lt;&gt;0,'2.报价结算清单'!H506&lt;&gt;0),'2.报价结算清单'!H506,"")</f>
        <v/>
      </c>
      <c r="H403" s="122" t="str">
        <f>IF(AND('2.报价结算清单'!$P506&gt;0,'2.报价结算清单'!$B506&lt;&gt;0,'2.报价结算清单'!$F506&lt;&gt;0),'2.报价结算清单'!J506,"")</f>
        <v/>
      </c>
      <c r="I403" s="105" t="str">
        <f>IF(AND('2.报价结算清单'!$P506&gt;0,'2.报价结算清单'!$B506&lt;&gt;0,'2.报价结算清单'!$F506&lt;&gt;0),'2.报价结算清单'!L506,"")</f>
        <v/>
      </c>
      <c r="J403" s="105" t="str">
        <f>IF(AND('2.报价结算清单'!$P506&gt;0,'2.报价结算清单'!$B506&lt;&gt;0,'2.报价结算清单'!I506&lt;&gt;0),'2.报价结算清单'!I506,"")</f>
        <v/>
      </c>
      <c r="K403" s="105" t="str">
        <f>IF(AND('2.报价结算清单'!$P506&gt;0,'2.报价结算清单'!$B506&lt;&gt;0,'2.报价结算清单'!$F506&lt;&gt;0),'2.报价结算清单'!N506,"")</f>
        <v/>
      </c>
      <c r="L403" s="105" t="str">
        <f>IF(AND('2.报价结算清单'!$P506&gt;0,'2.报价结算清单'!$B506&lt;&gt;0,'2.报价结算清单'!I506&lt;&gt;0),"天","")</f>
        <v/>
      </c>
      <c r="M403" s="80" t="str">
        <f t="shared" si="16"/>
        <v/>
      </c>
      <c r="N403" s="78" t="str">
        <f t="shared" si="17"/>
        <v/>
      </c>
      <c r="O403" s="78" t="str">
        <f>IF(AND('2.报价结算清单'!$P506&gt;0,'2.报价结算清单'!$B506&lt;&gt;0,'2.报价结算清单'!S506&lt;&gt;0),'2.报价结算清单'!S506,"")</f>
        <v/>
      </c>
      <c r="P403" s="78" t="str">
        <f>IF(AND('2.报价结算清单'!$P506&gt;0,'2.报价结算清单'!$B506&lt;&gt;0,'2.报价结算清单'!T506&lt;&gt;0),'2.报价结算清单'!T506,"")</f>
        <v/>
      </c>
      <c r="Q403" s="78" t="str">
        <f>IF(F403="",J403,VLOOKUP(F403,框架条目清单!A:K,4,FALSE))</f>
        <v/>
      </c>
      <c r="R403" s="106" t="str">
        <f>IF($A403="","",'2.报价结算清单'!$K$183)</f>
        <v/>
      </c>
      <c r="S403" s="80" t="str">
        <f>IF($A403="","",'2.报价结算清单'!$E$183)</f>
        <v/>
      </c>
      <c r="T403" s="78" t="str">
        <f>IF(F403="","",VLOOKUP(F403,框架条目清单!A:K,7,FALSE))</f>
        <v/>
      </c>
      <c r="U403" s="78" t="str">
        <f>IF(F403="","",VLOOKUP(F403,框架条目清单!A:K,8,FALSE))</f>
        <v/>
      </c>
      <c r="V403" s="78" t="str">
        <f>IF(F403="","",VLOOKUP(F403,框架条目清单!A:K,9,FALSE))</f>
        <v/>
      </c>
    </row>
    <row r="404" spans="1:22">
      <c r="A404" s="78" t="str">
        <f>IF(AND('2.报价结算清单'!$P507&gt;0,'2.报价结算清单'!$B507&lt;&gt;0,'2.报价结算清单'!$F507&lt;&gt;0),'2.报价结算清单'!$F507,"")</f>
        <v/>
      </c>
      <c r="B404" s="78" t="str">
        <f>_xlfn.IFNA(VLOOKUP(A404,'3.框架内物料'!$A:$I,3,0),A404)</f>
        <v/>
      </c>
      <c r="C404" s="78" t="str">
        <f>IF(AND('2.报价结算清单'!$P507&gt;0,'2.报价结算清单'!$B507&lt;&gt;0,'2.报价结算清单'!C507&lt;&gt;0),'2.报价结算清单'!C507,"")</f>
        <v/>
      </c>
      <c r="D404" s="78" t="str">
        <f>IF(AND('2.报价结算清单'!$P507&gt;0,'2.报价结算清单'!$B507&lt;&gt;0,'2.报价结算清单'!D507&lt;&gt;0),'2.报价结算清单'!D507,"")</f>
        <v/>
      </c>
      <c r="E404" s="78" t="str">
        <f>IF(AND('2.报价结算清单'!$P507&gt;0,'2.报价结算清单'!$B507&lt;&gt;0,'2.报价结算清单'!E507&lt;&gt;0),'2.报价结算清单'!E507,"")</f>
        <v/>
      </c>
      <c r="F404" s="105" t="str">
        <f>_xlfn.IFNA(IF($A404="","",IF(VLOOKUP($A404,'3.框架内物料'!$A:$I,2,0)="","",VLOOKUP($A404,'3.框架内物料'!$A:$I,2,0))),"")</f>
        <v/>
      </c>
      <c r="G404" s="87" t="str">
        <f>IF(AND('2.报价结算清单'!$P507&gt;0,'2.报价结算清单'!$B507&lt;&gt;0,'2.报价结算清单'!H507&lt;&gt;0),'2.报价结算清单'!H507,"")</f>
        <v/>
      </c>
      <c r="H404" s="122" t="str">
        <f>IF(AND('2.报价结算清单'!$P507&gt;0,'2.报价结算清单'!$B507&lt;&gt;0,'2.报价结算清单'!$F507&lt;&gt;0),'2.报价结算清单'!J507,"")</f>
        <v/>
      </c>
      <c r="I404" s="105" t="str">
        <f>IF(AND('2.报价结算清单'!$P507&gt;0,'2.报价结算清单'!$B507&lt;&gt;0,'2.报价结算清单'!$F507&lt;&gt;0),'2.报价结算清单'!L507,"")</f>
        <v/>
      </c>
      <c r="J404" s="105" t="str">
        <f>IF(AND('2.报价结算清单'!$P507&gt;0,'2.报价结算清单'!$B507&lt;&gt;0,'2.报价结算清单'!I507&lt;&gt;0),'2.报价结算清单'!I507,"")</f>
        <v/>
      </c>
      <c r="K404" s="105" t="str">
        <f>IF(AND('2.报价结算清单'!$P507&gt;0,'2.报价结算清单'!$B507&lt;&gt;0,'2.报价结算清单'!$F507&lt;&gt;0),'2.报价结算清单'!N507,"")</f>
        <v/>
      </c>
      <c r="L404" s="105" t="str">
        <f>IF(AND('2.报价结算清单'!$P507&gt;0,'2.报价结算清单'!$B507&lt;&gt;0,'2.报价结算清单'!I507&lt;&gt;0),"天","")</f>
        <v/>
      </c>
      <c r="M404" s="80" t="str">
        <f t="shared" si="16"/>
        <v/>
      </c>
      <c r="N404" s="78" t="str">
        <f t="shared" si="17"/>
        <v/>
      </c>
      <c r="O404" s="78" t="str">
        <f>IF(AND('2.报价结算清单'!$P507&gt;0,'2.报价结算清单'!$B507&lt;&gt;0,'2.报价结算清单'!S507&lt;&gt;0),'2.报价结算清单'!S507,"")</f>
        <v/>
      </c>
      <c r="P404" s="78" t="str">
        <f>IF(AND('2.报价结算清单'!$P507&gt;0,'2.报价结算清单'!$B507&lt;&gt;0,'2.报价结算清单'!T507&lt;&gt;0),'2.报价结算清单'!T507,"")</f>
        <v/>
      </c>
      <c r="Q404" s="78" t="str">
        <f>IF(F404="",J404,VLOOKUP(F404,框架条目清单!A:K,4,FALSE))</f>
        <v/>
      </c>
      <c r="R404" s="106" t="str">
        <f>IF($A404="","",'2.报价结算清单'!$K$183)</f>
        <v/>
      </c>
      <c r="S404" s="80" t="str">
        <f>IF($A404="","",'2.报价结算清单'!$E$183)</f>
        <v/>
      </c>
      <c r="T404" s="78" t="str">
        <f>IF(F404="","",VLOOKUP(F404,框架条目清单!A:K,7,FALSE))</f>
        <v/>
      </c>
      <c r="U404" s="78" t="str">
        <f>IF(F404="","",VLOOKUP(F404,框架条目清单!A:K,8,FALSE))</f>
        <v/>
      </c>
      <c r="V404" s="78" t="str">
        <f>IF(F404="","",VLOOKUP(F404,框架条目清单!A:K,9,FALSE))</f>
        <v/>
      </c>
    </row>
    <row r="405" spans="1:22">
      <c r="A405" s="78" t="str">
        <f>IF(AND('2.报价结算清单'!$P508&gt;0,'2.报价结算清单'!$B508&lt;&gt;0,'2.报价结算清单'!$F508&lt;&gt;0),'2.报价结算清单'!$F508,"")</f>
        <v/>
      </c>
      <c r="B405" s="78" t="str">
        <f>_xlfn.IFNA(VLOOKUP(A405,'3.框架内物料'!$A:$I,3,0),A405)</f>
        <v/>
      </c>
      <c r="C405" s="78" t="str">
        <f>IF(AND('2.报价结算清单'!$P508&gt;0,'2.报价结算清单'!$B508&lt;&gt;0,'2.报价结算清单'!C508&lt;&gt;0),'2.报价结算清单'!C508,"")</f>
        <v/>
      </c>
      <c r="D405" s="78" t="str">
        <f>IF(AND('2.报价结算清单'!$P508&gt;0,'2.报价结算清单'!$B508&lt;&gt;0,'2.报价结算清单'!D508&lt;&gt;0),'2.报价结算清单'!D508,"")</f>
        <v/>
      </c>
      <c r="E405" s="78" t="str">
        <f>IF(AND('2.报价结算清单'!$P508&gt;0,'2.报价结算清单'!$B508&lt;&gt;0,'2.报价结算清单'!E508&lt;&gt;0),'2.报价结算清单'!E508,"")</f>
        <v/>
      </c>
      <c r="F405" s="105" t="str">
        <f>_xlfn.IFNA(IF($A405="","",IF(VLOOKUP($A405,'3.框架内物料'!$A:$I,2,0)="","",VLOOKUP($A405,'3.框架内物料'!$A:$I,2,0))),"")</f>
        <v/>
      </c>
      <c r="G405" s="87" t="str">
        <f>IF(AND('2.报价结算清单'!$P508&gt;0,'2.报价结算清单'!$B508&lt;&gt;0,'2.报价结算清单'!H508&lt;&gt;0),'2.报价结算清单'!H508,"")</f>
        <v/>
      </c>
      <c r="H405" s="122" t="str">
        <f>IF(AND('2.报价结算清单'!$P508&gt;0,'2.报价结算清单'!$B508&lt;&gt;0,'2.报价结算清单'!$F508&lt;&gt;0),'2.报价结算清单'!J508,"")</f>
        <v/>
      </c>
      <c r="I405" s="105" t="str">
        <f>IF(AND('2.报价结算清单'!$P508&gt;0,'2.报价结算清单'!$B508&lt;&gt;0,'2.报价结算清单'!$F508&lt;&gt;0),'2.报价结算清单'!L508,"")</f>
        <v/>
      </c>
      <c r="J405" s="105" t="str">
        <f>IF(AND('2.报价结算清单'!$P508&gt;0,'2.报价结算清单'!$B508&lt;&gt;0,'2.报价结算清单'!I508&lt;&gt;0),'2.报价结算清单'!I508,"")</f>
        <v/>
      </c>
      <c r="K405" s="105" t="str">
        <f>IF(AND('2.报价结算清单'!$P508&gt;0,'2.报价结算清单'!$B508&lt;&gt;0,'2.报价结算清单'!$F508&lt;&gt;0),'2.报价结算清单'!N508,"")</f>
        <v/>
      </c>
      <c r="L405" s="105" t="str">
        <f>IF(AND('2.报价结算清单'!$P508&gt;0,'2.报价结算清单'!$B508&lt;&gt;0,'2.报价结算清单'!I508&lt;&gt;0),"天","")</f>
        <v/>
      </c>
      <c r="M405" s="80" t="str">
        <f t="shared" si="16"/>
        <v/>
      </c>
      <c r="N405" s="78" t="str">
        <f t="shared" si="17"/>
        <v/>
      </c>
      <c r="O405" s="78" t="str">
        <f>IF(AND('2.报价结算清单'!$P508&gt;0,'2.报价结算清单'!$B508&lt;&gt;0,'2.报价结算清单'!S508&lt;&gt;0),'2.报价结算清单'!S508,"")</f>
        <v/>
      </c>
      <c r="P405" s="78" t="str">
        <f>IF(AND('2.报价结算清单'!$P508&gt;0,'2.报价结算清单'!$B508&lt;&gt;0,'2.报价结算清单'!T508&lt;&gt;0),'2.报价结算清单'!T508,"")</f>
        <v/>
      </c>
      <c r="Q405" s="78" t="str">
        <f>IF(F405="",J405,VLOOKUP(F405,框架条目清单!A:K,4,FALSE))</f>
        <v/>
      </c>
      <c r="R405" s="106" t="str">
        <f>IF($A405="","",'2.报价结算清单'!$K$183)</f>
        <v/>
      </c>
      <c r="S405" s="80" t="str">
        <f>IF($A405="","",'2.报价结算清单'!$E$183)</f>
        <v/>
      </c>
      <c r="T405" s="78" t="str">
        <f>IF(F405="","",VLOOKUP(F405,框架条目清单!A:K,7,FALSE))</f>
        <v/>
      </c>
      <c r="U405" s="78" t="str">
        <f>IF(F405="","",VLOOKUP(F405,框架条目清单!A:K,8,FALSE))</f>
        <v/>
      </c>
      <c r="V405" s="78" t="str">
        <f>IF(F405="","",VLOOKUP(F405,框架条目清单!A:K,9,FALSE))</f>
        <v/>
      </c>
    </row>
    <row r="406" spans="1:22">
      <c r="A406" s="78" t="str">
        <f>IF(AND('2.报价结算清单'!$P509&gt;0,'2.报价结算清单'!$B509&lt;&gt;0,'2.报价结算清单'!$F509&lt;&gt;0),'2.报价结算清单'!$F509,"")</f>
        <v/>
      </c>
      <c r="B406" s="78" t="str">
        <f>_xlfn.IFNA(VLOOKUP(A406,'3.框架内物料'!$A:$I,3,0),A406)</f>
        <v/>
      </c>
      <c r="C406" s="78" t="str">
        <f>IF(AND('2.报价结算清单'!$P509&gt;0,'2.报价结算清单'!$B509&lt;&gt;0,'2.报价结算清单'!C509&lt;&gt;0),'2.报价结算清单'!C509,"")</f>
        <v/>
      </c>
      <c r="D406" s="78" t="str">
        <f>IF(AND('2.报价结算清单'!$P509&gt;0,'2.报价结算清单'!$B509&lt;&gt;0,'2.报价结算清单'!D509&lt;&gt;0),'2.报价结算清单'!D509,"")</f>
        <v/>
      </c>
      <c r="E406" s="78" t="str">
        <f>IF(AND('2.报价结算清单'!$P509&gt;0,'2.报价结算清单'!$B509&lt;&gt;0,'2.报价结算清单'!E509&lt;&gt;0),'2.报价结算清单'!E509,"")</f>
        <v/>
      </c>
      <c r="F406" s="105" t="str">
        <f>_xlfn.IFNA(IF($A406="","",IF(VLOOKUP($A406,'3.框架内物料'!$A:$I,2,0)="","",VLOOKUP($A406,'3.框架内物料'!$A:$I,2,0))),"")</f>
        <v/>
      </c>
      <c r="G406" s="87" t="str">
        <f>IF(AND('2.报价结算清单'!$P509&gt;0,'2.报价结算清单'!$B509&lt;&gt;0,'2.报价结算清单'!H509&lt;&gt;0),'2.报价结算清单'!H509,"")</f>
        <v/>
      </c>
      <c r="H406" s="122" t="str">
        <f>IF(AND('2.报价结算清单'!$P509&gt;0,'2.报价结算清单'!$B509&lt;&gt;0,'2.报价结算清单'!$F509&lt;&gt;0),'2.报价结算清单'!J509,"")</f>
        <v/>
      </c>
      <c r="I406" s="105" t="str">
        <f>IF(AND('2.报价结算清单'!$P509&gt;0,'2.报价结算清单'!$B509&lt;&gt;0,'2.报价结算清单'!$F509&lt;&gt;0),'2.报价结算清单'!L509,"")</f>
        <v/>
      </c>
      <c r="J406" s="105" t="str">
        <f>IF(AND('2.报价结算清单'!$P509&gt;0,'2.报价结算清单'!$B509&lt;&gt;0,'2.报价结算清单'!I509&lt;&gt;0),'2.报价结算清单'!I509,"")</f>
        <v/>
      </c>
      <c r="K406" s="105" t="str">
        <f>IF(AND('2.报价结算清单'!$P509&gt;0,'2.报价结算清单'!$B509&lt;&gt;0,'2.报价结算清单'!$F509&lt;&gt;0),'2.报价结算清单'!N509,"")</f>
        <v/>
      </c>
      <c r="L406" s="105" t="str">
        <f>IF(AND('2.报价结算清单'!$P509&gt;0,'2.报价结算清单'!$B509&lt;&gt;0,'2.报价结算清单'!I509&lt;&gt;0),"天","")</f>
        <v/>
      </c>
      <c r="M406" s="80" t="str">
        <f t="shared" si="16"/>
        <v/>
      </c>
      <c r="N406" s="78" t="str">
        <f t="shared" si="17"/>
        <v/>
      </c>
      <c r="O406" s="78" t="str">
        <f>IF(AND('2.报价结算清单'!$P509&gt;0,'2.报价结算清单'!$B509&lt;&gt;0,'2.报价结算清单'!S509&lt;&gt;0),'2.报价结算清单'!S509,"")</f>
        <v/>
      </c>
      <c r="P406" s="78" t="str">
        <f>IF(AND('2.报价结算清单'!$P509&gt;0,'2.报价结算清单'!$B509&lt;&gt;0,'2.报价结算清单'!T509&lt;&gt;0),'2.报价结算清单'!T509,"")</f>
        <v/>
      </c>
      <c r="Q406" s="78" t="str">
        <f>IF(F406="",J406,VLOOKUP(F406,框架条目清单!A:K,4,FALSE))</f>
        <v/>
      </c>
      <c r="R406" s="106" t="str">
        <f>IF($A406="","",'2.报价结算清单'!$K$183)</f>
        <v/>
      </c>
      <c r="S406" s="80" t="str">
        <f>IF($A406="","",'2.报价结算清单'!$E$183)</f>
        <v/>
      </c>
      <c r="T406" s="78" t="str">
        <f>IF(F406="","",VLOOKUP(F406,框架条目清单!A:K,7,FALSE))</f>
        <v/>
      </c>
      <c r="U406" s="78" t="str">
        <f>IF(F406="","",VLOOKUP(F406,框架条目清单!A:K,8,FALSE))</f>
        <v/>
      </c>
      <c r="V406" s="78" t="str">
        <f>IF(F406="","",VLOOKUP(F406,框架条目清单!A:K,9,FALSE))</f>
        <v/>
      </c>
    </row>
    <row r="407" spans="1:22">
      <c r="A407" s="78" t="str">
        <f>IF(AND('2.报价结算清单'!$P510&gt;0,'2.报价结算清单'!$B510&lt;&gt;0,'2.报价结算清单'!$F510&lt;&gt;0),'2.报价结算清单'!$F510,"")</f>
        <v/>
      </c>
      <c r="B407" s="78" t="str">
        <f>_xlfn.IFNA(VLOOKUP(A407,'3.框架内物料'!$A:$I,3,0),A407)</f>
        <v/>
      </c>
      <c r="C407" s="78" t="str">
        <f>IF(AND('2.报价结算清单'!$P510&gt;0,'2.报价结算清单'!$B510&lt;&gt;0,'2.报价结算清单'!C510&lt;&gt;0),'2.报价结算清单'!C510,"")</f>
        <v/>
      </c>
      <c r="D407" s="78" t="str">
        <f>IF(AND('2.报价结算清单'!$P510&gt;0,'2.报价结算清单'!$B510&lt;&gt;0,'2.报价结算清单'!D510&lt;&gt;0),'2.报价结算清单'!D510,"")</f>
        <v/>
      </c>
      <c r="E407" s="78" t="str">
        <f>IF(AND('2.报价结算清单'!$P510&gt;0,'2.报价结算清单'!$B510&lt;&gt;0,'2.报价结算清单'!E510&lt;&gt;0),'2.报价结算清单'!E510,"")</f>
        <v/>
      </c>
      <c r="F407" s="105" t="str">
        <f>_xlfn.IFNA(IF($A407="","",IF(VLOOKUP($A407,'3.框架内物料'!$A:$I,2,0)="","",VLOOKUP($A407,'3.框架内物料'!$A:$I,2,0))),"")</f>
        <v/>
      </c>
      <c r="G407" s="87" t="str">
        <f>IF(AND('2.报价结算清单'!$P510&gt;0,'2.报价结算清单'!$B510&lt;&gt;0,'2.报价结算清单'!H510&lt;&gt;0),'2.报价结算清单'!H510,"")</f>
        <v/>
      </c>
      <c r="H407" s="122" t="str">
        <f>IF(AND('2.报价结算清单'!$P510&gt;0,'2.报价结算清单'!$B510&lt;&gt;0,'2.报价结算清单'!$F510&lt;&gt;0),'2.报价结算清单'!J510,"")</f>
        <v/>
      </c>
      <c r="I407" s="105" t="str">
        <f>IF(AND('2.报价结算清单'!$P510&gt;0,'2.报价结算清单'!$B510&lt;&gt;0,'2.报价结算清单'!$F510&lt;&gt;0),'2.报价结算清单'!L510,"")</f>
        <v/>
      </c>
      <c r="J407" s="105" t="str">
        <f>IF(AND('2.报价结算清单'!$P510&gt;0,'2.报价结算清单'!$B510&lt;&gt;0,'2.报价结算清单'!I510&lt;&gt;0),'2.报价结算清单'!I510,"")</f>
        <v/>
      </c>
      <c r="K407" s="105" t="str">
        <f>IF(AND('2.报价结算清单'!$P510&gt;0,'2.报价结算清单'!$B510&lt;&gt;0,'2.报价结算清单'!$F510&lt;&gt;0),'2.报价结算清单'!N510,"")</f>
        <v/>
      </c>
      <c r="L407" s="105" t="str">
        <f>IF(AND('2.报价结算清单'!$P510&gt;0,'2.报价结算清单'!$B510&lt;&gt;0,'2.报价结算清单'!I510&lt;&gt;0),"天","")</f>
        <v/>
      </c>
      <c r="M407" s="80" t="str">
        <f t="shared" si="16"/>
        <v/>
      </c>
      <c r="N407" s="78" t="str">
        <f t="shared" si="17"/>
        <v/>
      </c>
      <c r="O407" s="78" t="str">
        <f>IF(AND('2.报价结算清单'!$P510&gt;0,'2.报价结算清单'!$B510&lt;&gt;0,'2.报价结算清单'!S510&lt;&gt;0),'2.报价结算清单'!S510,"")</f>
        <v/>
      </c>
      <c r="P407" s="78" t="str">
        <f>IF(AND('2.报价结算清单'!$P510&gt;0,'2.报价结算清单'!$B510&lt;&gt;0,'2.报价结算清单'!T510&lt;&gt;0),'2.报价结算清单'!T510,"")</f>
        <v/>
      </c>
      <c r="Q407" s="78" t="str">
        <f>IF(F407="",J407,VLOOKUP(F407,框架条目清单!A:K,4,FALSE))</f>
        <v/>
      </c>
      <c r="R407" s="106" t="str">
        <f>IF($A407="","",'2.报价结算清单'!$K$183)</f>
        <v/>
      </c>
      <c r="S407" s="80" t="str">
        <f>IF($A407="","",'2.报价结算清单'!$E$183)</f>
        <v/>
      </c>
      <c r="T407" s="78" t="str">
        <f>IF(F407="","",VLOOKUP(F407,框架条目清单!A:K,7,FALSE))</f>
        <v/>
      </c>
      <c r="U407" s="78" t="str">
        <f>IF(F407="","",VLOOKUP(F407,框架条目清单!A:K,8,FALSE))</f>
        <v/>
      </c>
      <c r="V407" s="78" t="str">
        <f>IF(F407="","",VLOOKUP(F407,框架条目清单!A:K,9,FALSE))</f>
        <v/>
      </c>
    </row>
    <row r="408" spans="1:22">
      <c r="A408" s="78" t="str">
        <f>IF(AND('2.报价结算清单'!$P511&gt;0,'2.报价结算清单'!$B511&lt;&gt;0,'2.报价结算清单'!$F511&lt;&gt;0),'2.报价结算清单'!$F511,"")</f>
        <v/>
      </c>
      <c r="B408" s="78" t="str">
        <f>_xlfn.IFNA(VLOOKUP(A408,'3.框架内物料'!$A:$I,3,0),A408)</f>
        <v/>
      </c>
      <c r="C408" s="78" t="str">
        <f>IF(AND('2.报价结算清单'!$P511&gt;0,'2.报价结算清单'!$B511&lt;&gt;0,'2.报价结算清单'!C511&lt;&gt;0),'2.报价结算清单'!C511,"")</f>
        <v/>
      </c>
      <c r="D408" s="78" t="str">
        <f>IF(AND('2.报价结算清单'!$P511&gt;0,'2.报价结算清单'!$B511&lt;&gt;0,'2.报价结算清单'!D511&lt;&gt;0),'2.报价结算清单'!D511,"")</f>
        <v/>
      </c>
      <c r="E408" s="78" t="str">
        <f>IF(AND('2.报价结算清单'!$P511&gt;0,'2.报价结算清单'!$B511&lt;&gt;0,'2.报价结算清单'!E511&lt;&gt;0),'2.报价结算清单'!E511,"")</f>
        <v/>
      </c>
      <c r="F408" s="105" t="str">
        <f>_xlfn.IFNA(IF($A408="","",IF(VLOOKUP($A408,'3.框架内物料'!$A:$I,2,0)="","",VLOOKUP($A408,'3.框架内物料'!$A:$I,2,0))),"")</f>
        <v/>
      </c>
      <c r="G408" s="87" t="str">
        <f>IF(AND('2.报价结算清单'!$P511&gt;0,'2.报价结算清单'!$B511&lt;&gt;0,'2.报价结算清单'!H511&lt;&gt;0),'2.报价结算清单'!H511,"")</f>
        <v/>
      </c>
      <c r="H408" s="122" t="str">
        <f>IF(AND('2.报价结算清单'!$P511&gt;0,'2.报价结算清单'!$B511&lt;&gt;0,'2.报价结算清单'!$F511&lt;&gt;0),'2.报价结算清单'!J511,"")</f>
        <v/>
      </c>
      <c r="I408" s="105" t="str">
        <f>IF(AND('2.报价结算清单'!$P511&gt;0,'2.报价结算清单'!$B511&lt;&gt;0,'2.报价结算清单'!$F511&lt;&gt;0),'2.报价结算清单'!L511,"")</f>
        <v/>
      </c>
      <c r="J408" s="105" t="str">
        <f>IF(AND('2.报价结算清单'!$P511&gt;0,'2.报价结算清单'!$B511&lt;&gt;0,'2.报价结算清单'!I511&lt;&gt;0),'2.报价结算清单'!I511,"")</f>
        <v/>
      </c>
      <c r="K408" s="105" t="str">
        <f>IF(AND('2.报价结算清单'!$P511&gt;0,'2.报价结算清单'!$B511&lt;&gt;0,'2.报价结算清单'!$F511&lt;&gt;0),'2.报价结算清单'!N511,"")</f>
        <v/>
      </c>
      <c r="L408" s="105" t="str">
        <f>IF(AND('2.报价结算清单'!$P511&gt;0,'2.报价结算清单'!$B511&lt;&gt;0,'2.报价结算清单'!I511&lt;&gt;0),"天","")</f>
        <v/>
      </c>
      <c r="M408" s="80" t="str">
        <f t="shared" si="16"/>
        <v/>
      </c>
      <c r="N408" s="78" t="str">
        <f t="shared" si="17"/>
        <v/>
      </c>
      <c r="O408" s="78" t="str">
        <f>IF(AND('2.报价结算清单'!$P511&gt;0,'2.报价结算清单'!$B511&lt;&gt;0,'2.报价结算清单'!S511&lt;&gt;0),'2.报价结算清单'!S511,"")</f>
        <v/>
      </c>
      <c r="P408" s="78" t="str">
        <f>IF(AND('2.报价结算清单'!$P511&gt;0,'2.报价结算清单'!$B511&lt;&gt;0,'2.报价结算清单'!T511&lt;&gt;0),'2.报价结算清单'!T511,"")</f>
        <v/>
      </c>
      <c r="Q408" s="78" t="str">
        <f>IF(F408="",J408,VLOOKUP(F408,框架条目清单!A:K,4,FALSE))</f>
        <v/>
      </c>
      <c r="R408" s="106" t="str">
        <f>IF($A408="","",'2.报价结算清单'!$K$183)</f>
        <v/>
      </c>
      <c r="S408" s="80" t="str">
        <f>IF($A408="","",'2.报价结算清单'!$E$183)</f>
        <v/>
      </c>
      <c r="T408" s="78" t="str">
        <f>IF(F408="","",VLOOKUP(F408,框架条目清单!A:K,7,FALSE))</f>
        <v/>
      </c>
      <c r="U408" s="78" t="str">
        <f>IF(F408="","",VLOOKUP(F408,框架条目清单!A:K,8,FALSE))</f>
        <v/>
      </c>
      <c r="V408" s="78" t="str">
        <f>IF(F408="","",VLOOKUP(F408,框架条目清单!A:K,9,FALSE))</f>
        <v/>
      </c>
    </row>
    <row r="409" spans="1:22">
      <c r="A409" s="78" t="str">
        <f>IF(AND('2.报价结算清单'!$P512&gt;0,'2.报价结算清单'!$B512&lt;&gt;0,'2.报价结算清单'!$F512&lt;&gt;0),'2.报价结算清单'!$F512,"")</f>
        <v/>
      </c>
      <c r="B409" s="78" t="str">
        <f>_xlfn.IFNA(VLOOKUP(A409,'3.框架内物料'!$A:$I,3,0),A409)</f>
        <v/>
      </c>
      <c r="C409" s="78" t="str">
        <f>IF(AND('2.报价结算清单'!$P512&gt;0,'2.报价结算清单'!$B512&lt;&gt;0,'2.报价结算清单'!C512&lt;&gt;0),'2.报价结算清单'!C512,"")</f>
        <v/>
      </c>
      <c r="D409" s="78" t="str">
        <f>IF(AND('2.报价结算清单'!$P512&gt;0,'2.报价结算清单'!$B512&lt;&gt;0,'2.报价结算清单'!D512&lt;&gt;0),'2.报价结算清单'!D512,"")</f>
        <v/>
      </c>
      <c r="E409" s="78" t="str">
        <f>IF(AND('2.报价结算清单'!$P512&gt;0,'2.报价结算清单'!$B512&lt;&gt;0,'2.报价结算清单'!E512&lt;&gt;0),'2.报价结算清单'!E512,"")</f>
        <v/>
      </c>
      <c r="F409" s="105" t="str">
        <f>_xlfn.IFNA(IF($A409="","",IF(VLOOKUP($A409,'3.框架内物料'!$A:$I,2,0)="","",VLOOKUP($A409,'3.框架内物料'!$A:$I,2,0))),"")</f>
        <v/>
      </c>
      <c r="G409" s="87" t="str">
        <f>IF(AND('2.报价结算清单'!$P512&gt;0,'2.报价结算清单'!$B512&lt;&gt;0,'2.报价结算清单'!H512&lt;&gt;0),'2.报价结算清单'!H512,"")</f>
        <v/>
      </c>
      <c r="H409" s="122" t="str">
        <f>IF(AND('2.报价结算清单'!$P512&gt;0,'2.报价结算清单'!$B512&lt;&gt;0,'2.报价结算清单'!$F512&lt;&gt;0),'2.报价结算清单'!J512,"")</f>
        <v/>
      </c>
      <c r="I409" s="105" t="str">
        <f>IF(AND('2.报价结算清单'!$P512&gt;0,'2.报价结算清单'!$B512&lt;&gt;0,'2.报价结算清单'!$F512&lt;&gt;0),'2.报价结算清单'!L512,"")</f>
        <v/>
      </c>
      <c r="J409" s="105" t="str">
        <f>IF(AND('2.报价结算清单'!$P512&gt;0,'2.报价结算清单'!$B512&lt;&gt;0,'2.报价结算清单'!I512&lt;&gt;0),'2.报价结算清单'!I512,"")</f>
        <v/>
      </c>
      <c r="K409" s="105" t="str">
        <f>IF(AND('2.报价结算清单'!$P512&gt;0,'2.报价结算清单'!$B512&lt;&gt;0,'2.报价结算清单'!$F512&lt;&gt;0),'2.报价结算清单'!N512,"")</f>
        <v/>
      </c>
      <c r="L409" s="105" t="str">
        <f>IF(AND('2.报价结算清单'!$P512&gt;0,'2.报价结算清单'!$B512&lt;&gt;0,'2.报价结算清单'!I512&lt;&gt;0),"天","")</f>
        <v/>
      </c>
      <c r="M409" s="80" t="str">
        <f t="shared" si="16"/>
        <v/>
      </c>
      <c r="N409" s="78" t="str">
        <f t="shared" si="17"/>
        <v/>
      </c>
      <c r="O409" s="78" t="str">
        <f>IF(AND('2.报价结算清单'!$P512&gt;0,'2.报价结算清单'!$B512&lt;&gt;0,'2.报价结算清单'!S512&lt;&gt;0),'2.报价结算清单'!S512,"")</f>
        <v/>
      </c>
      <c r="P409" s="78" t="str">
        <f>IF(AND('2.报价结算清单'!$P512&gt;0,'2.报价结算清单'!$B512&lt;&gt;0,'2.报价结算清单'!T512&lt;&gt;0),'2.报价结算清单'!T512,"")</f>
        <v/>
      </c>
      <c r="Q409" s="78" t="str">
        <f>IF(F409="",J409,VLOOKUP(F409,框架条目清单!A:K,4,FALSE))</f>
        <v/>
      </c>
      <c r="R409" s="106" t="str">
        <f>IF($A409="","",'2.报价结算清单'!$K$183)</f>
        <v/>
      </c>
      <c r="S409" s="80" t="str">
        <f>IF($A409="","",'2.报价结算清单'!$E$183)</f>
        <v/>
      </c>
      <c r="T409" s="78" t="str">
        <f>IF(F409="","",VLOOKUP(F409,框架条目清单!A:K,7,FALSE))</f>
        <v/>
      </c>
      <c r="U409" s="78" t="str">
        <f>IF(F409="","",VLOOKUP(F409,框架条目清单!A:K,8,FALSE))</f>
        <v/>
      </c>
      <c r="V409" s="78" t="str">
        <f>IF(F409="","",VLOOKUP(F409,框架条目清单!A:K,9,FALSE))</f>
        <v/>
      </c>
    </row>
    <row r="410" spans="1:22">
      <c r="A410" s="78" t="str">
        <f>IF(AND('2.报价结算清单'!$P513&gt;0,'2.报价结算清单'!$B513&lt;&gt;0,'2.报价结算清单'!$F513&lt;&gt;0),'2.报价结算清单'!$F513,"")</f>
        <v/>
      </c>
      <c r="B410" s="78" t="str">
        <f>_xlfn.IFNA(VLOOKUP(A410,'3.框架内物料'!$A:$I,3,0),A410)</f>
        <v/>
      </c>
      <c r="C410" s="78" t="str">
        <f>IF(AND('2.报价结算清单'!$P513&gt;0,'2.报价结算清单'!$B513&lt;&gt;0,'2.报价结算清单'!C513&lt;&gt;0),'2.报价结算清单'!C513,"")</f>
        <v/>
      </c>
      <c r="D410" s="78" t="str">
        <f>IF(AND('2.报价结算清单'!$P513&gt;0,'2.报价结算清单'!$B513&lt;&gt;0,'2.报价结算清单'!D513&lt;&gt;0),'2.报价结算清单'!D513,"")</f>
        <v/>
      </c>
      <c r="E410" s="78" t="str">
        <f>IF(AND('2.报价结算清单'!$P513&gt;0,'2.报价结算清单'!$B513&lt;&gt;0,'2.报价结算清单'!E513&lt;&gt;0),'2.报价结算清单'!E513,"")</f>
        <v/>
      </c>
      <c r="F410" s="105" t="str">
        <f>_xlfn.IFNA(IF($A410="","",IF(VLOOKUP($A410,'3.框架内物料'!$A:$I,2,0)="","",VLOOKUP($A410,'3.框架内物料'!$A:$I,2,0))),"")</f>
        <v/>
      </c>
      <c r="G410" s="87" t="str">
        <f>IF(AND('2.报价结算清单'!$P513&gt;0,'2.报价结算清单'!$B513&lt;&gt;0,'2.报价结算清单'!H513&lt;&gt;0),'2.报价结算清单'!H513,"")</f>
        <v/>
      </c>
      <c r="H410" s="122" t="str">
        <f>IF(AND('2.报价结算清单'!$P513&gt;0,'2.报价结算清单'!$B513&lt;&gt;0,'2.报价结算清单'!$F513&lt;&gt;0),'2.报价结算清单'!J513,"")</f>
        <v/>
      </c>
      <c r="I410" s="105" t="str">
        <f>IF(AND('2.报价结算清单'!$P513&gt;0,'2.报价结算清单'!$B513&lt;&gt;0,'2.报价结算清单'!$F513&lt;&gt;0),'2.报价结算清单'!L513,"")</f>
        <v/>
      </c>
      <c r="J410" s="105" t="str">
        <f>IF(AND('2.报价结算清单'!$P513&gt;0,'2.报价结算清单'!$B513&lt;&gt;0,'2.报价结算清单'!I513&lt;&gt;0),'2.报价结算清单'!I513,"")</f>
        <v/>
      </c>
      <c r="K410" s="105" t="str">
        <f>IF(AND('2.报价结算清单'!$P513&gt;0,'2.报价结算清单'!$B513&lt;&gt;0,'2.报价结算清单'!$F513&lt;&gt;0),'2.报价结算清单'!N513,"")</f>
        <v/>
      </c>
      <c r="L410" s="105" t="str">
        <f>IF(AND('2.报价结算清单'!$P513&gt;0,'2.报价结算清单'!$B513&lt;&gt;0,'2.报价结算清单'!I513&lt;&gt;0),"天","")</f>
        <v/>
      </c>
      <c r="M410" s="80" t="str">
        <f t="shared" si="16"/>
        <v/>
      </c>
      <c r="N410" s="78" t="str">
        <f t="shared" si="17"/>
        <v/>
      </c>
      <c r="O410" s="78" t="str">
        <f>IF(AND('2.报价结算清单'!$P513&gt;0,'2.报价结算清单'!$B513&lt;&gt;0,'2.报价结算清单'!S513&lt;&gt;0),'2.报价结算清单'!S513,"")</f>
        <v/>
      </c>
      <c r="P410" s="78" t="str">
        <f>IF(AND('2.报价结算清单'!$P513&gt;0,'2.报价结算清单'!$B513&lt;&gt;0,'2.报价结算清单'!T513&lt;&gt;0),'2.报价结算清单'!T513,"")</f>
        <v/>
      </c>
      <c r="Q410" s="78" t="str">
        <f>IF(F410="",J410,VLOOKUP(F410,框架条目清单!A:K,4,FALSE))</f>
        <v/>
      </c>
      <c r="R410" s="106" t="str">
        <f>IF($A410="","",'2.报价结算清单'!$K$183)</f>
        <v/>
      </c>
      <c r="S410" s="80" t="str">
        <f>IF($A410="","",'2.报价结算清单'!$E$183)</f>
        <v/>
      </c>
      <c r="T410" s="78" t="str">
        <f>IF(F410="","",VLOOKUP(F410,框架条目清单!A:K,7,FALSE))</f>
        <v/>
      </c>
      <c r="U410" s="78" t="str">
        <f>IF(F410="","",VLOOKUP(F410,框架条目清单!A:K,8,FALSE))</f>
        <v/>
      </c>
      <c r="V410" s="78" t="str">
        <f>IF(F410="","",VLOOKUP(F410,框架条目清单!A:K,9,FALSE))</f>
        <v/>
      </c>
    </row>
    <row r="411" spans="1:22">
      <c r="A411" s="78" t="str">
        <f>IF(AND('2.报价结算清单'!$P514&gt;0,'2.报价结算清单'!$B514&lt;&gt;0,'2.报价结算清单'!$F514&lt;&gt;0),'2.报价结算清单'!$F514,"")</f>
        <v/>
      </c>
      <c r="B411" s="78" t="str">
        <f>_xlfn.IFNA(VLOOKUP(A411,'3.框架内物料'!$A:$I,3,0),A411)</f>
        <v/>
      </c>
      <c r="C411" s="78" t="str">
        <f>IF(AND('2.报价结算清单'!$P514&gt;0,'2.报价结算清单'!$B514&lt;&gt;0,'2.报价结算清单'!C514&lt;&gt;0),'2.报价结算清单'!C514,"")</f>
        <v/>
      </c>
      <c r="D411" s="78" t="str">
        <f>IF(AND('2.报价结算清单'!$P514&gt;0,'2.报价结算清单'!$B514&lt;&gt;0,'2.报价结算清单'!D514&lt;&gt;0),'2.报价结算清单'!D514,"")</f>
        <v/>
      </c>
      <c r="E411" s="78" t="str">
        <f>IF(AND('2.报价结算清单'!$P514&gt;0,'2.报价结算清单'!$B514&lt;&gt;0,'2.报价结算清单'!E514&lt;&gt;0),'2.报价结算清单'!E514,"")</f>
        <v/>
      </c>
      <c r="F411" s="105" t="str">
        <f>_xlfn.IFNA(IF($A411="","",IF(VLOOKUP($A411,'3.框架内物料'!$A:$I,2,0)="","",VLOOKUP($A411,'3.框架内物料'!$A:$I,2,0))),"")</f>
        <v/>
      </c>
      <c r="G411" s="87" t="str">
        <f>IF(AND('2.报价结算清单'!$P514&gt;0,'2.报价结算清单'!$B514&lt;&gt;0,'2.报价结算清单'!H514&lt;&gt;0),'2.报价结算清单'!H514,"")</f>
        <v/>
      </c>
      <c r="H411" s="122" t="str">
        <f>IF(AND('2.报价结算清单'!$P514&gt;0,'2.报价结算清单'!$B514&lt;&gt;0,'2.报价结算清单'!$F514&lt;&gt;0),'2.报价结算清单'!J514,"")</f>
        <v/>
      </c>
      <c r="I411" s="105" t="str">
        <f>IF(AND('2.报价结算清单'!$P514&gt;0,'2.报价结算清单'!$B514&lt;&gt;0,'2.报价结算清单'!$F514&lt;&gt;0),'2.报价结算清单'!L514,"")</f>
        <v/>
      </c>
      <c r="J411" s="105" t="str">
        <f>IF(AND('2.报价结算清单'!$P514&gt;0,'2.报价结算清单'!$B514&lt;&gt;0,'2.报价结算清单'!I514&lt;&gt;0),'2.报价结算清单'!I514,"")</f>
        <v/>
      </c>
      <c r="K411" s="105" t="str">
        <f>IF(AND('2.报价结算清单'!$P514&gt;0,'2.报价结算清单'!$B514&lt;&gt;0,'2.报价结算清单'!$F514&lt;&gt;0),'2.报价结算清单'!N514,"")</f>
        <v/>
      </c>
      <c r="L411" s="105" t="str">
        <f>IF(AND('2.报价结算清单'!$P514&gt;0,'2.报价结算清单'!$B514&lt;&gt;0,'2.报价结算清单'!I514&lt;&gt;0),"天","")</f>
        <v/>
      </c>
      <c r="M411" s="80" t="str">
        <f t="shared" si="16"/>
        <v/>
      </c>
      <c r="N411" s="78" t="str">
        <f t="shared" si="17"/>
        <v/>
      </c>
      <c r="O411" s="78" t="str">
        <f>IF(AND('2.报价结算清单'!$P514&gt;0,'2.报价结算清单'!$B514&lt;&gt;0,'2.报价结算清单'!S514&lt;&gt;0),'2.报价结算清单'!S514,"")</f>
        <v/>
      </c>
      <c r="P411" s="78" t="str">
        <f>IF(AND('2.报价结算清单'!$P514&gt;0,'2.报价结算清单'!$B514&lt;&gt;0,'2.报价结算清单'!T514&lt;&gt;0),'2.报价结算清单'!T514,"")</f>
        <v/>
      </c>
      <c r="Q411" s="78" t="str">
        <f>IF(F411="",J411,VLOOKUP(F411,框架条目清单!A:K,4,FALSE))</f>
        <v/>
      </c>
      <c r="R411" s="106" t="str">
        <f>IF($A411="","",'2.报价结算清单'!$K$183)</f>
        <v/>
      </c>
      <c r="S411" s="80" t="str">
        <f>IF($A411="","",'2.报价结算清单'!$E$183)</f>
        <v/>
      </c>
      <c r="T411" s="78" t="str">
        <f>IF(F411="","",VLOOKUP(F411,框架条目清单!A:K,7,FALSE))</f>
        <v/>
      </c>
      <c r="U411" s="78" t="str">
        <f>IF(F411="","",VLOOKUP(F411,框架条目清单!A:K,8,FALSE))</f>
        <v/>
      </c>
      <c r="V411" s="78" t="str">
        <f>IF(F411="","",VLOOKUP(F411,框架条目清单!A:K,9,FALSE))</f>
        <v/>
      </c>
    </row>
    <row r="412" spans="1:22">
      <c r="A412" s="78" t="str">
        <f>IF(AND('2.报价结算清单'!$P515&gt;0,'2.报价结算清单'!$B515&lt;&gt;0,'2.报价结算清单'!$F515&lt;&gt;0),'2.报价结算清单'!$F515,"")</f>
        <v/>
      </c>
      <c r="B412" s="78" t="str">
        <f>_xlfn.IFNA(VLOOKUP(A412,'3.框架内物料'!$A:$I,3,0),A412)</f>
        <v/>
      </c>
      <c r="C412" s="78" t="str">
        <f>IF(AND('2.报价结算清单'!$P515&gt;0,'2.报价结算清单'!$B515&lt;&gt;0,'2.报价结算清单'!C515&lt;&gt;0),'2.报价结算清单'!C515,"")</f>
        <v/>
      </c>
      <c r="D412" s="78" t="str">
        <f>IF(AND('2.报价结算清单'!$P515&gt;0,'2.报价结算清单'!$B515&lt;&gt;0,'2.报价结算清单'!D515&lt;&gt;0),'2.报价结算清单'!D515,"")</f>
        <v/>
      </c>
      <c r="E412" s="78" t="str">
        <f>IF(AND('2.报价结算清单'!$P515&gt;0,'2.报价结算清单'!$B515&lt;&gt;0,'2.报价结算清单'!E515&lt;&gt;0),'2.报价结算清单'!E515,"")</f>
        <v/>
      </c>
      <c r="F412" s="105" t="str">
        <f>_xlfn.IFNA(IF($A412="","",IF(VLOOKUP($A412,'3.框架内物料'!$A:$I,2,0)="","",VLOOKUP($A412,'3.框架内物料'!$A:$I,2,0))),"")</f>
        <v/>
      </c>
      <c r="G412" s="87" t="str">
        <f>IF(AND('2.报价结算清单'!$P515&gt;0,'2.报价结算清单'!$B515&lt;&gt;0,'2.报价结算清单'!H515&lt;&gt;0),'2.报价结算清单'!H515,"")</f>
        <v/>
      </c>
      <c r="H412" s="122" t="str">
        <f>IF(AND('2.报价结算清单'!$P515&gt;0,'2.报价结算清单'!$B515&lt;&gt;0,'2.报价结算清单'!$F515&lt;&gt;0),'2.报价结算清单'!J515,"")</f>
        <v/>
      </c>
      <c r="I412" s="105" t="str">
        <f>IF(AND('2.报价结算清单'!$P515&gt;0,'2.报价结算清单'!$B515&lt;&gt;0,'2.报价结算清单'!$F515&lt;&gt;0),'2.报价结算清单'!L515,"")</f>
        <v/>
      </c>
      <c r="J412" s="105" t="str">
        <f>IF(AND('2.报价结算清单'!$P515&gt;0,'2.报价结算清单'!$B515&lt;&gt;0,'2.报价结算清单'!I515&lt;&gt;0),'2.报价结算清单'!I515,"")</f>
        <v/>
      </c>
      <c r="K412" s="105" t="str">
        <f>IF(AND('2.报价结算清单'!$P515&gt;0,'2.报价结算清单'!$B515&lt;&gt;0,'2.报价结算清单'!$F515&lt;&gt;0),'2.报价结算清单'!N515,"")</f>
        <v/>
      </c>
      <c r="L412" s="105" t="str">
        <f>IF(AND('2.报价结算清单'!$P515&gt;0,'2.报价结算清单'!$B515&lt;&gt;0,'2.报价结算清单'!I515&lt;&gt;0),"天","")</f>
        <v/>
      </c>
      <c r="M412" s="80" t="str">
        <f t="shared" si="16"/>
        <v/>
      </c>
      <c r="N412" s="78" t="str">
        <f t="shared" si="17"/>
        <v/>
      </c>
      <c r="O412" s="78" t="str">
        <f>IF(AND('2.报价结算清单'!$P515&gt;0,'2.报价结算清单'!$B515&lt;&gt;0,'2.报价结算清单'!S515&lt;&gt;0),'2.报价结算清单'!S515,"")</f>
        <v/>
      </c>
      <c r="P412" s="78" t="str">
        <f>IF(AND('2.报价结算清单'!$P515&gt;0,'2.报价结算清单'!$B515&lt;&gt;0,'2.报价结算清单'!T515&lt;&gt;0),'2.报价结算清单'!T515,"")</f>
        <v/>
      </c>
      <c r="Q412" s="78" t="str">
        <f>IF(F412="",J412,VLOOKUP(F412,框架条目清单!A:K,4,FALSE))</f>
        <v/>
      </c>
      <c r="R412" s="106" t="str">
        <f>IF($A412="","",'2.报价结算清单'!$K$183)</f>
        <v/>
      </c>
      <c r="S412" s="80" t="str">
        <f>IF($A412="","",'2.报价结算清单'!$E$183)</f>
        <v/>
      </c>
      <c r="T412" s="78" t="str">
        <f>IF(F412="","",VLOOKUP(F412,框架条目清单!A:K,7,FALSE))</f>
        <v/>
      </c>
      <c r="U412" s="78" t="str">
        <f>IF(F412="","",VLOOKUP(F412,框架条目清单!A:K,8,FALSE))</f>
        <v/>
      </c>
      <c r="V412" s="78" t="str">
        <f>IF(F412="","",VLOOKUP(F412,框架条目清单!A:K,9,FALSE))</f>
        <v/>
      </c>
    </row>
    <row r="413" spans="1:22">
      <c r="A413" s="78" t="str">
        <f>IF(AND('2.报价结算清单'!$P516&gt;0,'2.报价结算清单'!$B516&lt;&gt;0,'2.报价结算清单'!$F516&lt;&gt;0),'2.报价结算清单'!$F516,"")</f>
        <v/>
      </c>
      <c r="B413" s="78" t="str">
        <f>_xlfn.IFNA(VLOOKUP(A413,'3.框架内物料'!$A:$I,3,0),A413)</f>
        <v/>
      </c>
      <c r="C413" s="78" t="str">
        <f>IF(AND('2.报价结算清单'!$P516&gt;0,'2.报价结算清单'!$B516&lt;&gt;0,'2.报价结算清单'!C516&lt;&gt;0),'2.报价结算清单'!C516,"")</f>
        <v/>
      </c>
      <c r="D413" s="78" t="str">
        <f>IF(AND('2.报价结算清单'!$P516&gt;0,'2.报价结算清单'!$B516&lt;&gt;0,'2.报价结算清单'!D516&lt;&gt;0),'2.报价结算清单'!D516,"")</f>
        <v/>
      </c>
      <c r="E413" s="78" t="str">
        <f>IF(AND('2.报价结算清单'!$P516&gt;0,'2.报价结算清单'!$B516&lt;&gt;0,'2.报价结算清单'!E516&lt;&gt;0),'2.报价结算清单'!E516,"")</f>
        <v/>
      </c>
      <c r="F413" s="105" t="str">
        <f>_xlfn.IFNA(IF($A413="","",IF(VLOOKUP($A413,'3.框架内物料'!$A:$I,2,0)="","",VLOOKUP($A413,'3.框架内物料'!$A:$I,2,0))),"")</f>
        <v/>
      </c>
      <c r="G413" s="87" t="str">
        <f>IF(AND('2.报价结算清单'!$P516&gt;0,'2.报价结算清单'!$B516&lt;&gt;0,'2.报价结算清单'!H516&lt;&gt;0),'2.报价结算清单'!H516,"")</f>
        <v/>
      </c>
      <c r="H413" s="122" t="str">
        <f>IF(AND('2.报价结算清单'!$P516&gt;0,'2.报价结算清单'!$B516&lt;&gt;0,'2.报价结算清单'!$F516&lt;&gt;0),'2.报价结算清单'!J516,"")</f>
        <v/>
      </c>
      <c r="I413" s="105" t="str">
        <f>IF(AND('2.报价结算清单'!$P516&gt;0,'2.报价结算清单'!$B516&lt;&gt;0,'2.报价结算清单'!$F516&lt;&gt;0),'2.报价结算清单'!L516,"")</f>
        <v/>
      </c>
      <c r="J413" s="105" t="str">
        <f>IF(AND('2.报价结算清单'!$P516&gt;0,'2.报价结算清单'!$B516&lt;&gt;0,'2.报价结算清单'!I516&lt;&gt;0),'2.报价结算清单'!I516,"")</f>
        <v/>
      </c>
      <c r="K413" s="105" t="str">
        <f>IF(AND('2.报价结算清单'!$P516&gt;0,'2.报价结算清单'!$B516&lt;&gt;0,'2.报价结算清单'!$F516&lt;&gt;0),'2.报价结算清单'!N516,"")</f>
        <v/>
      </c>
      <c r="L413" s="105" t="str">
        <f>IF(AND('2.报价结算清单'!$P516&gt;0,'2.报价结算清单'!$B516&lt;&gt;0,'2.报价结算清单'!I516&lt;&gt;0),"天","")</f>
        <v/>
      </c>
      <c r="M413" s="80" t="str">
        <f t="shared" si="16"/>
        <v/>
      </c>
      <c r="N413" s="78" t="str">
        <f t="shared" si="17"/>
        <v/>
      </c>
      <c r="O413" s="78" t="str">
        <f>IF(AND('2.报价结算清单'!$P516&gt;0,'2.报价结算清单'!$B516&lt;&gt;0,'2.报价结算清单'!S516&lt;&gt;0),'2.报价结算清单'!S516,"")</f>
        <v/>
      </c>
      <c r="P413" s="78" t="str">
        <f>IF(AND('2.报价结算清单'!$P516&gt;0,'2.报价结算清单'!$B516&lt;&gt;0,'2.报价结算清单'!T516&lt;&gt;0),'2.报价结算清单'!T516,"")</f>
        <v/>
      </c>
      <c r="Q413" s="78" t="str">
        <f>IF(F413="",J413,VLOOKUP(F413,框架条目清单!A:K,4,FALSE))</f>
        <v/>
      </c>
      <c r="R413" s="106" t="str">
        <f>IF($A413="","",'2.报价结算清单'!$K$183)</f>
        <v/>
      </c>
      <c r="S413" s="80" t="str">
        <f>IF($A413="","",'2.报价结算清单'!$E$183)</f>
        <v/>
      </c>
      <c r="T413" s="78" t="str">
        <f>IF(F413="","",VLOOKUP(F413,框架条目清单!A:K,7,FALSE))</f>
        <v/>
      </c>
      <c r="U413" s="78" t="str">
        <f>IF(F413="","",VLOOKUP(F413,框架条目清单!A:K,8,FALSE))</f>
        <v/>
      </c>
      <c r="V413" s="78" t="str">
        <f>IF(F413="","",VLOOKUP(F413,框架条目清单!A:K,9,FALSE))</f>
        <v/>
      </c>
    </row>
    <row r="414" spans="1:22">
      <c r="A414" s="78" t="str">
        <f>IF(AND('2.报价结算清单'!$P517&gt;0,'2.报价结算清单'!$B517&lt;&gt;0,'2.报价结算清单'!$F517&lt;&gt;0),'2.报价结算清单'!$F517,"")</f>
        <v/>
      </c>
      <c r="B414" s="78" t="str">
        <f>_xlfn.IFNA(VLOOKUP(A414,'3.框架内物料'!$A:$I,3,0),A414)</f>
        <v/>
      </c>
      <c r="C414" s="78" t="str">
        <f>IF(AND('2.报价结算清单'!$P517&gt;0,'2.报价结算清单'!$B517&lt;&gt;0,'2.报价结算清单'!C517&lt;&gt;0),'2.报价结算清单'!C517,"")</f>
        <v/>
      </c>
      <c r="D414" s="78" t="str">
        <f>IF(AND('2.报价结算清单'!$P517&gt;0,'2.报价结算清单'!$B517&lt;&gt;0,'2.报价结算清单'!D517&lt;&gt;0),'2.报价结算清单'!D517,"")</f>
        <v/>
      </c>
      <c r="E414" s="78" t="str">
        <f>IF(AND('2.报价结算清单'!$P517&gt;0,'2.报价结算清单'!$B517&lt;&gt;0,'2.报价结算清单'!E517&lt;&gt;0),'2.报价结算清单'!E517,"")</f>
        <v/>
      </c>
      <c r="F414" s="105" t="str">
        <f>_xlfn.IFNA(IF($A414="","",IF(VLOOKUP($A414,'3.框架内物料'!$A:$I,2,0)="","",VLOOKUP($A414,'3.框架内物料'!$A:$I,2,0))),"")</f>
        <v/>
      </c>
      <c r="G414" s="87" t="str">
        <f>IF(AND('2.报价结算清单'!$P517&gt;0,'2.报价结算清单'!$B517&lt;&gt;0,'2.报价结算清单'!H517&lt;&gt;0),'2.报价结算清单'!H517,"")</f>
        <v/>
      </c>
      <c r="H414" s="122" t="str">
        <f>IF(AND('2.报价结算清单'!$P517&gt;0,'2.报价结算清单'!$B517&lt;&gt;0,'2.报价结算清单'!$F517&lt;&gt;0),'2.报价结算清单'!J517,"")</f>
        <v/>
      </c>
      <c r="I414" s="105" t="str">
        <f>IF(AND('2.报价结算清单'!$P517&gt;0,'2.报价结算清单'!$B517&lt;&gt;0,'2.报价结算清单'!$F517&lt;&gt;0),'2.报价结算清单'!L517,"")</f>
        <v/>
      </c>
      <c r="J414" s="105" t="str">
        <f>IF(AND('2.报价结算清单'!$P517&gt;0,'2.报价结算清单'!$B517&lt;&gt;0,'2.报价结算清单'!I517&lt;&gt;0),'2.报价结算清单'!I517,"")</f>
        <v/>
      </c>
      <c r="K414" s="105" t="str">
        <f>IF(AND('2.报价结算清单'!$P517&gt;0,'2.报价结算清单'!$B517&lt;&gt;0,'2.报价结算清单'!$F517&lt;&gt;0),'2.报价结算清单'!N517,"")</f>
        <v/>
      </c>
      <c r="L414" s="105" t="str">
        <f>IF(AND('2.报价结算清单'!$P517&gt;0,'2.报价结算清单'!$B517&lt;&gt;0,'2.报价结算清单'!I517&lt;&gt;0),"天","")</f>
        <v/>
      </c>
      <c r="M414" s="80" t="str">
        <f t="shared" si="16"/>
        <v/>
      </c>
      <c r="N414" s="78" t="str">
        <f t="shared" si="17"/>
        <v/>
      </c>
      <c r="O414" s="78" t="str">
        <f>IF(AND('2.报价结算清单'!$P517&gt;0,'2.报价结算清单'!$B517&lt;&gt;0,'2.报价结算清单'!S517&lt;&gt;0),'2.报价结算清单'!S517,"")</f>
        <v/>
      </c>
      <c r="P414" s="78" t="str">
        <f>IF(AND('2.报价结算清单'!$P517&gt;0,'2.报价结算清单'!$B517&lt;&gt;0,'2.报价结算清单'!T517&lt;&gt;0),'2.报价结算清单'!T517,"")</f>
        <v/>
      </c>
      <c r="Q414" s="78" t="str">
        <f>IF(F414="",J414,VLOOKUP(F414,框架条目清单!A:K,4,FALSE))</f>
        <v/>
      </c>
      <c r="R414" s="106" t="str">
        <f>IF($A414="","",'2.报价结算清单'!$K$183)</f>
        <v/>
      </c>
      <c r="S414" s="80" t="str">
        <f>IF($A414="","",'2.报价结算清单'!$E$183)</f>
        <v/>
      </c>
      <c r="T414" s="78" t="str">
        <f>IF(F414="","",VLOOKUP(F414,框架条目清单!A:K,7,FALSE))</f>
        <v/>
      </c>
      <c r="U414" s="78" t="str">
        <f>IF(F414="","",VLOOKUP(F414,框架条目清单!A:K,8,FALSE))</f>
        <v/>
      </c>
      <c r="V414" s="78" t="str">
        <f>IF(F414="","",VLOOKUP(F414,框架条目清单!A:K,9,FALSE))</f>
        <v/>
      </c>
    </row>
    <row r="415" spans="1:22">
      <c r="A415" s="78" t="str">
        <f>IF(AND('2.报价结算清单'!$P518&gt;0,'2.报价结算清单'!$B518&lt;&gt;0,'2.报价结算清单'!$F518&lt;&gt;0),'2.报价结算清单'!$F518,"")</f>
        <v/>
      </c>
      <c r="B415" s="78" t="str">
        <f>_xlfn.IFNA(VLOOKUP(A415,'3.框架内物料'!$A:$I,3,0),A415)</f>
        <v/>
      </c>
      <c r="C415" s="78" t="str">
        <f>IF(AND('2.报价结算清单'!$P518&gt;0,'2.报价结算清单'!$B518&lt;&gt;0,'2.报价结算清单'!C518&lt;&gt;0),'2.报价结算清单'!C518,"")</f>
        <v/>
      </c>
      <c r="D415" s="78" t="str">
        <f>IF(AND('2.报价结算清单'!$P518&gt;0,'2.报价结算清单'!$B518&lt;&gt;0,'2.报价结算清单'!D518&lt;&gt;0),'2.报价结算清单'!D518,"")</f>
        <v/>
      </c>
      <c r="E415" s="78" t="str">
        <f>IF(AND('2.报价结算清单'!$P518&gt;0,'2.报价结算清单'!$B518&lt;&gt;0,'2.报价结算清单'!E518&lt;&gt;0),'2.报价结算清单'!E518,"")</f>
        <v/>
      </c>
      <c r="F415" s="105" t="str">
        <f>_xlfn.IFNA(IF($A415="","",IF(VLOOKUP($A415,'3.框架内物料'!$A:$I,2,0)="","",VLOOKUP($A415,'3.框架内物料'!$A:$I,2,0))),"")</f>
        <v/>
      </c>
      <c r="G415" s="87" t="str">
        <f>IF(AND('2.报价结算清单'!$P518&gt;0,'2.报价结算清单'!$B518&lt;&gt;0,'2.报价结算清单'!H518&lt;&gt;0),'2.报价结算清单'!H518,"")</f>
        <v/>
      </c>
      <c r="H415" s="122" t="str">
        <f>IF(AND('2.报价结算清单'!$P518&gt;0,'2.报价结算清单'!$B518&lt;&gt;0,'2.报价结算清单'!$F518&lt;&gt;0),'2.报价结算清单'!J518,"")</f>
        <v/>
      </c>
      <c r="I415" s="105" t="str">
        <f>IF(AND('2.报价结算清单'!$P518&gt;0,'2.报价结算清单'!$B518&lt;&gt;0,'2.报价结算清单'!$F518&lt;&gt;0),'2.报价结算清单'!L518,"")</f>
        <v/>
      </c>
      <c r="J415" s="105" t="str">
        <f>IF(AND('2.报价结算清单'!$P518&gt;0,'2.报价结算清单'!$B518&lt;&gt;0,'2.报价结算清单'!I518&lt;&gt;0),'2.报价结算清单'!I518,"")</f>
        <v/>
      </c>
      <c r="K415" s="105" t="str">
        <f>IF(AND('2.报价结算清单'!$P518&gt;0,'2.报价结算清单'!$B518&lt;&gt;0,'2.报价结算清单'!$F518&lt;&gt;0),'2.报价结算清单'!N518,"")</f>
        <v/>
      </c>
      <c r="L415" s="105" t="str">
        <f>IF(AND('2.报价结算清单'!$P518&gt;0,'2.报价结算清单'!$B518&lt;&gt;0,'2.报价结算清单'!I518&lt;&gt;0),"天","")</f>
        <v/>
      </c>
      <c r="M415" s="80" t="str">
        <f t="shared" si="16"/>
        <v/>
      </c>
      <c r="N415" s="78" t="str">
        <f t="shared" si="17"/>
        <v/>
      </c>
      <c r="O415" s="78" t="str">
        <f>IF(AND('2.报价结算清单'!$P518&gt;0,'2.报价结算清单'!$B518&lt;&gt;0,'2.报价结算清单'!S518&lt;&gt;0),'2.报价结算清单'!S518,"")</f>
        <v/>
      </c>
      <c r="P415" s="78" t="str">
        <f>IF(AND('2.报价结算清单'!$P518&gt;0,'2.报价结算清单'!$B518&lt;&gt;0,'2.报价结算清单'!T518&lt;&gt;0),'2.报价结算清单'!T518,"")</f>
        <v/>
      </c>
      <c r="Q415" s="78" t="str">
        <f>IF(F415="",J415,VLOOKUP(F415,框架条目清单!A:K,4,FALSE))</f>
        <v/>
      </c>
      <c r="R415" s="106" t="str">
        <f>IF($A415="","",'2.报价结算清单'!$K$183)</f>
        <v/>
      </c>
      <c r="S415" s="80" t="str">
        <f>IF($A415="","",'2.报价结算清单'!$E$183)</f>
        <v/>
      </c>
      <c r="T415" s="78" t="str">
        <f>IF(F415="","",VLOOKUP(F415,框架条目清单!A:K,7,FALSE))</f>
        <v/>
      </c>
      <c r="U415" s="78" t="str">
        <f>IF(F415="","",VLOOKUP(F415,框架条目清单!A:K,8,FALSE))</f>
        <v/>
      </c>
      <c r="V415" s="78" t="str">
        <f>IF(F415="","",VLOOKUP(F415,框架条目清单!A:K,9,FALSE))</f>
        <v/>
      </c>
    </row>
    <row r="416" spans="1:22">
      <c r="A416" s="78" t="str">
        <f>IF(AND('2.报价结算清单'!$P519&gt;0,'2.报价结算清单'!$B519&lt;&gt;0,'2.报价结算清单'!$F519&lt;&gt;0),'2.报价结算清单'!$F519,"")</f>
        <v/>
      </c>
      <c r="B416" s="78" t="str">
        <f>_xlfn.IFNA(VLOOKUP(A416,'3.框架内物料'!$A:$I,3,0),A416)</f>
        <v/>
      </c>
      <c r="C416" s="78" t="str">
        <f>IF(AND('2.报价结算清单'!$P519&gt;0,'2.报价结算清单'!$B519&lt;&gt;0,'2.报价结算清单'!C519&lt;&gt;0),'2.报价结算清单'!C519,"")</f>
        <v/>
      </c>
      <c r="D416" s="78" t="str">
        <f>IF(AND('2.报价结算清单'!$P519&gt;0,'2.报价结算清单'!$B519&lt;&gt;0,'2.报价结算清单'!D519&lt;&gt;0),'2.报价结算清单'!D519,"")</f>
        <v/>
      </c>
      <c r="E416" s="78" t="str">
        <f>IF(AND('2.报价结算清单'!$P519&gt;0,'2.报价结算清单'!$B519&lt;&gt;0,'2.报价结算清单'!E519&lt;&gt;0),'2.报价结算清单'!E519,"")</f>
        <v/>
      </c>
      <c r="F416" s="105" t="str">
        <f>_xlfn.IFNA(IF($A416="","",IF(VLOOKUP($A416,'3.框架内物料'!$A:$I,2,0)="","",VLOOKUP($A416,'3.框架内物料'!$A:$I,2,0))),"")</f>
        <v/>
      </c>
      <c r="G416" s="87" t="str">
        <f>IF(AND('2.报价结算清单'!$P519&gt;0,'2.报价结算清单'!$B519&lt;&gt;0,'2.报价结算清单'!H519&lt;&gt;0),'2.报价结算清单'!H519,"")</f>
        <v/>
      </c>
      <c r="H416" s="122" t="str">
        <f>IF(AND('2.报价结算清单'!$P519&gt;0,'2.报价结算清单'!$B519&lt;&gt;0,'2.报价结算清单'!$F519&lt;&gt;0),'2.报价结算清单'!J519,"")</f>
        <v/>
      </c>
      <c r="I416" s="105" t="str">
        <f>IF(AND('2.报价结算清单'!$P519&gt;0,'2.报价结算清单'!$B519&lt;&gt;0,'2.报价结算清单'!$F519&lt;&gt;0),'2.报价结算清单'!L519,"")</f>
        <v/>
      </c>
      <c r="J416" s="105" t="str">
        <f>IF(AND('2.报价结算清单'!$P519&gt;0,'2.报价结算清单'!$B519&lt;&gt;0,'2.报价结算清单'!I519&lt;&gt;0),'2.报价结算清单'!I519,"")</f>
        <v/>
      </c>
      <c r="K416" s="105" t="str">
        <f>IF(AND('2.报价结算清单'!$P519&gt;0,'2.报价结算清单'!$B519&lt;&gt;0,'2.报价结算清单'!$F519&lt;&gt;0),'2.报价结算清单'!N519,"")</f>
        <v/>
      </c>
      <c r="L416" s="105" t="str">
        <f>IF(AND('2.报价结算清单'!$P519&gt;0,'2.报价结算清单'!$B519&lt;&gt;0,'2.报价结算清单'!I519&lt;&gt;0),"天","")</f>
        <v/>
      </c>
      <c r="M416" s="80" t="str">
        <f t="shared" si="16"/>
        <v/>
      </c>
      <c r="N416" s="78" t="str">
        <f t="shared" si="17"/>
        <v/>
      </c>
      <c r="O416" s="78" t="str">
        <f>IF(AND('2.报价结算清单'!$P519&gt;0,'2.报价结算清单'!$B519&lt;&gt;0,'2.报价结算清单'!S519&lt;&gt;0),'2.报价结算清单'!S519,"")</f>
        <v/>
      </c>
      <c r="P416" s="78" t="str">
        <f>IF(AND('2.报价结算清单'!$P519&gt;0,'2.报价结算清单'!$B519&lt;&gt;0,'2.报价结算清单'!T519&lt;&gt;0),'2.报价结算清单'!T519,"")</f>
        <v/>
      </c>
      <c r="Q416" s="78" t="str">
        <f>IF(F416="",J416,VLOOKUP(F416,框架条目清单!A:K,4,FALSE))</f>
        <v/>
      </c>
      <c r="R416" s="106" t="str">
        <f>IF($A416="","",'2.报价结算清单'!$K$183)</f>
        <v/>
      </c>
      <c r="S416" s="80" t="str">
        <f>IF($A416="","",'2.报价结算清单'!$E$183)</f>
        <v/>
      </c>
      <c r="T416" s="78" t="str">
        <f>IF(F416="","",VLOOKUP(F416,框架条目清单!A:K,7,FALSE))</f>
        <v/>
      </c>
      <c r="U416" s="78" t="str">
        <f>IF(F416="","",VLOOKUP(F416,框架条目清单!A:K,8,FALSE))</f>
        <v/>
      </c>
      <c r="V416" s="78" t="str">
        <f>IF(F416="","",VLOOKUP(F416,框架条目清单!A:K,9,FALSE))</f>
        <v/>
      </c>
    </row>
    <row r="417" spans="1:22">
      <c r="A417" s="78" t="str">
        <f>IF(AND('2.报价结算清单'!$P520&gt;0,'2.报价结算清单'!$B520&lt;&gt;0,'2.报价结算清单'!$F520&lt;&gt;0),'2.报价结算清单'!$F520,"")</f>
        <v/>
      </c>
      <c r="B417" s="78" t="str">
        <f>_xlfn.IFNA(VLOOKUP(A417,'3.框架内物料'!$A:$I,3,0),A417)</f>
        <v/>
      </c>
      <c r="C417" s="78" t="str">
        <f>IF(AND('2.报价结算清单'!$P520&gt;0,'2.报价结算清单'!$B520&lt;&gt;0,'2.报价结算清单'!C520&lt;&gt;0),'2.报价结算清单'!C520,"")</f>
        <v/>
      </c>
      <c r="D417" s="78" t="str">
        <f>IF(AND('2.报价结算清单'!$P520&gt;0,'2.报价结算清单'!$B520&lt;&gt;0,'2.报价结算清单'!D520&lt;&gt;0),'2.报价结算清单'!D520,"")</f>
        <v/>
      </c>
      <c r="E417" s="78" t="str">
        <f>IF(AND('2.报价结算清单'!$P520&gt;0,'2.报价结算清单'!$B520&lt;&gt;0,'2.报价结算清单'!E520&lt;&gt;0),'2.报价结算清单'!E520,"")</f>
        <v/>
      </c>
      <c r="F417" s="105" t="str">
        <f>_xlfn.IFNA(IF($A417="","",IF(VLOOKUP($A417,'3.框架内物料'!$A:$I,2,0)="","",VLOOKUP($A417,'3.框架内物料'!$A:$I,2,0))),"")</f>
        <v/>
      </c>
      <c r="G417" s="87" t="str">
        <f>IF(AND('2.报价结算清单'!$P520&gt;0,'2.报价结算清单'!$B520&lt;&gt;0,'2.报价结算清单'!H520&lt;&gt;0),'2.报价结算清单'!H520,"")</f>
        <v/>
      </c>
      <c r="H417" s="122" t="str">
        <f>IF(AND('2.报价结算清单'!$P520&gt;0,'2.报价结算清单'!$B520&lt;&gt;0,'2.报价结算清单'!$F520&lt;&gt;0),'2.报价结算清单'!J520,"")</f>
        <v/>
      </c>
      <c r="I417" s="105" t="str">
        <f>IF(AND('2.报价结算清单'!$P520&gt;0,'2.报价结算清单'!$B520&lt;&gt;0,'2.报价结算清单'!$F520&lt;&gt;0),'2.报价结算清单'!L520,"")</f>
        <v/>
      </c>
      <c r="J417" s="105" t="str">
        <f>IF(AND('2.报价结算清单'!$P520&gt;0,'2.报价结算清单'!$B520&lt;&gt;0,'2.报价结算清单'!I520&lt;&gt;0),'2.报价结算清单'!I520,"")</f>
        <v/>
      </c>
      <c r="K417" s="105" t="str">
        <f>IF(AND('2.报价结算清单'!$P520&gt;0,'2.报价结算清单'!$B520&lt;&gt;0,'2.报价结算清单'!$F520&lt;&gt;0),'2.报价结算清单'!N520,"")</f>
        <v/>
      </c>
      <c r="L417" s="105" t="str">
        <f>IF(AND('2.报价结算清单'!$P520&gt;0,'2.报价结算清单'!$B520&lt;&gt;0,'2.报价结算清单'!I520&lt;&gt;0),"天","")</f>
        <v/>
      </c>
      <c r="M417" s="80" t="str">
        <f t="shared" si="16"/>
        <v/>
      </c>
      <c r="N417" s="78" t="str">
        <f t="shared" si="17"/>
        <v/>
      </c>
      <c r="O417" s="78" t="str">
        <f>IF(AND('2.报价结算清单'!$P520&gt;0,'2.报价结算清单'!$B520&lt;&gt;0,'2.报价结算清单'!S520&lt;&gt;0),'2.报价结算清单'!S520,"")</f>
        <v/>
      </c>
      <c r="P417" s="78" t="str">
        <f>IF(AND('2.报价结算清单'!$P520&gt;0,'2.报价结算清单'!$B520&lt;&gt;0,'2.报价结算清单'!T520&lt;&gt;0),'2.报价结算清单'!T520,"")</f>
        <v/>
      </c>
      <c r="Q417" s="78" t="str">
        <f>IF(F417="",J417,VLOOKUP(F417,框架条目清单!A:K,4,FALSE))</f>
        <v/>
      </c>
      <c r="R417" s="106" t="str">
        <f>IF($A417="","",'2.报价结算清单'!$K$183)</f>
        <v/>
      </c>
      <c r="S417" s="80" t="str">
        <f>IF($A417="","",'2.报价结算清单'!$E$183)</f>
        <v/>
      </c>
      <c r="T417" s="78" t="str">
        <f>IF(F417="","",VLOOKUP(F417,框架条目清单!A:K,7,FALSE))</f>
        <v/>
      </c>
      <c r="U417" s="78" t="str">
        <f>IF(F417="","",VLOOKUP(F417,框架条目清单!A:K,8,FALSE))</f>
        <v/>
      </c>
      <c r="V417" s="78" t="str">
        <f>IF(F417="","",VLOOKUP(F417,框架条目清单!A:K,9,FALSE))</f>
        <v/>
      </c>
    </row>
    <row r="418" spans="1:22">
      <c r="A418" s="78" t="str">
        <f>IF(AND('2.报价结算清单'!$P521&gt;0,'2.报价结算清单'!$B521&lt;&gt;0,'2.报价结算清单'!$F521&lt;&gt;0),'2.报价结算清单'!$F521,"")</f>
        <v/>
      </c>
      <c r="B418" s="78" t="str">
        <f>_xlfn.IFNA(VLOOKUP(A418,'3.框架内物料'!$A:$I,3,0),A418)</f>
        <v/>
      </c>
      <c r="C418" s="78" t="str">
        <f>IF(AND('2.报价结算清单'!$P521&gt;0,'2.报价结算清单'!$B521&lt;&gt;0,'2.报价结算清单'!C521&lt;&gt;0),'2.报价结算清单'!C521,"")</f>
        <v/>
      </c>
      <c r="D418" s="78" t="str">
        <f>IF(AND('2.报价结算清单'!$P521&gt;0,'2.报价结算清单'!$B521&lt;&gt;0,'2.报价结算清单'!D521&lt;&gt;0),'2.报价结算清单'!D521,"")</f>
        <v/>
      </c>
      <c r="E418" s="78" t="str">
        <f>IF(AND('2.报价结算清单'!$P521&gt;0,'2.报价结算清单'!$B521&lt;&gt;0,'2.报价结算清单'!E521&lt;&gt;0),'2.报价结算清单'!E521,"")</f>
        <v/>
      </c>
      <c r="F418" s="105" t="str">
        <f>_xlfn.IFNA(IF($A418="","",IF(VLOOKUP($A418,'3.框架内物料'!$A:$I,2,0)="","",VLOOKUP($A418,'3.框架内物料'!$A:$I,2,0))),"")</f>
        <v/>
      </c>
      <c r="G418" s="87" t="str">
        <f>IF(AND('2.报价结算清单'!$P521&gt;0,'2.报价结算清单'!$B521&lt;&gt;0,'2.报价结算清单'!H521&lt;&gt;0),'2.报价结算清单'!H521,"")</f>
        <v/>
      </c>
      <c r="H418" s="122" t="str">
        <f>IF(AND('2.报价结算清单'!$P521&gt;0,'2.报价结算清单'!$B521&lt;&gt;0,'2.报价结算清单'!$F521&lt;&gt;0),'2.报价结算清单'!J521,"")</f>
        <v/>
      </c>
      <c r="I418" s="105" t="str">
        <f>IF(AND('2.报价结算清单'!$P521&gt;0,'2.报价结算清单'!$B521&lt;&gt;0,'2.报价结算清单'!$F521&lt;&gt;0),'2.报价结算清单'!L521,"")</f>
        <v/>
      </c>
      <c r="J418" s="105" t="str">
        <f>IF(AND('2.报价结算清单'!$P521&gt;0,'2.报价结算清单'!$B521&lt;&gt;0,'2.报价结算清单'!I521&lt;&gt;0),'2.报价结算清单'!I521,"")</f>
        <v/>
      </c>
      <c r="K418" s="105" t="str">
        <f>IF(AND('2.报价结算清单'!$P521&gt;0,'2.报价结算清单'!$B521&lt;&gt;0,'2.报价结算清单'!$F521&lt;&gt;0),'2.报价结算清单'!N521,"")</f>
        <v/>
      </c>
      <c r="L418" s="105" t="str">
        <f>IF(AND('2.报价结算清单'!$P521&gt;0,'2.报价结算清单'!$B521&lt;&gt;0,'2.报价结算清单'!I521&lt;&gt;0),"天","")</f>
        <v/>
      </c>
      <c r="M418" s="80" t="str">
        <f t="shared" si="16"/>
        <v/>
      </c>
      <c r="N418" s="78" t="str">
        <f t="shared" si="17"/>
        <v/>
      </c>
      <c r="O418" s="78" t="str">
        <f>IF(AND('2.报价结算清单'!$P521&gt;0,'2.报价结算清单'!$B521&lt;&gt;0,'2.报价结算清单'!S521&lt;&gt;0),'2.报价结算清单'!S521,"")</f>
        <v/>
      </c>
      <c r="P418" s="78" t="str">
        <f>IF(AND('2.报价结算清单'!$P521&gt;0,'2.报价结算清单'!$B521&lt;&gt;0,'2.报价结算清单'!T521&lt;&gt;0),'2.报价结算清单'!T521,"")</f>
        <v/>
      </c>
      <c r="Q418" s="78" t="str">
        <f>IF(F418="",J418,VLOOKUP(F418,框架条目清单!A:K,4,FALSE))</f>
        <v/>
      </c>
      <c r="R418" s="106" t="str">
        <f>IF($A418="","",'2.报价结算清单'!$K$183)</f>
        <v/>
      </c>
      <c r="S418" s="80" t="str">
        <f>IF($A418="","",'2.报价结算清单'!$E$183)</f>
        <v/>
      </c>
      <c r="T418" s="78" t="str">
        <f>IF(F418="","",VLOOKUP(F418,框架条目清单!A:K,7,FALSE))</f>
        <v/>
      </c>
      <c r="U418" s="78" t="str">
        <f>IF(F418="","",VLOOKUP(F418,框架条目清单!A:K,8,FALSE))</f>
        <v/>
      </c>
      <c r="V418" s="78" t="str">
        <f>IF(F418="","",VLOOKUP(F418,框架条目清单!A:K,9,FALSE))</f>
        <v/>
      </c>
    </row>
    <row r="419" spans="1:22">
      <c r="A419" s="78" t="str">
        <f>IF(AND('2.报价结算清单'!$P522&gt;0,'2.报价结算清单'!$B522&lt;&gt;0,'2.报价结算清单'!$F522&lt;&gt;0),'2.报价结算清单'!$F522,"")</f>
        <v/>
      </c>
      <c r="B419" s="78" t="str">
        <f>_xlfn.IFNA(VLOOKUP(A419,'3.框架内物料'!$A:$I,3,0),A419)</f>
        <v/>
      </c>
      <c r="C419" s="78" t="str">
        <f>IF(AND('2.报价结算清单'!$P522&gt;0,'2.报价结算清单'!$B522&lt;&gt;0,'2.报价结算清单'!C522&lt;&gt;0),'2.报价结算清单'!C522,"")</f>
        <v/>
      </c>
      <c r="D419" s="78" t="str">
        <f>IF(AND('2.报价结算清单'!$P522&gt;0,'2.报价结算清单'!$B522&lt;&gt;0,'2.报价结算清单'!D522&lt;&gt;0),'2.报价结算清单'!D522,"")</f>
        <v/>
      </c>
      <c r="E419" s="78" t="str">
        <f>IF(AND('2.报价结算清单'!$P522&gt;0,'2.报价结算清单'!$B522&lt;&gt;0,'2.报价结算清单'!E522&lt;&gt;0),'2.报价结算清单'!E522,"")</f>
        <v/>
      </c>
      <c r="F419" s="105" t="str">
        <f>_xlfn.IFNA(IF($A419="","",IF(VLOOKUP($A419,'3.框架内物料'!$A:$I,2,0)="","",VLOOKUP($A419,'3.框架内物料'!$A:$I,2,0))),"")</f>
        <v/>
      </c>
      <c r="G419" s="87" t="str">
        <f>IF(AND('2.报价结算清单'!$P522&gt;0,'2.报价结算清单'!$B522&lt;&gt;0,'2.报价结算清单'!H522&lt;&gt;0),'2.报价结算清单'!H522,"")</f>
        <v/>
      </c>
      <c r="H419" s="122" t="str">
        <f>IF(AND('2.报价结算清单'!$P522&gt;0,'2.报价结算清单'!$B522&lt;&gt;0,'2.报价结算清单'!$F522&lt;&gt;0),'2.报价结算清单'!J522,"")</f>
        <v/>
      </c>
      <c r="I419" s="105" t="str">
        <f>IF(AND('2.报价结算清单'!$P522&gt;0,'2.报价结算清单'!$B522&lt;&gt;0,'2.报价结算清单'!$F522&lt;&gt;0),'2.报价结算清单'!L522,"")</f>
        <v/>
      </c>
      <c r="J419" s="105" t="str">
        <f>IF(AND('2.报价结算清单'!$P522&gt;0,'2.报价结算清单'!$B522&lt;&gt;0,'2.报价结算清单'!I522&lt;&gt;0),'2.报价结算清单'!I522,"")</f>
        <v/>
      </c>
      <c r="K419" s="105" t="str">
        <f>IF(AND('2.报价结算清单'!$P522&gt;0,'2.报价结算清单'!$B522&lt;&gt;0,'2.报价结算清单'!$F522&lt;&gt;0),'2.报价结算清单'!N522,"")</f>
        <v/>
      </c>
      <c r="L419" s="105" t="str">
        <f>IF(AND('2.报价结算清单'!$P522&gt;0,'2.报价结算清单'!$B522&lt;&gt;0,'2.报价结算清单'!I522&lt;&gt;0),"天","")</f>
        <v/>
      </c>
      <c r="M419" s="80" t="str">
        <f t="shared" si="16"/>
        <v/>
      </c>
      <c r="N419" s="78" t="str">
        <f t="shared" si="17"/>
        <v/>
      </c>
      <c r="O419" s="78" t="str">
        <f>IF(AND('2.报价结算清单'!$P522&gt;0,'2.报价结算清单'!$B522&lt;&gt;0,'2.报价结算清单'!S522&lt;&gt;0),'2.报价结算清单'!S522,"")</f>
        <v/>
      </c>
      <c r="P419" s="78" t="str">
        <f>IF(AND('2.报价结算清单'!$P522&gt;0,'2.报价结算清单'!$B522&lt;&gt;0,'2.报价结算清单'!T522&lt;&gt;0),'2.报价结算清单'!T522,"")</f>
        <v/>
      </c>
      <c r="Q419" s="78" t="str">
        <f>IF(F419="",J419,VLOOKUP(F419,框架条目清单!A:K,4,FALSE))</f>
        <v/>
      </c>
      <c r="R419" s="106" t="str">
        <f>IF($A419="","",'2.报价结算清单'!$K$183)</f>
        <v/>
      </c>
      <c r="S419" s="80" t="str">
        <f>IF($A419="","",'2.报价结算清单'!$E$183)</f>
        <v/>
      </c>
      <c r="T419" s="78" t="str">
        <f>IF(F419="","",VLOOKUP(F419,框架条目清单!A:K,7,FALSE))</f>
        <v/>
      </c>
      <c r="U419" s="78" t="str">
        <f>IF(F419="","",VLOOKUP(F419,框架条目清单!A:K,8,FALSE))</f>
        <v/>
      </c>
      <c r="V419" s="78" t="str">
        <f>IF(F419="","",VLOOKUP(F419,框架条目清单!A:K,9,FALSE))</f>
        <v/>
      </c>
    </row>
    <row r="420" spans="1:22">
      <c r="A420" s="78" t="str">
        <f>IF(AND('2.报价结算清单'!$P523&gt;0,'2.报价结算清单'!$B523&lt;&gt;0,'2.报价结算清单'!$F523&lt;&gt;0),'2.报价结算清单'!$F523,"")</f>
        <v/>
      </c>
      <c r="B420" s="78" t="str">
        <f>_xlfn.IFNA(VLOOKUP(A420,'3.框架内物料'!$A:$I,3,0),A420)</f>
        <v/>
      </c>
      <c r="C420" s="78" t="str">
        <f>IF(AND('2.报价结算清单'!$P523&gt;0,'2.报价结算清单'!$B523&lt;&gt;0,'2.报价结算清单'!C523&lt;&gt;0),'2.报价结算清单'!C523,"")</f>
        <v/>
      </c>
      <c r="D420" s="78" t="str">
        <f>IF(AND('2.报价结算清单'!$P523&gt;0,'2.报价结算清单'!$B523&lt;&gt;0,'2.报价结算清单'!D523&lt;&gt;0),'2.报价结算清单'!D523,"")</f>
        <v/>
      </c>
      <c r="E420" s="78" t="str">
        <f>IF(AND('2.报价结算清单'!$P523&gt;0,'2.报价结算清单'!$B523&lt;&gt;0,'2.报价结算清单'!E523&lt;&gt;0),'2.报价结算清单'!E523,"")</f>
        <v/>
      </c>
      <c r="F420" s="105" t="str">
        <f>_xlfn.IFNA(IF($A420="","",IF(VLOOKUP($A420,'3.框架内物料'!$A:$I,2,0)="","",VLOOKUP($A420,'3.框架内物料'!$A:$I,2,0))),"")</f>
        <v/>
      </c>
      <c r="G420" s="87" t="str">
        <f>IF(AND('2.报价结算清单'!$P523&gt;0,'2.报价结算清单'!$B523&lt;&gt;0,'2.报价结算清单'!H523&lt;&gt;0),'2.报价结算清单'!H523,"")</f>
        <v/>
      </c>
      <c r="H420" s="122" t="str">
        <f>IF(AND('2.报价结算清单'!$P523&gt;0,'2.报价结算清单'!$B523&lt;&gt;0,'2.报价结算清单'!$F523&lt;&gt;0),'2.报价结算清单'!J523,"")</f>
        <v/>
      </c>
      <c r="I420" s="105" t="str">
        <f>IF(AND('2.报价结算清单'!$P523&gt;0,'2.报价结算清单'!$B523&lt;&gt;0,'2.报价结算清单'!$F523&lt;&gt;0),'2.报价结算清单'!L523,"")</f>
        <v/>
      </c>
      <c r="J420" s="105" t="str">
        <f>IF(AND('2.报价结算清单'!$P523&gt;0,'2.报价结算清单'!$B523&lt;&gt;0,'2.报价结算清单'!I523&lt;&gt;0),'2.报价结算清单'!I523,"")</f>
        <v/>
      </c>
      <c r="K420" s="105" t="str">
        <f>IF(AND('2.报价结算清单'!$P523&gt;0,'2.报价结算清单'!$B523&lt;&gt;0,'2.报价结算清单'!$F523&lt;&gt;0),'2.报价结算清单'!N523,"")</f>
        <v/>
      </c>
      <c r="L420" s="105" t="str">
        <f>IF(AND('2.报价结算清单'!$P523&gt;0,'2.报价结算清单'!$B523&lt;&gt;0,'2.报价结算清单'!I523&lt;&gt;0),"天","")</f>
        <v/>
      </c>
      <c r="M420" s="80" t="str">
        <f t="shared" si="16"/>
        <v/>
      </c>
      <c r="N420" s="78" t="str">
        <f t="shared" si="17"/>
        <v/>
      </c>
      <c r="O420" s="78" t="str">
        <f>IF(AND('2.报价结算清单'!$P523&gt;0,'2.报价结算清单'!$B523&lt;&gt;0,'2.报价结算清单'!S523&lt;&gt;0),'2.报价结算清单'!S523,"")</f>
        <v/>
      </c>
      <c r="P420" s="78" t="str">
        <f>IF(AND('2.报价结算清单'!$P523&gt;0,'2.报价结算清单'!$B523&lt;&gt;0,'2.报价结算清单'!T523&lt;&gt;0),'2.报价结算清单'!T523,"")</f>
        <v/>
      </c>
      <c r="Q420" s="78" t="str">
        <f>IF(F420="",J420,VLOOKUP(F420,框架条目清单!A:K,4,FALSE))</f>
        <v/>
      </c>
      <c r="R420" s="106" t="str">
        <f>IF($A420="","",'2.报价结算清单'!$K$183)</f>
        <v/>
      </c>
      <c r="S420" s="80" t="str">
        <f>IF($A420="","",'2.报价结算清单'!$E$183)</f>
        <v/>
      </c>
      <c r="T420" s="78" t="str">
        <f>IF(F420="","",VLOOKUP(F420,框架条目清单!A:K,7,FALSE))</f>
        <v/>
      </c>
      <c r="U420" s="78" t="str">
        <f>IF(F420="","",VLOOKUP(F420,框架条目清单!A:K,8,FALSE))</f>
        <v/>
      </c>
      <c r="V420" s="78" t="str">
        <f>IF(F420="","",VLOOKUP(F420,框架条目清单!A:K,9,FALSE))</f>
        <v/>
      </c>
    </row>
    <row r="421" spans="1:22">
      <c r="A421" s="78" t="str">
        <f>IF(AND('2.报价结算清单'!$P524&gt;0,'2.报价结算清单'!$B524&lt;&gt;0,'2.报价结算清单'!$F524&lt;&gt;0),'2.报价结算清单'!$F524,"")</f>
        <v/>
      </c>
      <c r="B421" s="78" t="str">
        <f>_xlfn.IFNA(VLOOKUP(A421,'3.框架内物料'!$A:$I,3,0),A421)</f>
        <v/>
      </c>
      <c r="C421" s="78" t="str">
        <f>IF(AND('2.报价结算清单'!$P524&gt;0,'2.报价结算清单'!$B524&lt;&gt;0,'2.报价结算清单'!C524&lt;&gt;0),'2.报价结算清单'!C524,"")</f>
        <v/>
      </c>
      <c r="D421" s="78" t="str">
        <f>IF(AND('2.报价结算清单'!$P524&gt;0,'2.报价结算清单'!$B524&lt;&gt;0,'2.报价结算清单'!D524&lt;&gt;0),'2.报价结算清单'!D524,"")</f>
        <v/>
      </c>
      <c r="E421" s="78" t="str">
        <f>IF(AND('2.报价结算清单'!$P524&gt;0,'2.报价结算清单'!$B524&lt;&gt;0,'2.报价结算清单'!E524&lt;&gt;0),'2.报价结算清单'!E524,"")</f>
        <v/>
      </c>
      <c r="F421" s="105" t="str">
        <f>_xlfn.IFNA(IF($A421="","",IF(VLOOKUP($A421,'3.框架内物料'!$A:$I,2,0)="","",VLOOKUP($A421,'3.框架内物料'!$A:$I,2,0))),"")</f>
        <v/>
      </c>
      <c r="G421" s="87" t="str">
        <f>IF(AND('2.报价结算清单'!$P524&gt;0,'2.报价结算清单'!$B524&lt;&gt;0,'2.报价结算清单'!H524&lt;&gt;0),'2.报价结算清单'!H524,"")</f>
        <v/>
      </c>
      <c r="H421" s="122" t="str">
        <f>IF(AND('2.报价结算清单'!$P524&gt;0,'2.报价结算清单'!$B524&lt;&gt;0,'2.报价结算清单'!$F524&lt;&gt;0),'2.报价结算清单'!J524,"")</f>
        <v/>
      </c>
      <c r="I421" s="105" t="str">
        <f>IF(AND('2.报价结算清单'!$P524&gt;0,'2.报价结算清单'!$B524&lt;&gt;0,'2.报价结算清单'!$F524&lt;&gt;0),'2.报价结算清单'!L524,"")</f>
        <v/>
      </c>
      <c r="J421" s="105" t="str">
        <f>IF(AND('2.报价结算清单'!$P524&gt;0,'2.报价结算清单'!$B524&lt;&gt;0,'2.报价结算清单'!I524&lt;&gt;0),'2.报价结算清单'!I524,"")</f>
        <v/>
      </c>
      <c r="K421" s="105" t="str">
        <f>IF(AND('2.报价结算清单'!$P524&gt;0,'2.报价结算清单'!$B524&lt;&gt;0,'2.报价结算清单'!$F524&lt;&gt;0),'2.报价结算清单'!N524,"")</f>
        <v/>
      </c>
      <c r="L421" s="105" t="str">
        <f>IF(AND('2.报价结算清单'!$P524&gt;0,'2.报价结算清单'!$B524&lt;&gt;0,'2.报价结算清单'!I524&lt;&gt;0),"天","")</f>
        <v/>
      </c>
      <c r="M421" s="80" t="str">
        <f t="shared" si="16"/>
        <v/>
      </c>
      <c r="N421" s="78" t="str">
        <f t="shared" si="17"/>
        <v/>
      </c>
      <c r="O421" s="78" t="str">
        <f>IF(AND('2.报价结算清单'!$P524&gt;0,'2.报价结算清单'!$B524&lt;&gt;0,'2.报价结算清单'!S524&lt;&gt;0),'2.报价结算清单'!S524,"")</f>
        <v/>
      </c>
      <c r="P421" s="78" t="str">
        <f>IF(AND('2.报价结算清单'!$P524&gt;0,'2.报价结算清单'!$B524&lt;&gt;0,'2.报价结算清单'!T524&lt;&gt;0),'2.报价结算清单'!T524,"")</f>
        <v/>
      </c>
      <c r="Q421" s="78" t="str">
        <f>IF(F421="",J421,VLOOKUP(F421,框架条目清单!A:K,4,FALSE))</f>
        <v/>
      </c>
      <c r="R421" s="106" t="str">
        <f>IF($A421="","",'2.报价结算清单'!$K$183)</f>
        <v/>
      </c>
      <c r="S421" s="80" t="str">
        <f>IF($A421="","",'2.报价结算清单'!$E$183)</f>
        <v/>
      </c>
      <c r="T421" s="78" t="str">
        <f>IF(F421="","",VLOOKUP(F421,框架条目清单!A:K,7,FALSE))</f>
        <v/>
      </c>
      <c r="U421" s="78" t="str">
        <f>IF(F421="","",VLOOKUP(F421,框架条目清单!A:K,8,FALSE))</f>
        <v/>
      </c>
      <c r="V421" s="78" t="str">
        <f>IF(F421="","",VLOOKUP(F421,框架条目清单!A:K,9,FALSE))</f>
        <v/>
      </c>
    </row>
    <row r="422" spans="1:22">
      <c r="A422" s="78" t="str">
        <f>IF(AND('2.报价结算清单'!$P525&gt;0,'2.报价结算清单'!$B525&lt;&gt;0,'2.报价结算清单'!$F525&lt;&gt;0),'2.报价结算清单'!$F525,"")</f>
        <v/>
      </c>
      <c r="B422" s="78" t="str">
        <f>_xlfn.IFNA(VLOOKUP(A422,'3.框架内物料'!$A:$I,3,0),A422)</f>
        <v/>
      </c>
      <c r="C422" s="78" t="str">
        <f>IF(AND('2.报价结算清单'!$P525&gt;0,'2.报价结算清单'!$B525&lt;&gt;0,'2.报价结算清单'!C525&lt;&gt;0),'2.报价结算清单'!C525,"")</f>
        <v/>
      </c>
      <c r="D422" s="78" t="str">
        <f>IF(AND('2.报价结算清单'!$P525&gt;0,'2.报价结算清单'!$B525&lt;&gt;0,'2.报价结算清单'!D525&lt;&gt;0),'2.报价结算清单'!D525,"")</f>
        <v/>
      </c>
      <c r="E422" s="78" t="str">
        <f>IF(AND('2.报价结算清单'!$P525&gt;0,'2.报价结算清单'!$B525&lt;&gt;0,'2.报价结算清单'!E525&lt;&gt;0),'2.报价结算清单'!E525,"")</f>
        <v/>
      </c>
      <c r="F422" s="105" t="str">
        <f>_xlfn.IFNA(IF($A422="","",IF(VLOOKUP($A422,'3.框架内物料'!$A:$I,2,0)="","",VLOOKUP($A422,'3.框架内物料'!$A:$I,2,0))),"")</f>
        <v/>
      </c>
      <c r="G422" s="87" t="str">
        <f>IF(AND('2.报价结算清单'!$P525&gt;0,'2.报价结算清单'!$B525&lt;&gt;0,'2.报价结算清单'!H525&lt;&gt;0),'2.报价结算清单'!H525,"")</f>
        <v/>
      </c>
      <c r="H422" s="122" t="str">
        <f>IF(AND('2.报价结算清单'!$P525&gt;0,'2.报价结算清单'!$B525&lt;&gt;0,'2.报价结算清单'!$F525&lt;&gt;0),'2.报价结算清单'!J525,"")</f>
        <v/>
      </c>
      <c r="I422" s="105" t="str">
        <f>IF(AND('2.报价结算清单'!$P525&gt;0,'2.报价结算清单'!$B525&lt;&gt;0,'2.报价结算清单'!$F525&lt;&gt;0),'2.报价结算清单'!L525,"")</f>
        <v/>
      </c>
      <c r="J422" s="105" t="str">
        <f>IF(AND('2.报价结算清单'!$P525&gt;0,'2.报价结算清单'!$B525&lt;&gt;0,'2.报价结算清单'!I525&lt;&gt;0),'2.报价结算清单'!I525,"")</f>
        <v/>
      </c>
      <c r="K422" s="105" t="str">
        <f>IF(AND('2.报价结算清单'!$P525&gt;0,'2.报价结算清单'!$B525&lt;&gt;0,'2.报价结算清单'!$F525&lt;&gt;0),'2.报价结算清单'!N525,"")</f>
        <v/>
      </c>
      <c r="L422" s="105" t="str">
        <f>IF(AND('2.报价结算清单'!$P525&gt;0,'2.报价结算清单'!$B525&lt;&gt;0,'2.报价结算清单'!I525&lt;&gt;0),"天","")</f>
        <v/>
      </c>
      <c r="M422" s="80" t="str">
        <f t="shared" si="16"/>
        <v/>
      </c>
      <c r="N422" s="78" t="str">
        <f t="shared" si="17"/>
        <v/>
      </c>
      <c r="O422" s="78" t="str">
        <f>IF(AND('2.报价结算清单'!$P525&gt;0,'2.报价结算清单'!$B525&lt;&gt;0,'2.报价结算清单'!S525&lt;&gt;0),'2.报价结算清单'!S525,"")</f>
        <v/>
      </c>
      <c r="P422" s="78" t="str">
        <f>IF(AND('2.报价结算清单'!$P525&gt;0,'2.报价结算清单'!$B525&lt;&gt;0,'2.报价结算清单'!T525&lt;&gt;0),'2.报价结算清单'!T525,"")</f>
        <v/>
      </c>
      <c r="Q422" s="78" t="str">
        <f>IF(F422="",J422,VLOOKUP(F422,框架条目清单!A:K,4,FALSE))</f>
        <v/>
      </c>
      <c r="R422" s="106" t="str">
        <f>IF($A422="","",'2.报价结算清单'!$K$183)</f>
        <v/>
      </c>
      <c r="S422" s="80" t="str">
        <f>IF($A422="","",'2.报价结算清单'!$E$183)</f>
        <v/>
      </c>
      <c r="T422" s="78" t="str">
        <f>IF(F422="","",VLOOKUP(F422,框架条目清单!A:K,7,FALSE))</f>
        <v/>
      </c>
      <c r="U422" s="78" t="str">
        <f>IF(F422="","",VLOOKUP(F422,框架条目清单!A:K,8,FALSE))</f>
        <v/>
      </c>
      <c r="V422" s="78" t="str">
        <f>IF(F422="","",VLOOKUP(F422,框架条目清单!A:K,9,FALSE))</f>
        <v/>
      </c>
    </row>
    <row r="423" spans="1:22">
      <c r="A423" s="78" t="str">
        <f>IF(AND('2.报价结算清单'!$P526&gt;0,'2.报价结算清单'!$B526&lt;&gt;0,'2.报价结算清单'!$F526&lt;&gt;0),'2.报价结算清单'!$F526,"")</f>
        <v/>
      </c>
      <c r="B423" s="78" t="str">
        <f>_xlfn.IFNA(VLOOKUP(A423,'3.框架内物料'!$A:$I,3,0),A423)</f>
        <v/>
      </c>
      <c r="C423" s="78" t="str">
        <f>IF(AND('2.报价结算清单'!$P526&gt;0,'2.报价结算清单'!$B526&lt;&gt;0,'2.报价结算清单'!C526&lt;&gt;0),'2.报价结算清单'!C526,"")</f>
        <v/>
      </c>
      <c r="D423" s="78" t="str">
        <f>IF(AND('2.报价结算清单'!$P526&gt;0,'2.报价结算清单'!$B526&lt;&gt;0,'2.报价结算清单'!D526&lt;&gt;0),'2.报价结算清单'!D526,"")</f>
        <v/>
      </c>
      <c r="E423" s="78" t="str">
        <f>IF(AND('2.报价结算清单'!$P526&gt;0,'2.报价结算清单'!$B526&lt;&gt;0,'2.报价结算清单'!E526&lt;&gt;0),'2.报价结算清单'!E526,"")</f>
        <v/>
      </c>
      <c r="F423" s="105" t="str">
        <f>_xlfn.IFNA(IF($A423="","",IF(VLOOKUP($A423,'3.框架内物料'!$A:$I,2,0)="","",VLOOKUP($A423,'3.框架内物料'!$A:$I,2,0))),"")</f>
        <v/>
      </c>
      <c r="G423" s="87" t="str">
        <f>IF(AND('2.报价结算清单'!$P526&gt;0,'2.报价结算清单'!$B526&lt;&gt;0,'2.报价结算清单'!H526&lt;&gt;0),'2.报价结算清单'!H526,"")</f>
        <v/>
      </c>
      <c r="H423" s="122" t="str">
        <f>IF(AND('2.报价结算清单'!$P526&gt;0,'2.报价结算清单'!$B526&lt;&gt;0,'2.报价结算清单'!$F526&lt;&gt;0),'2.报价结算清单'!J526,"")</f>
        <v/>
      </c>
      <c r="I423" s="105" t="str">
        <f>IF(AND('2.报价结算清单'!$P526&gt;0,'2.报价结算清单'!$B526&lt;&gt;0,'2.报价结算清单'!$F526&lt;&gt;0),'2.报价结算清单'!L526,"")</f>
        <v/>
      </c>
      <c r="J423" s="105" t="str">
        <f>IF(AND('2.报价结算清单'!$P526&gt;0,'2.报价结算清单'!$B526&lt;&gt;0,'2.报价结算清单'!I526&lt;&gt;0),'2.报价结算清单'!I526,"")</f>
        <v/>
      </c>
      <c r="K423" s="105" t="str">
        <f>IF(AND('2.报价结算清单'!$P526&gt;0,'2.报价结算清单'!$B526&lt;&gt;0,'2.报价结算清单'!$F526&lt;&gt;0),'2.报价结算清单'!N526,"")</f>
        <v/>
      </c>
      <c r="L423" s="105" t="str">
        <f>IF(AND('2.报价结算清单'!$P526&gt;0,'2.报价结算清单'!$B526&lt;&gt;0,'2.报价结算清单'!I526&lt;&gt;0),"天","")</f>
        <v/>
      </c>
      <c r="M423" s="80" t="str">
        <f t="shared" si="16"/>
        <v/>
      </c>
      <c r="N423" s="78" t="str">
        <f t="shared" si="17"/>
        <v/>
      </c>
      <c r="O423" s="78" t="str">
        <f>IF(AND('2.报价结算清单'!$P526&gt;0,'2.报价结算清单'!$B526&lt;&gt;0,'2.报价结算清单'!S526&lt;&gt;0),'2.报价结算清单'!S526,"")</f>
        <v/>
      </c>
      <c r="P423" s="78" t="str">
        <f>IF(AND('2.报价结算清单'!$P526&gt;0,'2.报价结算清单'!$B526&lt;&gt;0,'2.报价结算清单'!T526&lt;&gt;0),'2.报价结算清单'!T526,"")</f>
        <v/>
      </c>
      <c r="Q423" s="78" t="str">
        <f>IF(F423="",J423,VLOOKUP(F423,框架条目清单!A:K,4,FALSE))</f>
        <v/>
      </c>
      <c r="R423" s="106" t="str">
        <f>IF($A423="","",'2.报价结算清单'!$K$183)</f>
        <v/>
      </c>
      <c r="S423" s="80" t="str">
        <f>IF($A423="","",'2.报价结算清单'!$E$183)</f>
        <v/>
      </c>
      <c r="T423" s="78" t="str">
        <f>IF(F423="","",VLOOKUP(F423,框架条目清单!A:K,7,FALSE))</f>
        <v/>
      </c>
      <c r="U423" s="78" t="str">
        <f>IF(F423="","",VLOOKUP(F423,框架条目清单!A:K,8,FALSE))</f>
        <v/>
      </c>
      <c r="V423" s="78" t="str">
        <f>IF(F423="","",VLOOKUP(F423,框架条目清单!A:K,9,FALSE))</f>
        <v/>
      </c>
    </row>
    <row r="424" spans="1:22">
      <c r="A424" s="78" t="str">
        <f>IF(AND('2.报价结算清单'!$P527&gt;0,'2.报价结算清单'!$B527&lt;&gt;0,'2.报价结算清单'!$F527&lt;&gt;0),'2.报价结算清单'!$F527,"")</f>
        <v/>
      </c>
      <c r="B424" s="78" t="str">
        <f>_xlfn.IFNA(VLOOKUP(A424,'3.框架内物料'!$A:$I,3,0),A424)</f>
        <v/>
      </c>
      <c r="C424" s="78" t="str">
        <f>IF(AND('2.报价结算清单'!$P527&gt;0,'2.报价结算清单'!$B527&lt;&gt;0,'2.报价结算清单'!C527&lt;&gt;0),'2.报价结算清单'!C527,"")</f>
        <v/>
      </c>
      <c r="D424" s="78" t="str">
        <f>IF(AND('2.报价结算清单'!$P527&gt;0,'2.报价结算清单'!$B527&lt;&gt;0,'2.报价结算清单'!D527&lt;&gt;0),'2.报价结算清单'!D527,"")</f>
        <v/>
      </c>
      <c r="E424" s="78" t="str">
        <f>IF(AND('2.报价结算清单'!$P527&gt;0,'2.报价结算清单'!$B527&lt;&gt;0,'2.报价结算清单'!E527&lt;&gt;0),'2.报价结算清单'!E527,"")</f>
        <v/>
      </c>
      <c r="F424" s="105" t="str">
        <f>_xlfn.IFNA(IF($A424="","",IF(VLOOKUP($A424,'3.框架内物料'!$A:$I,2,0)="","",VLOOKUP($A424,'3.框架内物料'!$A:$I,2,0))),"")</f>
        <v/>
      </c>
      <c r="G424" s="87" t="str">
        <f>IF(AND('2.报价结算清单'!$P527&gt;0,'2.报价结算清单'!$B527&lt;&gt;0,'2.报价结算清单'!H527&lt;&gt;0),'2.报价结算清单'!H527,"")</f>
        <v/>
      </c>
      <c r="H424" s="122" t="str">
        <f>IF(AND('2.报价结算清单'!$P527&gt;0,'2.报价结算清单'!$B527&lt;&gt;0,'2.报价结算清单'!$F527&lt;&gt;0),'2.报价结算清单'!J527,"")</f>
        <v/>
      </c>
      <c r="I424" s="105" t="str">
        <f>IF(AND('2.报价结算清单'!$P527&gt;0,'2.报价结算清单'!$B527&lt;&gt;0,'2.报价结算清单'!$F527&lt;&gt;0),'2.报价结算清单'!L527,"")</f>
        <v/>
      </c>
      <c r="J424" s="105" t="str">
        <f>IF(AND('2.报价结算清单'!$P527&gt;0,'2.报价结算清单'!$B527&lt;&gt;0,'2.报价结算清单'!I527&lt;&gt;0),'2.报价结算清单'!I527,"")</f>
        <v/>
      </c>
      <c r="K424" s="105" t="str">
        <f>IF(AND('2.报价结算清单'!$P527&gt;0,'2.报价结算清单'!$B527&lt;&gt;0,'2.报价结算清单'!$F527&lt;&gt;0),'2.报价结算清单'!N527,"")</f>
        <v/>
      </c>
      <c r="L424" s="105" t="str">
        <f>IF(AND('2.报价结算清单'!$P527&gt;0,'2.报价结算清单'!$B527&lt;&gt;0,'2.报价结算清单'!I527&lt;&gt;0),"天","")</f>
        <v/>
      </c>
      <c r="M424" s="80" t="str">
        <f t="shared" si="16"/>
        <v/>
      </c>
      <c r="N424" s="78" t="str">
        <f t="shared" si="17"/>
        <v/>
      </c>
      <c r="O424" s="78" t="str">
        <f>IF(AND('2.报价结算清单'!$P527&gt;0,'2.报价结算清单'!$B527&lt;&gt;0,'2.报价结算清单'!S527&lt;&gt;0),'2.报价结算清单'!S527,"")</f>
        <v/>
      </c>
      <c r="P424" s="78" t="str">
        <f>IF(AND('2.报价结算清单'!$P527&gt;0,'2.报价结算清单'!$B527&lt;&gt;0,'2.报价结算清单'!T527&lt;&gt;0),'2.报价结算清单'!T527,"")</f>
        <v/>
      </c>
      <c r="Q424" s="78" t="str">
        <f>IF(F424="",J424,VLOOKUP(F424,框架条目清单!A:K,4,FALSE))</f>
        <v/>
      </c>
      <c r="R424" s="106" t="str">
        <f>IF($A424="","",'2.报价结算清单'!$K$183)</f>
        <v/>
      </c>
      <c r="S424" s="80" t="str">
        <f>IF($A424="","",'2.报价结算清单'!$E$183)</f>
        <v/>
      </c>
      <c r="T424" s="78" t="str">
        <f>IF(F424="","",VLOOKUP(F424,框架条目清单!A:K,7,FALSE))</f>
        <v/>
      </c>
      <c r="U424" s="78" t="str">
        <f>IF(F424="","",VLOOKUP(F424,框架条目清单!A:K,8,FALSE))</f>
        <v/>
      </c>
      <c r="V424" s="78" t="str">
        <f>IF(F424="","",VLOOKUP(F424,框架条目清单!A:K,9,FALSE))</f>
        <v/>
      </c>
    </row>
    <row r="425" spans="1:22">
      <c r="A425" s="78" t="str">
        <f>IF(AND('2.报价结算清单'!$P528&gt;0,'2.报价结算清单'!$B528&lt;&gt;0,'2.报价结算清单'!$F528&lt;&gt;0),'2.报价结算清单'!$F528,"")</f>
        <v/>
      </c>
      <c r="B425" s="78" t="str">
        <f>_xlfn.IFNA(VLOOKUP(A425,'3.框架内物料'!$A:$I,3,0),A425)</f>
        <v/>
      </c>
      <c r="C425" s="78" t="str">
        <f>IF(AND('2.报价结算清单'!$P528&gt;0,'2.报价结算清单'!$B528&lt;&gt;0,'2.报价结算清单'!C528&lt;&gt;0),'2.报价结算清单'!C528,"")</f>
        <v/>
      </c>
      <c r="D425" s="78" t="str">
        <f>IF(AND('2.报价结算清单'!$P528&gt;0,'2.报价结算清单'!$B528&lt;&gt;0,'2.报价结算清单'!D528&lt;&gt;0),'2.报价结算清单'!D528,"")</f>
        <v/>
      </c>
      <c r="E425" s="78" t="str">
        <f>IF(AND('2.报价结算清单'!$P528&gt;0,'2.报价结算清单'!$B528&lt;&gt;0,'2.报价结算清单'!E528&lt;&gt;0),'2.报价结算清单'!E528,"")</f>
        <v/>
      </c>
      <c r="F425" s="105" t="str">
        <f>_xlfn.IFNA(IF($A425="","",IF(VLOOKUP($A425,'3.框架内物料'!$A:$I,2,0)="","",VLOOKUP($A425,'3.框架内物料'!$A:$I,2,0))),"")</f>
        <v/>
      </c>
      <c r="G425" s="87" t="str">
        <f>IF(AND('2.报价结算清单'!$P528&gt;0,'2.报价结算清单'!$B528&lt;&gt;0,'2.报价结算清单'!H528&lt;&gt;0),'2.报价结算清单'!H528,"")</f>
        <v/>
      </c>
      <c r="H425" s="122" t="str">
        <f>IF(AND('2.报价结算清单'!$P528&gt;0,'2.报价结算清单'!$B528&lt;&gt;0,'2.报价结算清单'!$F528&lt;&gt;0),'2.报价结算清单'!J528,"")</f>
        <v/>
      </c>
      <c r="I425" s="105" t="str">
        <f>IF(AND('2.报价结算清单'!$P528&gt;0,'2.报价结算清单'!$B528&lt;&gt;0,'2.报价结算清单'!$F528&lt;&gt;0),'2.报价结算清单'!L528,"")</f>
        <v/>
      </c>
      <c r="J425" s="105" t="str">
        <f>IF(AND('2.报价结算清单'!$P528&gt;0,'2.报价结算清单'!$B528&lt;&gt;0,'2.报价结算清单'!I528&lt;&gt;0),'2.报价结算清单'!I528,"")</f>
        <v/>
      </c>
      <c r="K425" s="105" t="str">
        <f>IF(AND('2.报价结算清单'!$P528&gt;0,'2.报价结算清单'!$B528&lt;&gt;0,'2.报价结算清单'!$F528&lt;&gt;0),'2.报价结算清单'!N528,"")</f>
        <v/>
      </c>
      <c r="L425" s="105" t="str">
        <f>IF(AND('2.报价结算清单'!$P528&gt;0,'2.报价结算清单'!$B528&lt;&gt;0,'2.报价结算清单'!I528&lt;&gt;0),"天","")</f>
        <v/>
      </c>
      <c r="M425" s="80" t="str">
        <f t="shared" si="16"/>
        <v/>
      </c>
      <c r="N425" s="78" t="str">
        <f t="shared" si="17"/>
        <v/>
      </c>
      <c r="O425" s="78" t="str">
        <f>IF(AND('2.报价结算清单'!$P528&gt;0,'2.报价结算清单'!$B528&lt;&gt;0,'2.报价结算清单'!S528&lt;&gt;0),'2.报价结算清单'!S528,"")</f>
        <v/>
      </c>
      <c r="P425" s="78" t="str">
        <f>IF(AND('2.报价结算清单'!$P528&gt;0,'2.报价结算清单'!$B528&lt;&gt;0,'2.报价结算清单'!T528&lt;&gt;0),'2.报价结算清单'!T528,"")</f>
        <v/>
      </c>
      <c r="Q425" s="78" t="str">
        <f>IF(F425="",J425,VLOOKUP(F425,框架条目清单!A:K,4,FALSE))</f>
        <v/>
      </c>
      <c r="R425" s="106" t="str">
        <f>IF($A425="","",'2.报价结算清单'!$K$183)</f>
        <v/>
      </c>
      <c r="S425" s="80" t="str">
        <f>IF($A425="","",'2.报价结算清单'!$E$183)</f>
        <v/>
      </c>
      <c r="T425" s="78" t="str">
        <f>IF(F425="","",VLOOKUP(F425,框架条目清单!A:K,7,FALSE))</f>
        <v/>
      </c>
      <c r="U425" s="78" t="str">
        <f>IF(F425="","",VLOOKUP(F425,框架条目清单!A:K,8,FALSE))</f>
        <v/>
      </c>
      <c r="V425" s="78" t="str">
        <f>IF(F425="","",VLOOKUP(F425,框架条目清单!A:K,9,FALSE))</f>
        <v/>
      </c>
    </row>
    <row r="426" spans="1:22">
      <c r="A426" s="78" t="str">
        <f>IF(AND('2.报价结算清单'!$P529&gt;0,'2.报价结算清单'!$B529&lt;&gt;0,'2.报价结算清单'!$F529&lt;&gt;0),'2.报价结算清单'!$F529,"")</f>
        <v/>
      </c>
      <c r="B426" s="78" t="str">
        <f>_xlfn.IFNA(VLOOKUP(A426,'3.框架内物料'!$A:$I,3,0),A426)</f>
        <v/>
      </c>
      <c r="C426" s="78" t="str">
        <f>IF(AND('2.报价结算清单'!$P529&gt;0,'2.报价结算清单'!$B529&lt;&gt;0,'2.报价结算清单'!C529&lt;&gt;0),'2.报价结算清单'!C529,"")</f>
        <v/>
      </c>
      <c r="D426" s="78" t="str">
        <f>IF(AND('2.报价结算清单'!$P529&gt;0,'2.报价结算清单'!$B529&lt;&gt;0,'2.报价结算清单'!D529&lt;&gt;0),'2.报价结算清单'!D529,"")</f>
        <v/>
      </c>
      <c r="E426" s="78" t="str">
        <f>IF(AND('2.报价结算清单'!$P529&gt;0,'2.报价结算清单'!$B529&lt;&gt;0,'2.报价结算清单'!E529&lt;&gt;0),'2.报价结算清单'!E529,"")</f>
        <v/>
      </c>
      <c r="F426" s="105" t="str">
        <f>_xlfn.IFNA(IF($A426="","",IF(VLOOKUP($A426,'3.框架内物料'!$A:$I,2,0)="","",VLOOKUP($A426,'3.框架内物料'!$A:$I,2,0))),"")</f>
        <v/>
      </c>
      <c r="G426" s="87" t="str">
        <f>IF(AND('2.报价结算清单'!$P529&gt;0,'2.报价结算清单'!$B529&lt;&gt;0,'2.报价结算清单'!H529&lt;&gt;0),'2.报价结算清单'!H529,"")</f>
        <v/>
      </c>
      <c r="H426" s="122" t="str">
        <f>IF(AND('2.报价结算清单'!$P529&gt;0,'2.报价结算清单'!$B529&lt;&gt;0,'2.报价结算清单'!$F529&lt;&gt;0),'2.报价结算清单'!J529,"")</f>
        <v/>
      </c>
      <c r="I426" s="105" t="str">
        <f>IF(AND('2.报价结算清单'!$P529&gt;0,'2.报价结算清单'!$B529&lt;&gt;0,'2.报价结算清单'!$F529&lt;&gt;0),'2.报价结算清单'!L529,"")</f>
        <v/>
      </c>
      <c r="J426" s="105" t="str">
        <f>IF(AND('2.报价结算清单'!$P529&gt;0,'2.报价结算清单'!$B529&lt;&gt;0,'2.报价结算清单'!I529&lt;&gt;0),'2.报价结算清单'!I529,"")</f>
        <v/>
      </c>
      <c r="K426" s="105" t="str">
        <f>IF(AND('2.报价结算清单'!$P529&gt;0,'2.报价结算清单'!$B529&lt;&gt;0,'2.报价结算清单'!$F529&lt;&gt;0),'2.报价结算清单'!N529,"")</f>
        <v/>
      </c>
      <c r="L426" s="105" t="str">
        <f>IF(AND('2.报价结算清单'!$P529&gt;0,'2.报价结算清单'!$B529&lt;&gt;0,'2.报价结算清单'!I529&lt;&gt;0),"天","")</f>
        <v/>
      </c>
      <c r="M426" s="80" t="str">
        <f t="shared" si="16"/>
        <v/>
      </c>
      <c r="N426" s="78" t="str">
        <f t="shared" si="17"/>
        <v/>
      </c>
      <c r="O426" s="78" t="str">
        <f>IF(AND('2.报价结算清单'!$P529&gt;0,'2.报价结算清单'!$B529&lt;&gt;0,'2.报价结算清单'!S529&lt;&gt;0),'2.报价结算清单'!S529,"")</f>
        <v/>
      </c>
      <c r="P426" s="78" t="str">
        <f>IF(AND('2.报价结算清单'!$P529&gt;0,'2.报价结算清单'!$B529&lt;&gt;0,'2.报价结算清单'!T529&lt;&gt;0),'2.报价结算清单'!T529,"")</f>
        <v/>
      </c>
      <c r="Q426" s="78" t="str">
        <f>IF(F426="",J426,VLOOKUP(F426,框架条目清单!A:K,4,FALSE))</f>
        <v/>
      </c>
      <c r="R426" s="106" t="str">
        <f>IF($A426="","",'2.报价结算清单'!$K$183)</f>
        <v/>
      </c>
      <c r="S426" s="80" t="str">
        <f>IF($A426="","",'2.报价结算清单'!$E$183)</f>
        <v/>
      </c>
      <c r="T426" s="78" t="str">
        <f>IF(F426="","",VLOOKUP(F426,框架条目清单!A:K,7,FALSE))</f>
        <v/>
      </c>
      <c r="U426" s="78" t="str">
        <f>IF(F426="","",VLOOKUP(F426,框架条目清单!A:K,8,FALSE))</f>
        <v/>
      </c>
      <c r="V426" s="78" t="str">
        <f>IF(F426="","",VLOOKUP(F426,框架条目清单!A:K,9,FALSE))</f>
        <v/>
      </c>
    </row>
    <row r="427" spans="1:22">
      <c r="A427" s="78" t="str">
        <f>IF(AND('2.报价结算清单'!$P530&gt;0,'2.报价结算清单'!$B530&lt;&gt;0,'2.报价结算清单'!$F530&lt;&gt;0),'2.报价结算清单'!$F530,"")</f>
        <v/>
      </c>
      <c r="B427" s="78" t="str">
        <f>_xlfn.IFNA(VLOOKUP(A427,'3.框架内物料'!$A:$I,3,0),A427)</f>
        <v/>
      </c>
      <c r="C427" s="78" t="str">
        <f>IF(AND('2.报价结算清单'!$P530&gt;0,'2.报价结算清单'!$B530&lt;&gt;0,'2.报价结算清单'!C530&lt;&gt;0),'2.报价结算清单'!C530,"")</f>
        <v/>
      </c>
      <c r="D427" s="78" t="str">
        <f>IF(AND('2.报价结算清单'!$P530&gt;0,'2.报价结算清单'!$B530&lt;&gt;0,'2.报价结算清单'!D530&lt;&gt;0),'2.报价结算清单'!D530,"")</f>
        <v/>
      </c>
      <c r="E427" s="78" t="str">
        <f>IF(AND('2.报价结算清单'!$P530&gt;0,'2.报价结算清单'!$B530&lt;&gt;0,'2.报价结算清单'!E530&lt;&gt;0),'2.报价结算清单'!E530,"")</f>
        <v/>
      </c>
      <c r="F427" s="105" t="str">
        <f>_xlfn.IFNA(IF($A427="","",IF(VLOOKUP($A427,'3.框架内物料'!$A:$I,2,0)="","",VLOOKUP($A427,'3.框架内物料'!$A:$I,2,0))),"")</f>
        <v/>
      </c>
      <c r="G427" s="87" t="str">
        <f>IF(AND('2.报价结算清单'!$P530&gt;0,'2.报价结算清单'!$B530&lt;&gt;0,'2.报价结算清单'!H530&lt;&gt;0),'2.报价结算清单'!H530,"")</f>
        <v/>
      </c>
      <c r="H427" s="122" t="str">
        <f>IF(AND('2.报价结算清单'!$P530&gt;0,'2.报价结算清单'!$B530&lt;&gt;0,'2.报价结算清单'!$F530&lt;&gt;0),'2.报价结算清单'!J530,"")</f>
        <v/>
      </c>
      <c r="I427" s="105" t="str">
        <f>IF(AND('2.报价结算清单'!$P530&gt;0,'2.报价结算清单'!$B530&lt;&gt;0,'2.报价结算清单'!$F530&lt;&gt;0),'2.报价结算清单'!L530,"")</f>
        <v/>
      </c>
      <c r="J427" s="105" t="str">
        <f>IF(AND('2.报价结算清单'!$P530&gt;0,'2.报价结算清单'!$B530&lt;&gt;0,'2.报价结算清单'!I530&lt;&gt;0),'2.报价结算清单'!I530,"")</f>
        <v/>
      </c>
      <c r="K427" s="105" t="str">
        <f>IF(AND('2.报价结算清单'!$P530&gt;0,'2.报价结算清单'!$B530&lt;&gt;0,'2.报价结算清单'!$F530&lt;&gt;0),'2.报价结算清单'!N530,"")</f>
        <v/>
      </c>
      <c r="L427" s="105" t="str">
        <f>IF(AND('2.报价结算清单'!$P530&gt;0,'2.报价结算清单'!$B530&lt;&gt;0,'2.报价结算清单'!I530&lt;&gt;0),"天","")</f>
        <v/>
      </c>
      <c r="M427" s="80" t="str">
        <f t="shared" si="16"/>
        <v/>
      </c>
      <c r="N427" s="78" t="str">
        <f t="shared" si="17"/>
        <v/>
      </c>
      <c r="O427" s="78" t="str">
        <f>IF(AND('2.报价结算清单'!$P530&gt;0,'2.报价结算清单'!$B530&lt;&gt;0,'2.报价结算清单'!S530&lt;&gt;0),'2.报价结算清单'!S530,"")</f>
        <v/>
      </c>
      <c r="P427" s="78" t="str">
        <f>IF(AND('2.报价结算清单'!$P530&gt;0,'2.报价结算清单'!$B530&lt;&gt;0,'2.报价结算清单'!T530&lt;&gt;0),'2.报价结算清单'!T530,"")</f>
        <v/>
      </c>
      <c r="Q427" s="78" t="str">
        <f>IF(F427="",J427,VLOOKUP(F427,框架条目清单!A:K,4,FALSE))</f>
        <v/>
      </c>
      <c r="R427" s="106" t="str">
        <f>IF($A427="","",'2.报价结算清单'!$K$183)</f>
        <v/>
      </c>
      <c r="S427" s="80" t="str">
        <f>IF($A427="","",'2.报价结算清单'!$E$183)</f>
        <v/>
      </c>
      <c r="T427" s="78" t="str">
        <f>IF(F427="","",VLOOKUP(F427,框架条目清单!A:K,7,FALSE))</f>
        <v/>
      </c>
      <c r="U427" s="78" t="str">
        <f>IF(F427="","",VLOOKUP(F427,框架条目清单!A:K,8,FALSE))</f>
        <v/>
      </c>
      <c r="V427" s="78" t="str">
        <f>IF(F427="","",VLOOKUP(F427,框架条目清单!A:K,9,FALSE))</f>
        <v/>
      </c>
    </row>
    <row r="428" spans="1:22">
      <c r="A428" s="78" t="str">
        <f>IF(AND('2.报价结算清单'!$P531&gt;0,'2.报价结算清单'!$B531&lt;&gt;0,'2.报价结算清单'!$F531&lt;&gt;0),'2.报价结算清单'!$F531,"")</f>
        <v/>
      </c>
      <c r="B428" s="78" t="str">
        <f>_xlfn.IFNA(VLOOKUP(A428,'3.框架内物料'!$A:$I,3,0),A428)</f>
        <v/>
      </c>
      <c r="C428" s="78" t="str">
        <f>IF(AND('2.报价结算清单'!$P531&gt;0,'2.报价结算清单'!$B531&lt;&gt;0,'2.报价结算清单'!C531&lt;&gt;0),'2.报价结算清单'!C531,"")</f>
        <v/>
      </c>
      <c r="D428" s="78" t="str">
        <f>IF(AND('2.报价结算清单'!$P531&gt;0,'2.报价结算清单'!$B531&lt;&gt;0,'2.报价结算清单'!D531&lt;&gt;0),'2.报价结算清单'!D531,"")</f>
        <v/>
      </c>
      <c r="E428" s="78" t="str">
        <f>IF(AND('2.报价结算清单'!$P531&gt;0,'2.报价结算清单'!$B531&lt;&gt;0,'2.报价结算清单'!E531&lt;&gt;0),'2.报价结算清单'!E531,"")</f>
        <v/>
      </c>
      <c r="F428" s="105" t="str">
        <f>_xlfn.IFNA(IF($A428="","",IF(VLOOKUP($A428,'3.框架内物料'!$A:$I,2,0)="","",VLOOKUP($A428,'3.框架内物料'!$A:$I,2,0))),"")</f>
        <v/>
      </c>
      <c r="G428" s="87" t="str">
        <f>IF(AND('2.报价结算清单'!$P531&gt;0,'2.报价结算清单'!$B531&lt;&gt;0,'2.报价结算清单'!H531&lt;&gt;0),'2.报价结算清单'!H531,"")</f>
        <v/>
      </c>
      <c r="H428" s="122" t="str">
        <f>IF(AND('2.报价结算清单'!$P531&gt;0,'2.报价结算清单'!$B531&lt;&gt;0,'2.报价结算清单'!$F531&lt;&gt;0),'2.报价结算清单'!J531,"")</f>
        <v/>
      </c>
      <c r="I428" s="105" t="str">
        <f>IF(AND('2.报价结算清单'!$P531&gt;0,'2.报价结算清单'!$B531&lt;&gt;0,'2.报价结算清单'!$F531&lt;&gt;0),'2.报价结算清单'!L531,"")</f>
        <v/>
      </c>
      <c r="J428" s="105" t="str">
        <f>IF(AND('2.报价结算清单'!$P531&gt;0,'2.报价结算清单'!$B531&lt;&gt;0,'2.报价结算清单'!I531&lt;&gt;0),'2.报价结算清单'!I531,"")</f>
        <v/>
      </c>
      <c r="K428" s="105" t="str">
        <f>IF(AND('2.报价结算清单'!$P531&gt;0,'2.报价结算清单'!$B531&lt;&gt;0,'2.报价结算清单'!$F531&lt;&gt;0),'2.报价结算清单'!N531,"")</f>
        <v/>
      </c>
      <c r="L428" s="105" t="str">
        <f>IF(AND('2.报价结算清单'!$P531&gt;0,'2.报价结算清单'!$B531&lt;&gt;0,'2.报价结算清单'!I531&lt;&gt;0),"天","")</f>
        <v/>
      </c>
      <c r="M428" s="80" t="str">
        <f t="shared" si="16"/>
        <v/>
      </c>
      <c r="N428" s="78" t="str">
        <f t="shared" si="17"/>
        <v/>
      </c>
      <c r="O428" s="78" t="str">
        <f>IF(AND('2.报价结算清单'!$P531&gt;0,'2.报价结算清单'!$B531&lt;&gt;0,'2.报价结算清单'!S531&lt;&gt;0),'2.报价结算清单'!S531,"")</f>
        <v/>
      </c>
      <c r="P428" s="78" t="str">
        <f>IF(AND('2.报价结算清单'!$P531&gt;0,'2.报价结算清单'!$B531&lt;&gt;0,'2.报价结算清单'!T531&lt;&gt;0),'2.报价结算清单'!T531,"")</f>
        <v/>
      </c>
      <c r="Q428" s="78" t="str">
        <f>IF(F428="",J428,VLOOKUP(F428,框架条目清单!A:K,4,FALSE))</f>
        <v/>
      </c>
      <c r="R428" s="106" t="str">
        <f>IF($A428="","",'2.报价结算清单'!$K$183)</f>
        <v/>
      </c>
      <c r="S428" s="80" t="str">
        <f>IF($A428="","",'2.报价结算清单'!$E$183)</f>
        <v/>
      </c>
      <c r="T428" s="78" t="str">
        <f>IF(F428="","",VLOOKUP(F428,框架条目清单!A:K,7,FALSE))</f>
        <v/>
      </c>
      <c r="U428" s="78" t="str">
        <f>IF(F428="","",VLOOKUP(F428,框架条目清单!A:K,8,FALSE))</f>
        <v/>
      </c>
      <c r="V428" s="78" t="str">
        <f>IF(F428="","",VLOOKUP(F428,框架条目清单!A:K,9,FALSE))</f>
        <v/>
      </c>
    </row>
    <row r="429" spans="1:22">
      <c r="A429" s="78" t="str">
        <f>IF(AND('2.报价结算清单'!$P532&gt;0,'2.报价结算清单'!$B532&lt;&gt;0,'2.报价结算清单'!$F532&lt;&gt;0),'2.报价结算清单'!$F532,"")</f>
        <v/>
      </c>
      <c r="B429" s="78" t="str">
        <f>_xlfn.IFNA(VLOOKUP(A429,'3.框架内物料'!$A:$I,3,0),A429)</f>
        <v/>
      </c>
      <c r="C429" s="78" t="str">
        <f>IF(AND('2.报价结算清单'!$P532&gt;0,'2.报价结算清单'!$B532&lt;&gt;0,'2.报价结算清单'!C532&lt;&gt;0),'2.报价结算清单'!C532,"")</f>
        <v/>
      </c>
      <c r="D429" s="78" t="str">
        <f>IF(AND('2.报价结算清单'!$P532&gt;0,'2.报价结算清单'!$B532&lt;&gt;0,'2.报价结算清单'!D532&lt;&gt;0),'2.报价结算清单'!D532,"")</f>
        <v/>
      </c>
      <c r="E429" s="78" t="str">
        <f>IF(AND('2.报价结算清单'!$P532&gt;0,'2.报价结算清单'!$B532&lt;&gt;0,'2.报价结算清单'!E532&lt;&gt;0),'2.报价结算清单'!E532,"")</f>
        <v/>
      </c>
      <c r="F429" s="105" t="str">
        <f>_xlfn.IFNA(IF($A429="","",IF(VLOOKUP($A429,'3.框架内物料'!$A:$I,2,0)="","",VLOOKUP($A429,'3.框架内物料'!$A:$I,2,0))),"")</f>
        <v/>
      </c>
      <c r="G429" s="87" t="str">
        <f>IF(AND('2.报价结算清单'!$P532&gt;0,'2.报价结算清单'!$B532&lt;&gt;0,'2.报价结算清单'!H532&lt;&gt;0),'2.报价结算清单'!H532,"")</f>
        <v/>
      </c>
      <c r="H429" s="122" t="str">
        <f>IF(AND('2.报价结算清单'!$P532&gt;0,'2.报价结算清单'!$B532&lt;&gt;0,'2.报价结算清单'!$F532&lt;&gt;0),'2.报价结算清单'!J532,"")</f>
        <v/>
      </c>
      <c r="I429" s="105" t="str">
        <f>IF(AND('2.报价结算清单'!$P532&gt;0,'2.报价结算清单'!$B532&lt;&gt;0,'2.报价结算清单'!$F532&lt;&gt;0),'2.报价结算清单'!L532,"")</f>
        <v/>
      </c>
      <c r="J429" s="105" t="str">
        <f>IF(AND('2.报价结算清单'!$P532&gt;0,'2.报价结算清单'!$B532&lt;&gt;0,'2.报价结算清单'!I532&lt;&gt;0),'2.报价结算清单'!I532,"")</f>
        <v/>
      </c>
      <c r="K429" s="105" t="str">
        <f>IF(AND('2.报价结算清单'!$P532&gt;0,'2.报价结算清单'!$B532&lt;&gt;0,'2.报价结算清单'!$F532&lt;&gt;0),'2.报价结算清单'!N532,"")</f>
        <v/>
      </c>
      <c r="L429" s="105" t="str">
        <f>IF(AND('2.报价结算清单'!$P532&gt;0,'2.报价结算清单'!$B532&lt;&gt;0,'2.报价结算清单'!I532&lt;&gt;0),"天","")</f>
        <v/>
      </c>
      <c r="M429" s="80" t="str">
        <f t="shared" si="16"/>
        <v/>
      </c>
      <c r="N429" s="78" t="str">
        <f t="shared" si="17"/>
        <v/>
      </c>
      <c r="O429" s="78" t="str">
        <f>IF(AND('2.报价结算清单'!$P532&gt;0,'2.报价结算清单'!$B532&lt;&gt;0,'2.报价结算清单'!S532&lt;&gt;0),'2.报价结算清单'!S532,"")</f>
        <v/>
      </c>
      <c r="P429" s="78" t="str">
        <f>IF(AND('2.报价结算清单'!$P532&gt;0,'2.报价结算清单'!$B532&lt;&gt;0,'2.报价结算清单'!T532&lt;&gt;0),'2.报价结算清单'!T532,"")</f>
        <v/>
      </c>
      <c r="Q429" s="78" t="str">
        <f>IF(F429="",J429,VLOOKUP(F429,框架条目清单!A:K,4,FALSE))</f>
        <v/>
      </c>
      <c r="R429" s="106" t="str">
        <f>IF($A429="","",'2.报价结算清单'!$K$183)</f>
        <v/>
      </c>
      <c r="S429" s="80" t="str">
        <f>IF($A429="","",'2.报价结算清单'!$E$183)</f>
        <v/>
      </c>
      <c r="T429" s="78" t="str">
        <f>IF(F429="","",VLOOKUP(F429,框架条目清单!A:K,7,FALSE))</f>
        <v/>
      </c>
      <c r="U429" s="78" t="str">
        <f>IF(F429="","",VLOOKUP(F429,框架条目清单!A:K,8,FALSE))</f>
        <v/>
      </c>
      <c r="V429" s="78" t="str">
        <f>IF(F429="","",VLOOKUP(F429,框架条目清单!A:K,9,FALSE))</f>
        <v/>
      </c>
    </row>
    <row r="430" spans="1:22">
      <c r="A430" s="78" t="str">
        <f>IF(AND('2.报价结算清单'!$P533&gt;0,'2.报价结算清单'!$B533&lt;&gt;0,'2.报价结算清单'!$F533&lt;&gt;0),'2.报价结算清单'!$F533,"")</f>
        <v/>
      </c>
      <c r="B430" s="78" t="str">
        <f>_xlfn.IFNA(VLOOKUP(A430,'3.框架内物料'!$A:$I,3,0),A430)</f>
        <v/>
      </c>
      <c r="C430" s="78" t="str">
        <f>IF(AND('2.报价结算清单'!$P533&gt;0,'2.报价结算清单'!$B533&lt;&gt;0,'2.报价结算清单'!C533&lt;&gt;0),'2.报价结算清单'!C533,"")</f>
        <v/>
      </c>
      <c r="D430" s="78" t="str">
        <f>IF(AND('2.报价结算清单'!$P533&gt;0,'2.报价结算清单'!$B533&lt;&gt;0,'2.报价结算清单'!D533&lt;&gt;0),'2.报价结算清单'!D533,"")</f>
        <v/>
      </c>
      <c r="E430" s="78" t="str">
        <f>IF(AND('2.报价结算清单'!$P533&gt;0,'2.报价结算清单'!$B533&lt;&gt;0,'2.报价结算清单'!E533&lt;&gt;0),'2.报价结算清单'!E533,"")</f>
        <v/>
      </c>
      <c r="F430" s="105" t="str">
        <f>_xlfn.IFNA(IF($A430="","",IF(VLOOKUP($A430,'3.框架内物料'!$A:$I,2,0)="","",VLOOKUP($A430,'3.框架内物料'!$A:$I,2,0))),"")</f>
        <v/>
      </c>
      <c r="G430" s="87" t="str">
        <f>IF(AND('2.报价结算清单'!$P533&gt;0,'2.报价结算清单'!$B533&lt;&gt;0,'2.报价结算清单'!H533&lt;&gt;0),'2.报价结算清单'!H533,"")</f>
        <v/>
      </c>
      <c r="H430" s="122" t="str">
        <f>IF(AND('2.报价结算清单'!$P533&gt;0,'2.报价结算清单'!$B533&lt;&gt;0,'2.报价结算清单'!$F533&lt;&gt;0),'2.报价结算清单'!J533,"")</f>
        <v/>
      </c>
      <c r="I430" s="105" t="str">
        <f>IF(AND('2.报价结算清单'!$P533&gt;0,'2.报价结算清单'!$B533&lt;&gt;0,'2.报价结算清单'!$F533&lt;&gt;0),'2.报价结算清单'!L533,"")</f>
        <v/>
      </c>
      <c r="J430" s="105" t="str">
        <f>IF(AND('2.报价结算清单'!$P533&gt;0,'2.报价结算清单'!$B533&lt;&gt;0,'2.报价结算清单'!I533&lt;&gt;0),'2.报价结算清单'!I533,"")</f>
        <v/>
      </c>
      <c r="K430" s="105" t="str">
        <f>IF(AND('2.报价结算清单'!$P533&gt;0,'2.报价结算清单'!$B533&lt;&gt;0,'2.报价结算清单'!$F533&lt;&gt;0),'2.报价结算清单'!N533,"")</f>
        <v/>
      </c>
      <c r="L430" s="105" t="str">
        <f>IF(AND('2.报价结算清单'!$P533&gt;0,'2.报价结算清单'!$B533&lt;&gt;0,'2.报价结算清单'!I533&lt;&gt;0),"天","")</f>
        <v/>
      </c>
      <c r="M430" s="80" t="str">
        <f t="shared" si="16"/>
        <v/>
      </c>
      <c r="N430" s="78" t="str">
        <f t="shared" si="17"/>
        <v/>
      </c>
      <c r="O430" s="78" t="str">
        <f>IF(AND('2.报价结算清单'!$P533&gt;0,'2.报价结算清单'!$B533&lt;&gt;0,'2.报价结算清单'!S533&lt;&gt;0),'2.报价结算清单'!S533,"")</f>
        <v/>
      </c>
      <c r="P430" s="78" t="str">
        <f>IF(AND('2.报价结算清单'!$P533&gt;0,'2.报价结算清单'!$B533&lt;&gt;0,'2.报价结算清单'!T533&lt;&gt;0),'2.报价结算清单'!T533,"")</f>
        <v/>
      </c>
      <c r="Q430" s="78" t="str">
        <f>IF(F430="",J430,VLOOKUP(F430,框架条目清单!A:K,4,FALSE))</f>
        <v/>
      </c>
      <c r="R430" s="106" t="str">
        <f>IF($A430="","",'2.报价结算清单'!$K$183)</f>
        <v/>
      </c>
      <c r="S430" s="80" t="str">
        <f>IF($A430="","",'2.报价结算清单'!$E$183)</f>
        <v/>
      </c>
      <c r="T430" s="78" t="str">
        <f>IF(F430="","",VLOOKUP(F430,框架条目清单!A:K,7,FALSE))</f>
        <v/>
      </c>
      <c r="U430" s="78" t="str">
        <f>IF(F430="","",VLOOKUP(F430,框架条目清单!A:K,8,FALSE))</f>
        <v/>
      </c>
      <c r="V430" s="78" t="str">
        <f>IF(F430="","",VLOOKUP(F430,框架条目清单!A:K,9,FALSE))</f>
        <v/>
      </c>
    </row>
    <row r="431" spans="1:22">
      <c r="A431" s="78" t="str">
        <f>IF(AND('2.报价结算清单'!$P534&gt;0,'2.报价结算清单'!$B534&lt;&gt;0,'2.报价结算清单'!$F534&lt;&gt;0),'2.报价结算清单'!$F534,"")</f>
        <v/>
      </c>
      <c r="B431" s="78" t="str">
        <f>_xlfn.IFNA(VLOOKUP(A431,'3.框架内物料'!$A:$I,3,0),A431)</f>
        <v/>
      </c>
      <c r="C431" s="78" t="str">
        <f>IF(AND('2.报价结算清单'!$P534&gt;0,'2.报价结算清单'!$B534&lt;&gt;0,'2.报价结算清单'!C534&lt;&gt;0),'2.报价结算清单'!C534,"")</f>
        <v/>
      </c>
      <c r="D431" s="78" t="str">
        <f>IF(AND('2.报价结算清单'!$P534&gt;0,'2.报价结算清单'!$B534&lt;&gt;0,'2.报价结算清单'!D534&lt;&gt;0),'2.报价结算清单'!D534,"")</f>
        <v/>
      </c>
      <c r="E431" s="78" t="str">
        <f>IF(AND('2.报价结算清单'!$P534&gt;0,'2.报价结算清单'!$B534&lt;&gt;0,'2.报价结算清单'!E534&lt;&gt;0),'2.报价结算清单'!E534,"")</f>
        <v/>
      </c>
      <c r="F431" s="105" t="str">
        <f>_xlfn.IFNA(IF($A431="","",IF(VLOOKUP($A431,'3.框架内物料'!$A:$I,2,0)="","",VLOOKUP($A431,'3.框架内物料'!$A:$I,2,0))),"")</f>
        <v/>
      </c>
      <c r="G431" s="87" t="str">
        <f>IF(AND('2.报价结算清单'!$P534&gt;0,'2.报价结算清单'!$B534&lt;&gt;0,'2.报价结算清单'!H534&lt;&gt;0),'2.报价结算清单'!H534,"")</f>
        <v/>
      </c>
      <c r="H431" s="122" t="str">
        <f>IF(AND('2.报价结算清单'!$P534&gt;0,'2.报价结算清单'!$B534&lt;&gt;0,'2.报价结算清单'!$F534&lt;&gt;0),'2.报价结算清单'!J534,"")</f>
        <v/>
      </c>
      <c r="I431" s="105" t="str">
        <f>IF(AND('2.报价结算清单'!$P534&gt;0,'2.报价结算清单'!$B534&lt;&gt;0,'2.报价结算清单'!$F534&lt;&gt;0),'2.报价结算清单'!L534,"")</f>
        <v/>
      </c>
      <c r="J431" s="105" t="str">
        <f>IF(AND('2.报价结算清单'!$P534&gt;0,'2.报价结算清单'!$B534&lt;&gt;0,'2.报价结算清单'!I534&lt;&gt;0),'2.报价结算清单'!I534,"")</f>
        <v/>
      </c>
      <c r="K431" s="105" t="str">
        <f>IF(AND('2.报价结算清单'!$P534&gt;0,'2.报价结算清单'!$B534&lt;&gt;0,'2.报价结算清单'!$F534&lt;&gt;0),'2.报价结算清单'!N534,"")</f>
        <v/>
      </c>
      <c r="L431" s="105" t="str">
        <f>IF(AND('2.报价结算清单'!$P534&gt;0,'2.报价结算清单'!$B534&lt;&gt;0,'2.报价结算清单'!I534&lt;&gt;0),"天","")</f>
        <v/>
      </c>
      <c r="M431" s="80" t="str">
        <f t="shared" si="16"/>
        <v/>
      </c>
      <c r="N431" s="78" t="str">
        <f t="shared" si="17"/>
        <v/>
      </c>
      <c r="O431" s="78" t="str">
        <f>IF(AND('2.报价结算清单'!$P534&gt;0,'2.报价结算清单'!$B534&lt;&gt;0,'2.报价结算清单'!S534&lt;&gt;0),'2.报价结算清单'!S534,"")</f>
        <v/>
      </c>
      <c r="P431" s="78" t="str">
        <f>IF(AND('2.报价结算清单'!$P534&gt;0,'2.报价结算清单'!$B534&lt;&gt;0,'2.报价结算清单'!T534&lt;&gt;0),'2.报价结算清单'!T534,"")</f>
        <v/>
      </c>
      <c r="Q431" s="78" t="str">
        <f>IF(F431="",J431,VLOOKUP(F431,框架条目清单!A:K,4,FALSE))</f>
        <v/>
      </c>
      <c r="R431" s="106" t="str">
        <f>IF($A431="","",'2.报价结算清单'!$K$183)</f>
        <v/>
      </c>
      <c r="S431" s="80" t="str">
        <f>IF($A431="","",'2.报价结算清单'!$E$183)</f>
        <v/>
      </c>
      <c r="T431" s="78" t="str">
        <f>IF(F431="","",VLOOKUP(F431,框架条目清单!A:K,7,FALSE))</f>
        <v/>
      </c>
      <c r="U431" s="78" t="str">
        <f>IF(F431="","",VLOOKUP(F431,框架条目清单!A:K,8,FALSE))</f>
        <v/>
      </c>
      <c r="V431" s="78" t="str">
        <f>IF(F431="","",VLOOKUP(F431,框架条目清单!A:K,9,FALSE))</f>
        <v/>
      </c>
    </row>
    <row r="432" spans="1:22">
      <c r="A432" s="78" t="str">
        <f>IF(AND('2.报价结算清单'!$P535&gt;0,'2.报价结算清单'!$B535&lt;&gt;0,'2.报价结算清单'!$F535&lt;&gt;0),'2.报价结算清单'!$F535,"")</f>
        <v/>
      </c>
      <c r="B432" s="78" t="str">
        <f>_xlfn.IFNA(VLOOKUP(A432,'3.框架内物料'!$A:$I,3,0),A432)</f>
        <v/>
      </c>
      <c r="C432" s="78" t="str">
        <f>IF(AND('2.报价结算清单'!$P535&gt;0,'2.报价结算清单'!$B535&lt;&gt;0,'2.报价结算清单'!C535&lt;&gt;0),'2.报价结算清单'!C535,"")</f>
        <v/>
      </c>
      <c r="D432" s="78" t="str">
        <f>IF(AND('2.报价结算清单'!$P535&gt;0,'2.报价结算清单'!$B535&lt;&gt;0,'2.报价结算清单'!D535&lt;&gt;0),'2.报价结算清单'!D535,"")</f>
        <v/>
      </c>
      <c r="E432" s="78" t="str">
        <f>IF(AND('2.报价结算清单'!$P535&gt;0,'2.报价结算清单'!$B535&lt;&gt;0,'2.报价结算清单'!E535&lt;&gt;0),'2.报价结算清单'!E535,"")</f>
        <v/>
      </c>
      <c r="F432" s="105" t="str">
        <f>_xlfn.IFNA(IF($A432="","",IF(VLOOKUP($A432,'3.框架内物料'!$A:$I,2,0)="","",VLOOKUP($A432,'3.框架内物料'!$A:$I,2,0))),"")</f>
        <v/>
      </c>
      <c r="G432" s="87" t="str">
        <f>IF(AND('2.报价结算清单'!$P535&gt;0,'2.报价结算清单'!$B535&lt;&gt;0,'2.报价结算清单'!H535&lt;&gt;0),'2.报价结算清单'!H535,"")</f>
        <v/>
      </c>
      <c r="H432" s="122" t="str">
        <f>IF(AND('2.报价结算清单'!$P535&gt;0,'2.报价结算清单'!$B535&lt;&gt;0,'2.报价结算清单'!$F535&lt;&gt;0),'2.报价结算清单'!J535,"")</f>
        <v/>
      </c>
      <c r="I432" s="105" t="str">
        <f>IF(AND('2.报价结算清单'!$P535&gt;0,'2.报价结算清单'!$B535&lt;&gt;0,'2.报价结算清单'!$F535&lt;&gt;0),'2.报价结算清单'!L535,"")</f>
        <v/>
      </c>
      <c r="J432" s="105" t="str">
        <f>IF(AND('2.报价结算清单'!$P535&gt;0,'2.报价结算清单'!$B535&lt;&gt;0,'2.报价结算清单'!I535&lt;&gt;0),'2.报价结算清单'!I535,"")</f>
        <v/>
      </c>
      <c r="K432" s="105" t="str">
        <f>IF(AND('2.报价结算清单'!$P535&gt;0,'2.报价结算清单'!$B535&lt;&gt;0,'2.报价结算清单'!$F535&lt;&gt;0),'2.报价结算清单'!N535,"")</f>
        <v/>
      </c>
      <c r="L432" s="105" t="str">
        <f>IF(AND('2.报价结算清单'!$P535&gt;0,'2.报价结算清单'!$B535&lt;&gt;0,'2.报价结算清单'!I535&lt;&gt;0),"天","")</f>
        <v/>
      </c>
      <c r="M432" s="80" t="str">
        <f t="shared" si="16"/>
        <v/>
      </c>
      <c r="N432" s="78" t="str">
        <f t="shared" si="17"/>
        <v/>
      </c>
      <c r="O432" s="78" t="str">
        <f>IF(AND('2.报价结算清单'!$P535&gt;0,'2.报价结算清单'!$B535&lt;&gt;0,'2.报价结算清单'!S535&lt;&gt;0),'2.报价结算清单'!S535,"")</f>
        <v/>
      </c>
      <c r="P432" s="78" t="str">
        <f>IF(AND('2.报价结算清单'!$P535&gt;0,'2.报价结算清单'!$B535&lt;&gt;0,'2.报价结算清单'!T535&lt;&gt;0),'2.报价结算清单'!T535,"")</f>
        <v/>
      </c>
      <c r="Q432" s="78" t="str">
        <f>IF(F432="",J432,VLOOKUP(F432,框架条目清单!A:K,4,FALSE))</f>
        <v/>
      </c>
      <c r="R432" s="106" t="str">
        <f>IF($A432="","",'2.报价结算清单'!$K$183)</f>
        <v/>
      </c>
      <c r="S432" s="80" t="str">
        <f>IF($A432="","",'2.报价结算清单'!$E$183)</f>
        <v/>
      </c>
      <c r="T432" s="78" t="str">
        <f>IF(F432="","",VLOOKUP(F432,框架条目清单!A:K,7,FALSE))</f>
        <v/>
      </c>
      <c r="U432" s="78" t="str">
        <f>IF(F432="","",VLOOKUP(F432,框架条目清单!A:K,8,FALSE))</f>
        <v/>
      </c>
      <c r="V432" s="78" t="str">
        <f>IF(F432="","",VLOOKUP(F432,框架条目清单!A:K,9,FALSE))</f>
        <v/>
      </c>
    </row>
    <row r="433" spans="1:22">
      <c r="A433" s="78" t="str">
        <f>IF(AND('2.报价结算清单'!$P536&gt;0,'2.报价结算清单'!$B536&lt;&gt;0,'2.报价结算清单'!$F536&lt;&gt;0),'2.报价结算清单'!$F536,"")</f>
        <v/>
      </c>
      <c r="B433" s="78" t="str">
        <f>_xlfn.IFNA(VLOOKUP(A433,'3.框架内物料'!$A:$I,3,0),A433)</f>
        <v/>
      </c>
      <c r="C433" s="78" t="str">
        <f>IF(AND('2.报价结算清单'!$P536&gt;0,'2.报价结算清单'!$B536&lt;&gt;0,'2.报价结算清单'!C536&lt;&gt;0),'2.报价结算清单'!C536,"")</f>
        <v/>
      </c>
      <c r="D433" s="78" t="str">
        <f>IF(AND('2.报价结算清单'!$P536&gt;0,'2.报价结算清单'!$B536&lt;&gt;0,'2.报价结算清单'!D536&lt;&gt;0),'2.报价结算清单'!D536,"")</f>
        <v/>
      </c>
      <c r="E433" s="78" t="str">
        <f>IF(AND('2.报价结算清单'!$P536&gt;0,'2.报价结算清单'!$B536&lt;&gt;0,'2.报价结算清单'!E536&lt;&gt;0),'2.报价结算清单'!E536,"")</f>
        <v/>
      </c>
      <c r="F433" s="105" t="str">
        <f>_xlfn.IFNA(IF($A433="","",IF(VLOOKUP($A433,'3.框架内物料'!$A:$I,2,0)="","",VLOOKUP($A433,'3.框架内物料'!$A:$I,2,0))),"")</f>
        <v/>
      </c>
      <c r="G433" s="87" t="str">
        <f>IF(AND('2.报价结算清单'!$P536&gt;0,'2.报价结算清单'!$B536&lt;&gt;0,'2.报价结算清单'!H536&lt;&gt;0),'2.报价结算清单'!H536,"")</f>
        <v/>
      </c>
      <c r="H433" s="122" t="str">
        <f>IF(AND('2.报价结算清单'!$P536&gt;0,'2.报价结算清单'!$B536&lt;&gt;0,'2.报价结算清单'!$F536&lt;&gt;0),'2.报价结算清单'!J536,"")</f>
        <v/>
      </c>
      <c r="I433" s="105" t="str">
        <f>IF(AND('2.报价结算清单'!$P536&gt;0,'2.报价结算清单'!$B536&lt;&gt;0,'2.报价结算清单'!$F536&lt;&gt;0),'2.报价结算清单'!L536,"")</f>
        <v/>
      </c>
      <c r="J433" s="105" t="str">
        <f>IF(AND('2.报价结算清单'!$P536&gt;0,'2.报价结算清单'!$B536&lt;&gt;0,'2.报价结算清单'!I536&lt;&gt;0),'2.报价结算清单'!I536,"")</f>
        <v/>
      </c>
      <c r="K433" s="105" t="str">
        <f>IF(AND('2.报价结算清单'!$P536&gt;0,'2.报价结算清单'!$B536&lt;&gt;0,'2.报价结算清单'!$F536&lt;&gt;0),'2.报价结算清单'!N536,"")</f>
        <v/>
      </c>
      <c r="L433" s="105" t="str">
        <f>IF(AND('2.报价结算清单'!$P536&gt;0,'2.报价结算清单'!$B536&lt;&gt;0,'2.报价结算清单'!I536&lt;&gt;0),"天","")</f>
        <v/>
      </c>
      <c r="M433" s="80" t="str">
        <f t="shared" si="16"/>
        <v/>
      </c>
      <c r="N433" s="78" t="str">
        <f t="shared" si="17"/>
        <v/>
      </c>
      <c r="O433" s="78" t="str">
        <f>IF(AND('2.报价结算清单'!$P536&gt;0,'2.报价结算清单'!$B536&lt;&gt;0,'2.报价结算清单'!S536&lt;&gt;0),'2.报价结算清单'!S536,"")</f>
        <v/>
      </c>
      <c r="P433" s="78" t="str">
        <f>IF(AND('2.报价结算清单'!$P536&gt;0,'2.报价结算清单'!$B536&lt;&gt;0,'2.报价结算清单'!T536&lt;&gt;0),'2.报价结算清单'!T536,"")</f>
        <v/>
      </c>
      <c r="Q433" s="78" t="str">
        <f>IF(F433="",J433,VLOOKUP(F433,框架条目清单!A:K,4,FALSE))</f>
        <v/>
      </c>
      <c r="R433" s="106" t="str">
        <f>IF($A433="","",'2.报价结算清单'!$K$183)</f>
        <v/>
      </c>
      <c r="S433" s="80" t="str">
        <f>IF($A433="","",'2.报价结算清单'!$E$183)</f>
        <v/>
      </c>
      <c r="T433" s="78" t="str">
        <f>IF(F433="","",VLOOKUP(F433,框架条目清单!A:K,7,FALSE))</f>
        <v/>
      </c>
      <c r="U433" s="78" t="str">
        <f>IF(F433="","",VLOOKUP(F433,框架条目清单!A:K,8,FALSE))</f>
        <v/>
      </c>
      <c r="V433" s="78" t="str">
        <f>IF(F433="","",VLOOKUP(F433,框架条目清单!A:K,9,FALSE))</f>
        <v/>
      </c>
    </row>
    <row r="434" spans="1:22">
      <c r="A434" s="78" t="str">
        <f>IF(AND('2.报价结算清单'!$P537&gt;0,'2.报价结算清单'!$B537&lt;&gt;0,'2.报价结算清单'!$F537&lt;&gt;0),'2.报价结算清单'!$F537,"")</f>
        <v/>
      </c>
      <c r="B434" s="78" t="str">
        <f>_xlfn.IFNA(VLOOKUP(A434,'3.框架内物料'!$A:$I,3,0),A434)</f>
        <v/>
      </c>
      <c r="C434" s="78" t="str">
        <f>IF(AND('2.报价结算清单'!$P537&gt;0,'2.报价结算清单'!$B537&lt;&gt;0,'2.报价结算清单'!C537&lt;&gt;0),'2.报价结算清单'!C537,"")</f>
        <v/>
      </c>
      <c r="D434" s="78" t="str">
        <f>IF(AND('2.报价结算清单'!$P537&gt;0,'2.报价结算清单'!$B537&lt;&gt;0,'2.报价结算清单'!D537&lt;&gt;0),'2.报价结算清单'!D537,"")</f>
        <v/>
      </c>
      <c r="E434" s="78" t="str">
        <f>IF(AND('2.报价结算清单'!$P537&gt;0,'2.报价结算清单'!$B537&lt;&gt;0,'2.报价结算清单'!E537&lt;&gt;0),'2.报价结算清单'!E537,"")</f>
        <v/>
      </c>
      <c r="F434" s="105" t="str">
        <f>_xlfn.IFNA(IF($A434="","",IF(VLOOKUP($A434,'3.框架内物料'!$A:$I,2,0)="","",VLOOKUP($A434,'3.框架内物料'!$A:$I,2,0))),"")</f>
        <v/>
      </c>
      <c r="G434" s="87" t="str">
        <f>IF(AND('2.报价结算清单'!$P537&gt;0,'2.报价结算清单'!$B537&lt;&gt;0,'2.报价结算清单'!H537&lt;&gt;0),'2.报价结算清单'!H537,"")</f>
        <v/>
      </c>
      <c r="H434" s="122" t="str">
        <f>IF(AND('2.报价结算清单'!$P537&gt;0,'2.报价结算清单'!$B537&lt;&gt;0,'2.报价结算清单'!$F537&lt;&gt;0),'2.报价结算清单'!J537,"")</f>
        <v/>
      </c>
      <c r="I434" s="105" t="str">
        <f>IF(AND('2.报价结算清单'!$P537&gt;0,'2.报价结算清单'!$B537&lt;&gt;0,'2.报价结算清单'!$F537&lt;&gt;0),'2.报价结算清单'!L537,"")</f>
        <v/>
      </c>
      <c r="J434" s="105" t="str">
        <f>IF(AND('2.报价结算清单'!$P537&gt;0,'2.报价结算清单'!$B537&lt;&gt;0,'2.报价结算清单'!I537&lt;&gt;0),'2.报价结算清单'!I537,"")</f>
        <v/>
      </c>
      <c r="K434" s="105" t="str">
        <f>IF(AND('2.报价结算清单'!$P537&gt;0,'2.报价结算清单'!$B537&lt;&gt;0,'2.报价结算清单'!$F537&lt;&gt;0),'2.报价结算清单'!N537,"")</f>
        <v/>
      </c>
      <c r="L434" s="105" t="str">
        <f>IF(AND('2.报价结算清单'!$P537&gt;0,'2.报价结算清单'!$B537&lt;&gt;0,'2.报价结算清单'!I537&lt;&gt;0),"天","")</f>
        <v/>
      </c>
      <c r="M434" s="80" t="str">
        <f t="shared" si="16"/>
        <v/>
      </c>
      <c r="N434" s="78" t="str">
        <f t="shared" si="17"/>
        <v/>
      </c>
      <c r="O434" s="78" t="str">
        <f>IF(AND('2.报价结算清单'!$P537&gt;0,'2.报价结算清单'!$B537&lt;&gt;0,'2.报价结算清单'!S537&lt;&gt;0),'2.报价结算清单'!S537,"")</f>
        <v/>
      </c>
      <c r="P434" s="78" t="str">
        <f>IF(AND('2.报价结算清单'!$P537&gt;0,'2.报价结算清单'!$B537&lt;&gt;0,'2.报价结算清单'!T537&lt;&gt;0),'2.报价结算清单'!T537,"")</f>
        <v/>
      </c>
      <c r="Q434" s="78" t="str">
        <f>IF(F434="",J434,VLOOKUP(F434,框架条目清单!A:K,4,FALSE))</f>
        <v/>
      </c>
      <c r="R434" s="106" t="str">
        <f>IF($A434="","",'2.报价结算清单'!$K$183)</f>
        <v/>
      </c>
      <c r="S434" s="80" t="str">
        <f>IF($A434="","",'2.报价结算清单'!$E$183)</f>
        <v/>
      </c>
      <c r="T434" s="78" t="str">
        <f>IF(F434="","",VLOOKUP(F434,框架条目清单!A:K,7,FALSE))</f>
        <v/>
      </c>
      <c r="U434" s="78" t="str">
        <f>IF(F434="","",VLOOKUP(F434,框架条目清单!A:K,8,FALSE))</f>
        <v/>
      </c>
      <c r="V434" s="78" t="str">
        <f>IF(F434="","",VLOOKUP(F434,框架条目清单!A:K,9,FALSE))</f>
        <v/>
      </c>
    </row>
    <row r="435" spans="1:22">
      <c r="A435" s="78" t="str">
        <f>IF(AND('2.报价结算清单'!$P538&gt;0,'2.报价结算清单'!$B538&lt;&gt;0,'2.报价结算清单'!$F538&lt;&gt;0),'2.报价结算清单'!$F538,"")</f>
        <v/>
      </c>
      <c r="B435" s="78" t="str">
        <f>_xlfn.IFNA(VLOOKUP(A435,'3.框架内物料'!$A:$I,3,0),A435)</f>
        <v/>
      </c>
      <c r="C435" s="78" t="str">
        <f>IF(AND('2.报价结算清单'!$P538&gt;0,'2.报价结算清单'!$B538&lt;&gt;0,'2.报价结算清单'!C538&lt;&gt;0),'2.报价结算清单'!C538,"")</f>
        <v/>
      </c>
      <c r="D435" s="78" t="str">
        <f>IF(AND('2.报价结算清单'!$P538&gt;0,'2.报价结算清单'!$B538&lt;&gt;0,'2.报价结算清单'!D538&lt;&gt;0),'2.报价结算清单'!D538,"")</f>
        <v/>
      </c>
      <c r="E435" s="78" t="str">
        <f>IF(AND('2.报价结算清单'!$P538&gt;0,'2.报价结算清单'!$B538&lt;&gt;0,'2.报价结算清单'!E538&lt;&gt;0),'2.报价结算清单'!E538,"")</f>
        <v/>
      </c>
      <c r="F435" s="105" t="str">
        <f>_xlfn.IFNA(IF($A435="","",IF(VLOOKUP($A435,'3.框架内物料'!$A:$I,2,0)="","",VLOOKUP($A435,'3.框架内物料'!$A:$I,2,0))),"")</f>
        <v/>
      </c>
      <c r="G435" s="87" t="str">
        <f>IF(AND('2.报价结算清单'!$P538&gt;0,'2.报价结算清单'!$B538&lt;&gt;0,'2.报价结算清单'!H538&lt;&gt;0),'2.报价结算清单'!H538,"")</f>
        <v/>
      </c>
      <c r="H435" s="122" t="str">
        <f>IF(AND('2.报价结算清单'!$P538&gt;0,'2.报价结算清单'!$B538&lt;&gt;0,'2.报价结算清单'!$F538&lt;&gt;0),'2.报价结算清单'!J538,"")</f>
        <v/>
      </c>
      <c r="I435" s="105" t="str">
        <f>IF(AND('2.报价结算清单'!$P538&gt;0,'2.报价结算清单'!$B538&lt;&gt;0,'2.报价结算清单'!$F538&lt;&gt;0),'2.报价结算清单'!L538,"")</f>
        <v/>
      </c>
      <c r="J435" s="105" t="str">
        <f>IF(AND('2.报价结算清单'!$P538&gt;0,'2.报价结算清单'!$B538&lt;&gt;0,'2.报价结算清单'!I538&lt;&gt;0),'2.报价结算清单'!I538,"")</f>
        <v/>
      </c>
      <c r="K435" s="105" t="str">
        <f>IF(AND('2.报价结算清单'!$P538&gt;0,'2.报价结算清单'!$B538&lt;&gt;0,'2.报价结算清单'!$F538&lt;&gt;0),'2.报价结算清单'!N538,"")</f>
        <v/>
      </c>
      <c r="L435" s="105" t="str">
        <f>IF(AND('2.报价结算清单'!$P538&gt;0,'2.报价结算清单'!$B538&lt;&gt;0,'2.报价结算清单'!I538&lt;&gt;0),"天","")</f>
        <v/>
      </c>
      <c r="M435" s="80" t="str">
        <f t="shared" si="16"/>
        <v/>
      </c>
      <c r="N435" s="78" t="str">
        <f t="shared" si="17"/>
        <v/>
      </c>
      <c r="O435" s="78" t="str">
        <f>IF(AND('2.报价结算清单'!$P538&gt;0,'2.报价结算清单'!$B538&lt;&gt;0,'2.报价结算清单'!S538&lt;&gt;0),'2.报价结算清单'!S538,"")</f>
        <v/>
      </c>
      <c r="P435" s="78" t="str">
        <f>IF(AND('2.报价结算清单'!$P538&gt;0,'2.报价结算清单'!$B538&lt;&gt;0,'2.报价结算清单'!T538&lt;&gt;0),'2.报价结算清单'!T538,"")</f>
        <v/>
      </c>
      <c r="Q435" s="78" t="str">
        <f>IF(F435="",J435,VLOOKUP(F435,框架条目清单!A:K,4,FALSE))</f>
        <v/>
      </c>
      <c r="R435" s="106" t="str">
        <f>IF($A435="","",'2.报价结算清单'!$K$183)</f>
        <v/>
      </c>
      <c r="S435" s="80" t="str">
        <f>IF($A435="","",'2.报价结算清单'!$E$183)</f>
        <v/>
      </c>
      <c r="T435" s="78" t="str">
        <f>IF(F435="","",VLOOKUP(F435,框架条目清单!A:K,7,FALSE))</f>
        <v/>
      </c>
      <c r="U435" s="78" t="str">
        <f>IF(F435="","",VLOOKUP(F435,框架条目清单!A:K,8,FALSE))</f>
        <v/>
      </c>
      <c r="V435" s="78" t="str">
        <f>IF(F435="","",VLOOKUP(F435,框架条目清单!A:K,9,FALSE))</f>
        <v/>
      </c>
    </row>
    <row r="436" spans="1:22">
      <c r="A436" s="78" t="str">
        <f>IF(AND('2.报价结算清单'!$P539&gt;0,'2.报价结算清单'!$B539&lt;&gt;0,'2.报价结算清单'!$F539&lt;&gt;0),'2.报价结算清单'!$F539,"")</f>
        <v/>
      </c>
      <c r="B436" s="78" t="str">
        <f>_xlfn.IFNA(VLOOKUP(A436,'3.框架内物料'!$A:$I,3,0),A436)</f>
        <v/>
      </c>
      <c r="C436" s="78" t="str">
        <f>IF(AND('2.报价结算清单'!$P539&gt;0,'2.报价结算清单'!$B539&lt;&gt;0,'2.报价结算清单'!C539&lt;&gt;0),'2.报价结算清单'!C539,"")</f>
        <v/>
      </c>
      <c r="D436" s="78" t="str">
        <f>IF(AND('2.报价结算清单'!$P539&gt;0,'2.报价结算清单'!$B539&lt;&gt;0,'2.报价结算清单'!D539&lt;&gt;0),'2.报价结算清单'!D539,"")</f>
        <v/>
      </c>
      <c r="E436" s="78" t="str">
        <f>IF(AND('2.报价结算清单'!$P539&gt;0,'2.报价结算清单'!$B539&lt;&gt;0,'2.报价结算清单'!E539&lt;&gt;0),'2.报价结算清单'!E539,"")</f>
        <v/>
      </c>
      <c r="F436" s="105" t="str">
        <f>_xlfn.IFNA(IF($A436="","",IF(VLOOKUP($A436,'3.框架内物料'!$A:$I,2,0)="","",VLOOKUP($A436,'3.框架内物料'!$A:$I,2,0))),"")</f>
        <v/>
      </c>
      <c r="G436" s="87" t="str">
        <f>IF(AND('2.报价结算清单'!$P539&gt;0,'2.报价结算清单'!$B539&lt;&gt;0,'2.报价结算清单'!H539&lt;&gt;0),'2.报价结算清单'!H539,"")</f>
        <v/>
      </c>
      <c r="H436" s="122" t="str">
        <f>IF(AND('2.报价结算清单'!$P539&gt;0,'2.报价结算清单'!$B539&lt;&gt;0,'2.报价结算清单'!$F539&lt;&gt;0),'2.报价结算清单'!J539,"")</f>
        <v/>
      </c>
      <c r="I436" s="105" t="str">
        <f>IF(AND('2.报价结算清单'!$P539&gt;0,'2.报价结算清单'!$B539&lt;&gt;0,'2.报价结算清单'!$F539&lt;&gt;0),'2.报价结算清单'!L539,"")</f>
        <v/>
      </c>
      <c r="J436" s="105" t="str">
        <f>IF(AND('2.报价结算清单'!$P539&gt;0,'2.报价结算清单'!$B539&lt;&gt;0,'2.报价结算清单'!I539&lt;&gt;0),'2.报价结算清单'!I539,"")</f>
        <v/>
      </c>
      <c r="K436" s="105" t="str">
        <f>IF(AND('2.报价结算清单'!$P539&gt;0,'2.报价结算清单'!$B539&lt;&gt;0,'2.报价结算清单'!$F539&lt;&gt;0),'2.报价结算清单'!N539,"")</f>
        <v/>
      </c>
      <c r="L436" s="105" t="str">
        <f>IF(AND('2.报价结算清单'!$P539&gt;0,'2.报价结算清单'!$B539&lt;&gt;0,'2.报价结算清单'!I539&lt;&gt;0),"天","")</f>
        <v/>
      </c>
      <c r="M436" s="80" t="str">
        <f t="shared" si="16"/>
        <v/>
      </c>
      <c r="N436" s="78" t="str">
        <f t="shared" si="17"/>
        <v/>
      </c>
      <c r="O436" s="78" t="str">
        <f>IF(AND('2.报价结算清单'!$P539&gt;0,'2.报价结算清单'!$B539&lt;&gt;0,'2.报价结算清单'!S539&lt;&gt;0),'2.报价结算清单'!S539,"")</f>
        <v/>
      </c>
      <c r="P436" s="78" t="str">
        <f>IF(AND('2.报价结算清单'!$P539&gt;0,'2.报价结算清单'!$B539&lt;&gt;0,'2.报价结算清单'!T539&lt;&gt;0),'2.报价结算清单'!T539,"")</f>
        <v/>
      </c>
      <c r="Q436" s="78" t="str">
        <f>IF(F436="",J436,VLOOKUP(F436,框架条目清单!A:K,4,FALSE))</f>
        <v/>
      </c>
      <c r="R436" s="106" t="str">
        <f>IF($A436="","",'2.报价结算清单'!$K$183)</f>
        <v/>
      </c>
      <c r="S436" s="80" t="str">
        <f>IF($A436="","",'2.报价结算清单'!$E$183)</f>
        <v/>
      </c>
      <c r="T436" s="78" t="str">
        <f>IF(F436="","",VLOOKUP(F436,框架条目清单!A:K,7,FALSE))</f>
        <v/>
      </c>
      <c r="U436" s="78" t="str">
        <f>IF(F436="","",VLOOKUP(F436,框架条目清单!A:K,8,FALSE))</f>
        <v/>
      </c>
      <c r="V436" s="78" t="str">
        <f>IF(F436="","",VLOOKUP(F436,框架条目清单!A:K,9,FALSE))</f>
        <v/>
      </c>
    </row>
    <row r="437" spans="1:22">
      <c r="A437" s="78" t="str">
        <f>IF(AND('2.报价结算清单'!$P540&gt;0,'2.报价结算清单'!$B540&lt;&gt;0,'2.报价结算清单'!$F540&lt;&gt;0),'2.报价结算清单'!$F540,"")</f>
        <v/>
      </c>
      <c r="B437" s="78" t="str">
        <f>_xlfn.IFNA(VLOOKUP(A437,'3.框架内物料'!$A:$I,3,0),A437)</f>
        <v/>
      </c>
      <c r="C437" s="78" t="str">
        <f>IF(AND('2.报价结算清单'!$P540&gt;0,'2.报价结算清单'!$B540&lt;&gt;0,'2.报价结算清单'!C540&lt;&gt;0),'2.报价结算清单'!C540,"")</f>
        <v/>
      </c>
      <c r="D437" s="78" t="str">
        <f>IF(AND('2.报价结算清单'!$P540&gt;0,'2.报价结算清单'!$B540&lt;&gt;0,'2.报价结算清单'!D540&lt;&gt;0),'2.报价结算清单'!D540,"")</f>
        <v/>
      </c>
      <c r="E437" s="78" t="str">
        <f>IF(AND('2.报价结算清单'!$P540&gt;0,'2.报价结算清单'!$B540&lt;&gt;0,'2.报价结算清单'!E540&lt;&gt;0),'2.报价结算清单'!E540,"")</f>
        <v/>
      </c>
      <c r="F437" s="105" t="str">
        <f>_xlfn.IFNA(IF($A437="","",IF(VLOOKUP($A437,'3.框架内物料'!$A:$I,2,0)="","",VLOOKUP($A437,'3.框架内物料'!$A:$I,2,0))),"")</f>
        <v/>
      </c>
      <c r="G437" s="87" t="str">
        <f>IF(AND('2.报价结算清单'!$P540&gt;0,'2.报价结算清单'!$B540&lt;&gt;0,'2.报价结算清单'!H540&lt;&gt;0),'2.报价结算清单'!H540,"")</f>
        <v/>
      </c>
      <c r="H437" s="122" t="str">
        <f>IF(AND('2.报价结算清单'!$P540&gt;0,'2.报价结算清单'!$B540&lt;&gt;0,'2.报价结算清单'!$F540&lt;&gt;0),'2.报价结算清单'!J540,"")</f>
        <v/>
      </c>
      <c r="I437" s="105" t="str">
        <f>IF(AND('2.报价结算清单'!$P540&gt;0,'2.报价结算清单'!$B540&lt;&gt;0,'2.报价结算清单'!$F540&lt;&gt;0),'2.报价结算清单'!L540,"")</f>
        <v/>
      </c>
      <c r="J437" s="105" t="str">
        <f>IF(AND('2.报价结算清单'!$P540&gt;0,'2.报价结算清单'!$B540&lt;&gt;0,'2.报价结算清单'!I540&lt;&gt;0),'2.报价结算清单'!I540,"")</f>
        <v/>
      </c>
      <c r="K437" s="105" t="str">
        <f>IF(AND('2.报价结算清单'!$P540&gt;0,'2.报价结算清单'!$B540&lt;&gt;0,'2.报价结算清单'!$F540&lt;&gt;0),'2.报价结算清单'!N540,"")</f>
        <v/>
      </c>
      <c r="L437" s="105" t="str">
        <f>IF(AND('2.报价结算清单'!$P540&gt;0,'2.报价结算清单'!$B540&lt;&gt;0,'2.报价结算清单'!I540&lt;&gt;0),"天","")</f>
        <v/>
      </c>
      <c r="M437" s="80" t="str">
        <f t="shared" si="16"/>
        <v/>
      </c>
      <c r="N437" s="78" t="str">
        <f t="shared" si="17"/>
        <v/>
      </c>
      <c r="O437" s="78" t="str">
        <f>IF(AND('2.报价结算清单'!$P540&gt;0,'2.报价结算清单'!$B540&lt;&gt;0,'2.报价结算清单'!S540&lt;&gt;0),'2.报价结算清单'!S540,"")</f>
        <v/>
      </c>
      <c r="P437" s="78" t="str">
        <f>IF(AND('2.报价结算清单'!$P540&gt;0,'2.报价结算清单'!$B540&lt;&gt;0,'2.报价结算清单'!T540&lt;&gt;0),'2.报价结算清单'!T540,"")</f>
        <v/>
      </c>
      <c r="Q437" s="78" t="str">
        <f>IF(F437="",J437,VLOOKUP(F437,框架条目清单!A:K,4,FALSE))</f>
        <v/>
      </c>
      <c r="R437" s="106" t="str">
        <f>IF($A437="","",'2.报价结算清单'!$K$183)</f>
        <v/>
      </c>
      <c r="S437" s="80" t="str">
        <f>IF($A437="","",'2.报价结算清单'!$E$183)</f>
        <v/>
      </c>
      <c r="T437" s="78" t="str">
        <f>IF(F437="","",VLOOKUP(F437,框架条目清单!A:K,7,FALSE))</f>
        <v/>
      </c>
      <c r="U437" s="78" t="str">
        <f>IF(F437="","",VLOOKUP(F437,框架条目清单!A:K,8,FALSE))</f>
        <v/>
      </c>
      <c r="V437" s="78" t="str">
        <f>IF(F437="","",VLOOKUP(F437,框架条目清单!A:K,9,FALSE))</f>
        <v/>
      </c>
    </row>
    <row r="438" spans="1:22">
      <c r="A438" s="78" t="str">
        <f>IF(AND('2.报价结算清单'!$P541&gt;0,'2.报价结算清单'!$B541&lt;&gt;0,'2.报价结算清单'!$F541&lt;&gt;0),'2.报价结算清单'!$F541,"")</f>
        <v/>
      </c>
      <c r="B438" s="78" t="str">
        <f>_xlfn.IFNA(VLOOKUP(A438,'3.框架内物料'!$A:$I,3,0),A438)</f>
        <v/>
      </c>
      <c r="C438" s="78" t="str">
        <f>IF(AND('2.报价结算清单'!$P541&gt;0,'2.报价结算清单'!$B541&lt;&gt;0,'2.报价结算清单'!C541&lt;&gt;0),'2.报价结算清单'!C541,"")</f>
        <v/>
      </c>
      <c r="D438" s="78" t="str">
        <f>IF(AND('2.报价结算清单'!$P541&gt;0,'2.报价结算清单'!$B541&lt;&gt;0,'2.报价结算清单'!D541&lt;&gt;0),'2.报价结算清单'!D541,"")</f>
        <v/>
      </c>
      <c r="E438" s="78" t="str">
        <f>IF(AND('2.报价结算清单'!$P541&gt;0,'2.报价结算清单'!$B541&lt;&gt;0,'2.报价结算清单'!E541&lt;&gt;0),'2.报价结算清单'!E541,"")</f>
        <v/>
      </c>
      <c r="F438" s="105" t="str">
        <f>_xlfn.IFNA(IF($A438="","",IF(VLOOKUP($A438,'3.框架内物料'!$A:$I,2,0)="","",VLOOKUP($A438,'3.框架内物料'!$A:$I,2,0))),"")</f>
        <v/>
      </c>
      <c r="G438" s="87" t="str">
        <f>IF(AND('2.报价结算清单'!$P541&gt;0,'2.报价结算清单'!$B541&lt;&gt;0,'2.报价结算清单'!H541&lt;&gt;0),'2.报价结算清单'!H541,"")</f>
        <v/>
      </c>
      <c r="H438" s="122" t="str">
        <f>IF(AND('2.报价结算清单'!$P541&gt;0,'2.报价结算清单'!$B541&lt;&gt;0,'2.报价结算清单'!$F541&lt;&gt;0),'2.报价结算清单'!J541,"")</f>
        <v/>
      </c>
      <c r="I438" s="105" t="str">
        <f>IF(AND('2.报价结算清单'!$P541&gt;0,'2.报价结算清单'!$B541&lt;&gt;0,'2.报价结算清单'!$F541&lt;&gt;0),'2.报价结算清单'!L541,"")</f>
        <v/>
      </c>
      <c r="J438" s="105" t="str">
        <f>IF(AND('2.报价结算清单'!$P541&gt;0,'2.报价结算清单'!$B541&lt;&gt;0,'2.报价结算清单'!I541&lt;&gt;0),'2.报价结算清单'!I541,"")</f>
        <v/>
      </c>
      <c r="K438" s="105" t="str">
        <f>IF(AND('2.报价结算清单'!$P541&gt;0,'2.报价结算清单'!$B541&lt;&gt;0,'2.报价结算清单'!$F541&lt;&gt;0),'2.报价结算清单'!N541,"")</f>
        <v/>
      </c>
      <c r="L438" s="105" t="str">
        <f>IF(AND('2.报价结算清单'!$P541&gt;0,'2.报价结算清单'!$B541&lt;&gt;0,'2.报价结算清单'!I541&lt;&gt;0),"天","")</f>
        <v/>
      </c>
      <c r="M438" s="80" t="str">
        <f t="shared" si="16"/>
        <v/>
      </c>
      <c r="N438" s="78" t="str">
        <f t="shared" si="17"/>
        <v/>
      </c>
      <c r="O438" s="78" t="str">
        <f>IF(AND('2.报价结算清单'!$P541&gt;0,'2.报价结算清单'!$B541&lt;&gt;0,'2.报价结算清单'!S541&lt;&gt;0),'2.报价结算清单'!S541,"")</f>
        <v/>
      </c>
      <c r="P438" s="78" t="str">
        <f>IF(AND('2.报价结算清单'!$P541&gt;0,'2.报价结算清单'!$B541&lt;&gt;0,'2.报价结算清单'!T541&lt;&gt;0),'2.报价结算清单'!T541,"")</f>
        <v/>
      </c>
      <c r="Q438" s="78" t="str">
        <f>IF(F438="",J438,VLOOKUP(F438,框架条目清单!A:K,4,FALSE))</f>
        <v/>
      </c>
      <c r="R438" s="106" t="str">
        <f>IF($A438="","",'2.报价结算清单'!$K$183)</f>
        <v/>
      </c>
      <c r="S438" s="80" t="str">
        <f>IF($A438="","",'2.报价结算清单'!$E$183)</f>
        <v/>
      </c>
      <c r="T438" s="78" t="str">
        <f>IF(F438="","",VLOOKUP(F438,框架条目清单!A:K,7,FALSE))</f>
        <v/>
      </c>
      <c r="U438" s="78" t="str">
        <f>IF(F438="","",VLOOKUP(F438,框架条目清单!A:K,8,FALSE))</f>
        <v/>
      </c>
      <c r="V438" s="78" t="str">
        <f>IF(F438="","",VLOOKUP(F438,框架条目清单!A:K,9,FALSE))</f>
        <v/>
      </c>
    </row>
    <row r="439" spans="1:22">
      <c r="A439" s="78" t="str">
        <f>IF(AND('2.报价结算清单'!$P542&gt;0,'2.报价结算清单'!$B542&lt;&gt;0,'2.报价结算清单'!$F542&lt;&gt;0),'2.报价结算清单'!$F542,"")</f>
        <v/>
      </c>
      <c r="B439" s="78" t="str">
        <f>_xlfn.IFNA(VLOOKUP(A439,'3.框架内物料'!$A:$I,3,0),A439)</f>
        <v/>
      </c>
      <c r="C439" s="78" t="str">
        <f>IF(AND('2.报价结算清单'!$P542&gt;0,'2.报价结算清单'!$B542&lt;&gt;0,'2.报价结算清单'!C542&lt;&gt;0),'2.报价结算清单'!C542,"")</f>
        <v/>
      </c>
      <c r="D439" s="78" t="str">
        <f>IF(AND('2.报价结算清单'!$P542&gt;0,'2.报价结算清单'!$B542&lt;&gt;0,'2.报价结算清单'!D542&lt;&gt;0),'2.报价结算清单'!D542,"")</f>
        <v/>
      </c>
      <c r="E439" s="78" t="str">
        <f>IF(AND('2.报价结算清单'!$P542&gt;0,'2.报价结算清单'!$B542&lt;&gt;0,'2.报价结算清单'!E542&lt;&gt;0),'2.报价结算清单'!E542,"")</f>
        <v/>
      </c>
      <c r="F439" s="105" t="str">
        <f>_xlfn.IFNA(IF($A439="","",IF(VLOOKUP($A439,'3.框架内物料'!$A:$I,2,0)="","",VLOOKUP($A439,'3.框架内物料'!$A:$I,2,0))),"")</f>
        <v/>
      </c>
      <c r="G439" s="87" t="str">
        <f>IF(AND('2.报价结算清单'!$P542&gt;0,'2.报价结算清单'!$B542&lt;&gt;0,'2.报价结算清单'!H542&lt;&gt;0),'2.报价结算清单'!H542,"")</f>
        <v/>
      </c>
      <c r="H439" s="122" t="str">
        <f>IF(AND('2.报价结算清单'!$P542&gt;0,'2.报价结算清单'!$B542&lt;&gt;0,'2.报价结算清单'!$F542&lt;&gt;0),'2.报价结算清单'!J542,"")</f>
        <v/>
      </c>
      <c r="I439" s="105" t="str">
        <f>IF(AND('2.报价结算清单'!$P542&gt;0,'2.报价结算清单'!$B542&lt;&gt;0,'2.报价结算清单'!$F542&lt;&gt;0),'2.报价结算清单'!L542,"")</f>
        <v/>
      </c>
      <c r="J439" s="105" t="str">
        <f>IF(AND('2.报价结算清单'!$P542&gt;0,'2.报价结算清单'!$B542&lt;&gt;0,'2.报价结算清单'!I542&lt;&gt;0),'2.报价结算清单'!I542,"")</f>
        <v/>
      </c>
      <c r="K439" s="105" t="str">
        <f>IF(AND('2.报价结算清单'!$P542&gt;0,'2.报价结算清单'!$B542&lt;&gt;0,'2.报价结算清单'!$F542&lt;&gt;0),'2.报价结算清单'!N542,"")</f>
        <v/>
      </c>
      <c r="L439" s="105" t="str">
        <f>IF(AND('2.报价结算清单'!$P542&gt;0,'2.报价结算清单'!$B542&lt;&gt;0,'2.报价结算清单'!I542&lt;&gt;0),"天","")</f>
        <v/>
      </c>
      <c r="M439" s="80" t="str">
        <f t="shared" si="16"/>
        <v/>
      </c>
      <c r="N439" s="78" t="str">
        <f t="shared" si="17"/>
        <v/>
      </c>
      <c r="O439" s="78" t="str">
        <f>IF(AND('2.报价结算清单'!$P542&gt;0,'2.报价结算清单'!$B542&lt;&gt;0,'2.报价结算清单'!S542&lt;&gt;0),'2.报价结算清单'!S542,"")</f>
        <v/>
      </c>
      <c r="P439" s="78" t="str">
        <f>IF(AND('2.报价结算清单'!$P542&gt;0,'2.报价结算清单'!$B542&lt;&gt;0,'2.报价结算清单'!T542&lt;&gt;0),'2.报价结算清单'!T542,"")</f>
        <v/>
      </c>
      <c r="Q439" s="78" t="str">
        <f>IF(F439="",J439,VLOOKUP(F439,框架条目清单!A:K,4,FALSE))</f>
        <v/>
      </c>
      <c r="R439" s="106" t="str">
        <f>IF($A439="","",'2.报价结算清单'!$K$183)</f>
        <v/>
      </c>
      <c r="S439" s="80" t="str">
        <f>IF($A439="","",'2.报价结算清单'!$E$183)</f>
        <v/>
      </c>
      <c r="T439" s="78" t="str">
        <f>IF(F439="","",VLOOKUP(F439,框架条目清单!A:K,7,FALSE))</f>
        <v/>
      </c>
      <c r="U439" s="78" t="str">
        <f>IF(F439="","",VLOOKUP(F439,框架条目清单!A:K,8,FALSE))</f>
        <v/>
      </c>
      <c r="V439" s="78" t="str">
        <f>IF(F439="","",VLOOKUP(F439,框架条目清单!A:K,9,FALSE))</f>
        <v/>
      </c>
    </row>
    <row r="440" spans="1:22">
      <c r="A440" s="78" t="str">
        <f>IF(AND('2.报价结算清单'!$P543&gt;0,'2.报价结算清单'!$B543&lt;&gt;0,'2.报价结算清单'!$F543&lt;&gt;0),'2.报价结算清单'!$F543,"")</f>
        <v/>
      </c>
      <c r="B440" s="78" t="str">
        <f>_xlfn.IFNA(VLOOKUP(A440,'3.框架内物料'!$A:$I,3,0),A440)</f>
        <v/>
      </c>
      <c r="C440" s="78" t="str">
        <f>IF(AND('2.报价结算清单'!$P543&gt;0,'2.报价结算清单'!$B543&lt;&gt;0,'2.报价结算清单'!C543&lt;&gt;0),'2.报价结算清单'!C543,"")</f>
        <v/>
      </c>
      <c r="D440" s="78" t="str">
        <f>IF(AND('2.报价结算清单'!$P543&gt;0,'2.报价结算清单'!$B543&lt;&gt;0,'2.报价结算清单'!D543&lt;&gt;0),'2.报价结算清单'!D543,"")</f>
        <v/>
      </c>
      <c r="E440" s="78" t="str">
        <f>IF(AND('2.报价结算清单'!$P543&gt;0,'2.报价结算清单'!$B543&lt;&gt;0,'2.报价结算清单'!E543&lt;&gt;0),'2.报价结算清单'!E543,"")</f>
        <v/>
      </c>
      <c r="F440" s="105" t="str">
        <f>_xlfn.IFNA(IF($A440="","",IF(VLOOKUP($A440,'3.框架内物料'!$A:$I,2,0)="","",VLOOKUP($A440,'3.框架内物料'!$A:$I,2,0))),"")</f>
        <v/>
      </c>
      <c r="G440" s="87" t="str">
        <f>IF(AND('2.报价结算清单'!$P543&gt;0,'2.报价结算清单'!$B543&lt;&gt;0,'2.报价结算清单'!H543&lt;&gt;0),'2.报价结算清单'!H543,"")</f>
        <v/>
      </c>
      <c r="H440" s="122" t="str">
        <f>IF(AND('2.报价结算清单'!$P543&gt;0,'2.报价结算清单'!$B543&lt;&gt;0,'2.报价结算清单'!$F543&lt;&gt;0),'2.报价结算清单'!J543,"")</f>
        <v/>
      </c>
      <c r="I440" s="105" t="str">
        <f>IF(AND('2.报价结算清单'!$P543&gt;0,'2.报价结算清单'!$B543&lt;&gt;0,'2.报价结算清单'!$F543&lt;&gt;0),'2.报价结算清单'!L543,"")</f>
        <v/>
      </c>
      <c r="J440" s="105" t="str">
        <f>IF(AND('2.报价结算清单'!$P543&gt;0,'2.报价结算清单'!$B543&lt;&gt;0,'2.报价结算清单'!I543&lt;&gt;0),'2.报价结算清单'!I543,"")</f>
        <v/>
      </c>
      <c r="K440" s="105" t="str">
        <f>IF(AND('2.报价结算清单'!$P543&gt;0,'2.报价结算清单'!$B543&lt;&gt;0,'2.报价结算清单'!$F543&lt;&gt;0),'2.报价结算清单'!N543,"")</f>
        <v/>
      </c>
      <c r="L440" s="105" t="str">
        <f>IF(AND('2.报价结算清单'!$P543&gt;0,'2.报价结算清单'!$B543&lt;&gt;0,'2.报价结算清单'!I543&lt;&gt;0),"天","")</f>
        <v/>
      </c>
      <c r="M440" s="80" t="str">
        <f t="shared" si="16"/>
        <v/>
      </c>
      <c r="N440" s="78" t="str">
        <f t="shared" si="17"/>
        <v/>
      </c>
      <c r="O440" s="78" t="str">
        <f>IF(AND('2.报价结算清单'!$P543&gt;0,'2.报价结算清单'!$B543&lt;&gt;0,'2.报价结算清单'!S543&lt;&gt;0),'2.报价结算清单'!S543,"")</f>
        <v/>
      </c>
      <c r="P440" s="78" t="str">
        <f>IF(AND('2.报价结算清单'!$P543&gt;0,'2.报价结算清单'!$B543&lt;&gt;0,'2.报价结算清单'!T543&lt;&gt;0),'2.报价结算清单'!T543,"")</f>
        <v/>
      </c>
      <c r="Q440" s="78" t="str">
        <f>IF(F440="",J440,VLOOKUP(F440,框架条目清单!A:K,4,FALSE))</f>
        <v/>
      </c>
      <c r="R440" s="106" t="str">
        <f>IF($A440="","",'2.报价结算清单'!$K$183)</f>
        <v/>
      </c>
      <c r="S440" s="80" t="str">
        <f>IF($A440="","",'2.报价结算清单'!$E$183)</f>
        <v/>
      </c>
      <c r="T440" s="78" t="str">
        <f>IF(F440="","",VLOOKUP(F440,框架条目清单!A:K,7,FALSE))</f>
        <v/>
      </c>
      <c r="U440" s="78" t="str">
        <f>IF(F440="","",VLOOKUP(F440,框架条目清单!A:K,8,FALSE))</f>
        <v/>
      </c>
      <c r="V440" s="78" t="str">
        <f>IF(F440="","",VLOOKUP(F440,框架条目清单!A:K,9,FALSE))</f>
        <v/>
      </c>
    </row>
    <row r="441" spans="1:22">
      <c r="A441" s="78" t="str">
        <f>IF(AND('2.报价结算清单'!$P544&gt;0,'2.报价结算清单'!$B544&lt;&gt;0,'2.报价结算清单'!$F544&lt;&gt;0),'2.报价结算清单'!$F544,"")</f>
        <v/>
      </c>
      <c r="B441" s="78" t="str">
        <f>_xlfn.IFNA(VLOOKUP(A441,'3.框架内物料'!$A:$I,3,0),A441)</f>
        <v/>
      </c>
      <c r="C441" s="78" t="str">
        <f>IF(AND('2.报价结算清单'!$P544&gt;0,'2.报价结算清单'!$B544&lt;&gt;0,'2.报价结算清单'!C544&lt;&gt;0),'2.报价结算清单'!C544,"")</f>
        <v/>
      </c>
      <c r="D441" s="78" t="str">
        <f>IF(AND('2.报价结算清单'!$P544&gt;0,'2.报价结算清单'!$B544&lt;&gt;0,'2.报价结算清单'!D544&lt;&gt;0),'2.报价结算清单'!D544,"")</f>
        <v/>
      </c>
      <c r="E441" s="78" t="str">
        <f>IF(AND('2.报价结算清单'!$P544&gt;0,'2.报价结算清单'!$B544&lt;&gt;0,'2.报价结算清单'!E544&lt;&gt;0),'2.报价结算清单'!E544,"")</f>
        <v/>
      </c>
      <c r="F441" s="105" t="str">
        <f>_xlfn.IFNA(IF($A441="","",IF(VLOOKUP($A441,'3.框架内物料'!$A:$I,2,0)="","",VLOOKUP($A441,'3.框架内物料'!$A:$I,2,0))),"")</f>
        <v/>
      </c>
      <c r="G441" s="87" t="str">
        <f>IF(AND('2.报价结算清单'!$P544&gt;0,'2.报价结算清单'!$B544&lt;&gt;0,'2.报价结算清单'!H544&lt;&gt;0),'2.报价结算清单'!H544,"")</f>
        <v/>
      </c>
      <c r="H441" s="122" t="str">
        <f>IF(AND('2.报价结算清单'!$P544&gt;0,'2.报价结算清单'!$B544&lt;&gt;0,'2.报价结算清单'!$F544&lt;&gt;0),'2.报价结算清单'!J544,"")</f>
        <v/>
      </c>
      <c r="I441" s="105" t="str">
        <f>IF(AND('2.报价结算清单'!$P544&gt;0,'2.报价结算清单'!$B544&lt;&gt;0,'2.报价结算清单'!$F544&lt;&gt;0),'2.报价结算清单'!L544,"")</f>
        <v/>
      </c>
      <c r="J441" s="105" t="str">
        <f>IF(AND('2.报价结算清单'!$P544&gt;0,'2.报价结算清单'!$B544&lt;&gt;0,'2.报价结算清单'!I544&lt;&gt;0),'2.报价结算清单'!I544,"")</f>
        <v/>
      </c>
      <c r="K441" s="105" t="str">
        <f>IF(AND('2.报价结算清单'!$P544&gt;0,'2.报价结算清单'!$B544&lt;&gt;0,'2.报价结算清单'!$F544&lt;&gt;0),'2.报价结算清单'!N544,"")</f>
        <v/>
      </c>
      <c r="L441" s="105" t="str">
        <f>IF(AND('2.报价结算清单'!$P544&gt;0,'2.报价结算清单'!$B544&lt;&gt;0,'2.报价结算清单'!I544&lt;&gt;0),"天","")</f>
        <v/>
      </c>
      <c r="M441" s="80" t="str">
        <f t="shared" si="16"/>
        <v/>
      </c>
      <c r="N441" s="78" t="str">
        <f t="shared" si="17"/>
        <v/>
      </c>
      <c r="O441" s="78" t="str">
        <f>IF(AND('2.报价结算清单'!$P544&gt;0,'2.报价结算清单'!$B544&lt;&gt;0,'2.报价结算清单'!S544&lt;&gt;0),'2.报价结算清单'!S544,"")</f>
        <v/>
      </c>
      <c r="P441" s="78" t="str">
        <f>IF(AND('2.报价结算清单'!$P544&gt;0,'2.报价结算清单'!$B544&lt;&gt;0,'2.报价结算清单'!T544&lt;&gt;0),'2.报价结算清单'!T544,"")</f>
        <v/>
      </c>
      <c r="Q441" s="78" t="str">
        <f>IF(F441="",J441,VLOOKUP(F441,框架条目清单!A:K,4,FALSE))</f>
        <v/>
      </c>
      <c r="R441" s="106" t="str">
        <f>IF($A441="","",'2.报价结算清单'!$K$183)</f>
        <v/>
      </c>
      <c r="S441" s="80" t="str">
        <f>IF($A441="","",'2.报价结算清单'!$E$183)</f>
        <v/>
      </c>
      <c r="T441" s="78" t="str">
        <f>IF(F441="","",VLOOKUP(F441,框架条目清单!A:K,7,FALSE))</f>
        <v/>
      </c>
      <c r="U441" s="78" t="str">
        <f>IF(F441="","",VLOOKUP(F441,框架条目清单!A:K,8,FALSE))</f>
        <v/>
      </c>
      <c r="V441" s="78" t="str">
        <f>IF(F441="","",VLOOKUP(F441,框架条目清单!A:K,9,FALSE))</f>
        <v/>
      </c>
    </row>
    <row r="442" spans="1:22">
      <c r="A442" s="78" t="str">
        <f>IF(AND('2.报价结算清单'!$P545&gt;0,'2.报价结算清单'!$B545&lt;&gt;0,'2.报价结算清单'!$F545&lt;&gt;0),'2.报价结算清单'!$F545,"")</f>
        <v/>
      </c>
      <c r="B442" s="78" t="str">
        <f>_xlfn.IFNA(VLOOKUP(A442,'3.框架内物料'!$A:$I,3,0),A442)</f>
        <v/>
      </c>
      <c r="C442" s="78" t="str">
        <f>IF(AND('2.报价结算清单'!$P545&gt;0,'2.报价结算清单'!$B545&lt;&gt;0,'2.报价结算清单'!C545&lt;&gt;0),'2.报价结算清单'!C545,"")</f>
        <v/>
      </c>
      <c r="D442" s="78" t="str">
        <f>IF(AND('2.报价结算清单'!$P545&gt;0,'2.报价结算清单'!$B545&lt;&gt;0,'2.报价结算清单'!D545&lt;&gt;0),'2.报价结算清单'!D545,"")</f>
        <v/>
      </c>
      <c r="E442" s="78" t="str">
        <f>IF(AND('2.报价结算清单'!$P545&gt;0,'2.报价结算清单'!$B545&lt;&gt;0,'2.报价结算清单'!E545&lt;&gt;0),'2.报价结算清单'!E545,"")</f>
        <v/>
      </c>
      <c r="F442" s="105" t="str">
        <f>_xlfn.IFNA(IF($A442="","",IF(VLOOKUP($A442,'3.框架内物料'!$A:$I,2,0)="","",VLOOKUP($A442,'3.框架内物料'!$A:$I,2,0))),"")</f>
        <v/>
      </c>
      <c r="G442" s="87" t="str">
        <f>IF(AND('2.报价结算清单'!$P545&gt;0,'2.报价结算清单'!$B545&lt;&gt;0,'2.报价结算清单'!H545&lt;&gt;0),'2.报价结算清单'!H545,"")</f>
        <v/>
      </c>
      <c r="H442" s="122" t="str">
        <f>IF(AND('2.报价结算清单'!$P545&gt;0,'2.报价结算清单'!$B545&lt;&gt;0,'2.报价结算清单'!$F545&lt;&gt;0),'2.报价结算清单'!J545,"")</f>
        <v/>
      </c>
      <c r="I442" s="105" t="str">
        <f>IF(AND('2.报价结算清单'!$P545&gt;0,'2.报价结算清单'!$B545&lt;&gt;0,'2.报价结算清单'!$F545&lt;&gt;0),'2.报价结算清单'!L545,"")</f>
        <v/>
      </c>
      <c r="J442" s="105" t="str">
        <f>IF(AND('2.报价结算清单'!$P545&gt;0,'2.报价结算清单'!$B545&lt;&gt;0,'2.报价结算清单'!I545&lt;&gt;0),'2.报价结算清单'!I545,"")</f>
        <v/>
      </c>
      <c r="K442" s="105" t="str">
        <f>IF(AND('2.报价结算清单'!$P545&gt;0,'2.报价结算清单'!$B545&lt;&gt;0,'2.报价结算清单'!$F545&lt;&gt;0),'2.报价结算清单'!N545,"")</f>
        <v/>
      </c>
      <c r="L442" s="105" t="str">
        <f>IF(AND('2.报价结算清单'!$P545&gt;0,'2.报价结算清单'!$B545&lt;&gt;0,'2.报价结算清单'!I545&lt;&gt;0),"天","")</f>
        <v/>
      </c>
      <c r="M442" s="80" t="str">
        <f t="shared" si="16"/>
        <v/>
      </c>
      <c r="N442" s="78" t="str">
        <f t="shared" si="17"/>
        <v/>
      </c>
      <c r="O442" s="78" t="str">
        <f>IF(AND('2.报价结算清单'!$P545&gt;0,'2.报价结算清单'!$B545&lt;&gt;0,'2.报价结算清单'!S545&lt;&gt;0),'2.报价结算清单'!S545,"")</f>
        <v/>
      </c>
      <c r="P442" s="78" t="str">
        <f>IF(AND('2.报价结算清单'!$P545&gt;0,'2.报价结算清单'!$B545&lt;&gt;0,'2.报价结算清单'!T545&lt;&gt;0),'2.报价结算清单'!T545,"")</f>
        <v/>
      </c>
      <c r="Q442" s="78" t="str">
        <f>IF(F442="",J442,VLOOKUP(F442,框架条目清单!A:K,4,FALSE))</f>
        <v/>
      </c>
      <c r="R442" s="106" t="str">
        <f>IF($A442="","",'2.报价结算清单'!$K$183)</f>
        <v/>
      </c>
      <c r="S442" s="80" t="str">
        <f>IF($A442="","",'2.报价结算清单'!$E$183)</f>
        <v/>
      </c>
      <c r="T442" s="78" t="str">
        <f>IF(F442="","",VLOOKUP(F442,框架条目清单!A:K,7,FALSE))</f>
        <v/>
      </c>
      <c r="U442" s="78" t="str">
        <f>IF(F442="","",VLOOKUP(F442,框架条目清单!A:K,8,FALSE))</f>
        <v/>
      </c>
      <c r="V442" s="78" t="str">
        <f>IF(F442="","",VLOOKUP(F442,框架条目清单!A:K,9,FALSE))</f>
        <v/>
      </c>
    </row>
    <row r="443" spans="1:22">
      <c r="A443" s="78" t="str">
        <f>IF(AND('2.报价结算清单'!$P546&gt;0,'2.报价结算清单'!$B546&lt;&gt;0,'2.报价结算清单'!$F546&lt;&gt;0),'2.报价结算清单'!$F546,"")</f>
        <v/>
      </c>
      <c r="B443" s="78" t="str">
        <f>_xlfn.IFNA(VLOOKUP(A443,'3.框架内物料'!$A:$I,3,0),A443)</f>
        <v/>
      </c>
      <c r="C443" s="78" t="str">
        <f>IF(AND('2.报价结算清单'!$P546&gt;0,'2.报价结算清单'!$B546&lt;&gt;0,'2.报价结算清单'!C546&lt;&gt;0),'2.报价结算清单'!C546,"")</f>
        <v/>
      </c>
      <c r="D443" s="78" t="str">
        <f>IF(AND('2.报价结算清单'!$P546&gt;0,'2.报价结算清单'!$B546&lt;&gt;0,'2.报价结算清单'!D546&lt;&gt;0),'2.报价结算清单'!D546,"")</f>
        <v/>
      </c>
      <c r="E443" s="78" t="str">
        <f>IF(AND('2.报价结算清单'!$P546&gt;0,'2.报价结算清单'!$B546&lt;&gt;0,'2.报价结算清单'!E546&lt;&gt;0),'2.报价结算清单'!E546,"")</f>
        <v/>
      </c>
      <c r="F443" s="105" t="str">
        <f>_xlfn.IFNA(IF($A443="","",IF(VLOOKUP($A443,'3.框架内物料'!$A:$I,2,0)="","",VLOOKUP($A443,'3.框架内物料'!$A:$I,2,0))),"")</f>
        <v/>
      </c>
      <c r="G443" s="87" t="str">
        <f>IF(AND('2.报价结算清单'!$P546&gt;0,'2.报价结算清单'!$B546&lt;&gt;0,'2.报价结算清单'!H546&lt;&gt;0),'2.报价结算清单'!H546,"")</f>
        <v/>
      </c>
      <c r="H443" s="122" t="str">
        <f>IF(AND('2.报价结算清单'!$P546&gt;0,'2.报价结算清单'!$B546&lt;&gt;0,'2.报价结算清单'!$F546&lt;&gt;0),'2.报价结算清单'!J546,"")</f>
        <v/>
      </c>
      <c r="I443" s="105" t="str">
        <f>IF(AND('2.报价结算清单'!$P546&gt;0,'2.报价结算清单'!$B546&lt;&gt;0,'2.报价结算清单'!$F546&lt;&gt;0),'2.报价结算清单'!L546,"")</f>
        <v/>
      </c>
      <c r="J443" s="105" t="str">
        <f>IF(AND('2.报价结算清单'!$P546&gt;0,'2.报价结算清单'!$B546&lt;&gt;0,'2.报价结算清单'!I546&lt;&gt;0),'2.报价结算清单'!I546,"")</f>
        <v/>
      </c>
      <c r="K443" s="105" t="str">
        <f>IF(AND('2.报价结算清单'!$P546&gt;0,'2.报价结算清单'!$B546&lt;&gt;0,'2.报价结算清单'!$F546&lt;&gt;0),'2.报价结算清单'!N546,"")</f>
        <v/>
      </c>
      <c r="L443" s="105" t="str">
        <f>IF(AND('2.报价结算清单'!$P546&gt;0,'2.报价结算清单'!$B546&lt;&gt;0,'2.报价结算清单'!I546&lt;&gt;0),"天","")</f>
        <v/>
      </c>
      <c r="M443" s="80" t="str">
        <f t="shared" si="16"/>
        <v/>
      </c>
      <c r="N443" s="78" t="str">
        <f t="shared" si="17"/>
        <v/>
      </c>
      <c r="O443" s="78" t="str">
        <f>IF(AND('2.报价结算清单'!$P546&gt;0,'2.报价结算清单'!$B546&lt;&gt;0,'2.报价结算清单'!S546&lt;&gt;0),'2.报价结算清单'!S546,"")</f>
        <v/>
      </c>
      <c r="P443" s="78" t="str">
        <f>IF(AND('2.报价结算清单'!$P546&gt;0,'2.报价结算清单'!$B546&lt;&gt;0,'2.报价结算清单'!T546&lt;&gt;0),'2.报价结算清单'!T546,"")</f>
        <v/>
      </c>
      <c r="Q443" s="78" t="str">
        <f>IF(F443="",J443,VLOOKUP(F443,框架条目清单!A:K,4,FALSE))</f>
        <v/>
      </c>
      <c r="R443" s="106" t="str">
        <f>IF($A443="","",'2.报价结算清单'!$K$183)</f>
        <v/>
      </c>
      <c r="S443" s="80" t="str">
        <f>IF($A443="","",'2.报价结算清单'!$E$183)</f>
        <v/>
      </c>
      <c r="T443" s="78" t="str">
        <f>IF(F443="","",VLOOKUP(F443,框架条目清单!A:K,7,FALSE))</f>
        <v/>
      </c>
      <c r="U443" s="78" t="str">
        <f>IF(F443="","",VLOOKUP(F443,框架条目清单!A:K,8,FALSE))</f>
        <v/>
      </c>
      <c r="V443" s="78" t="str">
        <f>IF(F443="","",VLOOKUP(F443,框架条目清单!A:K,9,FALSE))</f>
        <v/>
      </c>
    </row>
    <row r="444" spans="1:22">
      <c r="A444" s="78" t="str">
        <f>IF(AND('2.报价结算清单'!$P547&gt;0,'2.报价结算清单'!$B547&lt;&gt;0,'2.报价结算清单'!$F547&lt;&gt;0),'2.报价结算清单'!$F547,"")</f>
        <v/>
      </c>
      <c r="B444" s="78" t="str">
        <f>_xlfn.IFNA(VLOOKUP(A444,'3.框架内物料'!$A:$I,3,0),A444)</f>
        <v/>
      </c>
      <c r="C444" s="78" t="str">
        <f>IF(AND('2.报价结算清单'!$P547&gt;0,'2.报价结算清单'!$B547&lt;&gt;0,'2.报价结算清单'!C547&lt;&gt;0),'2.报价结算清单'!C547,"")</f>
        <v/>
      </c>
      <c r="D444" s="78" t="str">
        <f>IF(AND('2.报价结算清单'!$P547&gt;0,'2.报价结算清单'!$B547&lt;&gt;0,'2.报价结算清单'!D547&lt;&gt;0),'2.报价结算清单'!D547,"")</f>
        <v/>
      </c>
      <c r="E444" s="78" t="str">
        <f>IF(AND('2.报价结算清单'!$P547&gt;0,'2.报价结算清单'!$B547&lt;&gt;0,'2.报价结算清单'!E547&lt;&gt;0),'2.报价结算清单'!E547,"")</f>
        <v/>
      </c>
      <c r="F444" s="105" t="str">
        <f>_xlfn.IFNA(IF($A444="","",IF(VLOOKUP($A444,'3.框架内物料'!$A:$I,2,0)="","",VLOOKUP($A444,'3.框架内物料'!$A:$I,2,0))),"")</f>
        <v/>
      </c>
      <c r="G444" s="87" t="str">
        <f>IF(AND('2.报价结算清单'!$P547&gt;0,'2.报价结算清单'!$B547&lt;&gt;0,'2.报价结算清单'!H547&lt;&gt;0),'2.报价结算清单'!H547,"")</f>
        <v/>
      </c>
      <c r="H444" s="122" t="str">
        <f>IF(AND('2.报价结算清单'!$P547&gt;0,'2.报价结算清单'!$B547&lt;&gt;0,'2.报价结算清单'!$F547&lt;&gt;0),'2.报价结算清单'!J547,"")</f>
        <v/>
      </c>
      <c r="I444" s="105" t="str">
        <f>IF(AND('2.报价结算清单'!$P547&gt;0,'2.报价结算清单'!$B547&lt;&gt;0,'2.报价结算清单'!$F547&lt;&gt;0),'2.报价结算清单'!L547,"")</f>
        <v/>
      </c>
      <c r="J444" s="105" t="str">
        <f>IF(AND('2.报价结算清单'!$P547&gt;0,'2.报价结算清单'!$B547&lt;&gt;0,'2.报价结算清单'!I547&lt;&gt;0),'2.报价结算清单'!I547,"")</f>
        <v/>
      </c>
      <c r="K444" s="105" t="str">
        <f>IF(AND('2.报价结算清单'!$P547&gt;0,'2.报价结算清单'!$B547&lt;&gt;0,'2.报价结算清单'!$F547&lt;&gt;0),'2.报价结算清单'!N547,"")</f>
        <v/>
      </c>
      <c r="L444" s="105" t="str">
        <f>IF(AND('2.报价结算清单'!$P547&gt;0,'2.报价结算清单'!$B547&lt;&gt;0,'2.报价结算清单'!I547&lt;&gt;0),"天","")</f>
        <v/>
      </c>
      <c r="M444" s="80" t="str">
        <f t="shared" si="16"/>
        <v/>
      </c>
      <c r="N444" s="78" t="str">
        <f t="shared" si="17"/>
        <v/>
      </c>
      <c r="O444" s="78" t="str">
        <f>IF(AND('2.报价结算清单'!$P547&gt;0,'2.报价结算清单'!$B547&lt;&gt;0,'2.报价结算清单'!S547&lt;&gt;0),'2.报价结算清单'!S547,"")</f>
        <v/>
      </c>
      <c r="P444" s="78" t="str">
        <f>IF(AND('2.报价结算清单'!$P547&gt;0,'2.报价结算清单'!$B547&lt;&gt;0,'2.报价结算清单'!T547&lt;&gt;0),'2.报价结算清单'!T547,"")</f>
        <v/>
      </c>
      <c r="Q444" s="78" t="str">
        <f>IF(F444="",J444,VLOOKUP(F444,框架条目清单!A:K,4,FALSE))</f>
        <v/>
      </c>
      <c r="R444" s="106" t="str">
        <f>IF($A444="","",'2.报价结算清单'!$K$183)</f>
        <v/>
      </c>
      <c r="S444" s="80" t="str">
        <f>IF($A444="","",'2.报价结算清单'!$E$183)</f>
        <v/>
      </c>
      <c r="T444" s="78" t="str">
        <f>IF(F444="","",VLOOKUP(F444,框架条目清单!A:K,7,FALSE))</f>
        <v/>
      </c>
      <c r="U444" s="78" t="str">
        <f>IF(F444="","",VLOOKUP(F444,框架条目清单!A:K,8,FALSE))</f>
        <v/>
      </c>
      <c r="V444" s="78" t="str">
        <f>IF(F444="","",VLOOKUP(F444,框架条目清单!A:K,9,FALSE))</f>
        <v/>
      </c>
    </row>
    <row r="445" spans="1:22">
      <c r="A445" s="78" t="str">
        <f>IF(AND('2.报价结算清单'!$P548&gt;0,'2.报价结算清单'!$B548&lt;&gt;0,'2.报价结算清单'!$F548&lt;&gt;0),'2.报价结算清单'!$F548,"")</f>
        <v/>
      </c>
      <c r="B445" s="78" t="str">
        <f>_xlfn.IFNA(VLOOKUP(A445,'3.框架内物料'!$A:$I,3,0),A445)</f>
        <v/>
      </c>
      <c r="C445" s="78" t="str">
        <f>IF(AND('2.报价结算清单'!$P548&gt;0,'2.报价结算清单'!$B548&lt;&gt;0,'2.报价结算清单'!C548&lt;&gt;0),'2.报价结算清单'!C548,"")</f>
        <v/>
      </c>
      <c r="D445" s="78" t="str">
        <f>IF(AND('2.报价结算清单'!$P548&gt;0,'2.报价结算清单'!$B548&lt;&gt;0,'2.报价结算清单'!D548&lt;&gt;0),'2.报价结算清单'!D548,"")</f>
        <v/>
      </c>
      <c r="E445" s="78" t="str">
        <f>IF(AND('2.报价结算清单'!$P548&gt;0,'2.报价结算清单'!$B548&lt;&gt;0,'2.报价结算清单'!E548&lt;&gt;0),'2.报价结算清单'!E548,"")</f>
        <v/>
      </c>
      <c r="F445" s="105" t="str">
        <f>_xlfn.IFNA(IF($A445="","",IF(VLOOKUP($A445,'3.框架内物料'!$A:$I,2,0)="","",VLOOKUP($A445,'3.框架内物料'!$A:$I,2,0))),"")</f>
        <v/>
      </c>
      <c r="G445" s="87" t="str">
        <f>IF(AND('2.报价结算清单'!$P548&gt;0,'2.报价结算清单'!$B548&lt;&gt;0,'2.报价结算清单'!H548&lt;&gt;0),'2.报价结算清单'!H548,"")</f>
        <v/>
      </c>
      <c r="H445" s="122" t="str">
        <f>IF(AND('2.报价结算清单'!$P548&gt;0,'2.报价结算清单'!$B548&lt;&gt;0,'2.报价结算清单'!$F548&lt;&gt;0),'2.报价结算清单'!J548,"")</f>
        <v/>
      </c>
      <c r="I445" s="105" t="str">
        <f>IF(AND('2.报价结算清单'!$P548&gt;0,'2.报价结算清单'!$B548&lt;&gt;0,'2.报价结算清单'!$F548&lt;&gt;0),'2.报价结算清单'!L548,"")</f>
        <v/>
      </c>
      <c r="J445" s="105" t="str">
        <f>IF(AND('2.报价结算清单'!$P548&gt;0,'2.报价结算清单'!$B548&lt;&gt;0,'2.报价结算清单'!I548&lt;&gt;0),'2.报价结算清单'!I548,"")</f>
        <v/>
      </c>
      <c r="K445" s="105" t="str">
        <f>IF(AND('2.报价结算清单'!$P548&gt;0,'2.报价结算清单'!$B548&lt;&gt;0,'2.报价结算清单'!$F548&lt;&gt;0),'2.报价结算清单'!N548,"")</f>
        <v/>
      </c>
      <c r="L445" s="105" t="str">
        <f>IF(AND('2.报价结算清单'!$P548&gt;0,'2.报价结算清单'!$B548&lt;&gt;0,'2.报价结算清单'!I548&lt;&gt;0),"天","")</f>
        <v/>
      </c>
      <c r="M445" s="80" t="str">
        <f t="shared" si="16"/>
        <v/>
      </c>
      <c r="N445" s="78" t="str">
        <f t="shared" si="17"/>
        <v/>
      </c>
      <c r="O445" s="78" t="str">
        <f>IF(AND('2.报价结算清单'!$P548&gt;0,'2.报价结算清单'!$B548&lt;&gt;0,'2.报价结算清单'!S548&lt;&gt;0),'2.报价结算清单'!S548,"")</f>
        <v/>
      </c>
      <c r="P445" s="78" t="str">
        <f>IF(AND('2.报价结算清单'!$P548&gt;0,'2.报价结算清单'!$B548&lt;&gt;0,'2.报价结算清单'!T548&lt;&gt;0),'2.报价结算清单'!T548,"")</f>
        <v/>
      </c>
      <c r="Q445" s="78" t="str">
        <f>IF(F445="",J445,VLOOKUP(F445,框架条目清单!A:K,4,FALSE))</f>
        <v/>
      </c>
      <c r="R445" s="106" t="str">
        <f>IF($A445="","",'2.报价结算清单'!$K$183)</f>
        <v/>
      </c>
      <c r="S445" s="80" t="str">
        <f>IF($A445="","",'2.报价结算清单'!$E$183)</f>
        <v/>
      </c>
      <c r="T445" s="78" t="str">
        <f>IF(F445="","",VLOOKUP(F445,框架条目清单!A:K,7,FALSE))</f>
        <v/>
      </c>
      <c r="U445" s="78" t="str">
        <f>IF(F445="","",VLOOKUP(F445,框架条目清单!A:K,8,FALSE))</f>
        <v/>
      </c>
      <c r="V445" s="78" t="str">
        <f>IF(F445="","",VLOOKUP(F445,框架条目清单!A:K,9,FALSE))</f>
        <v/>
      </c>
    </row>
    <row r="446" spans="1:22">
      <c r="A446" s="78" t="str">
        <f>IF(AND('2.报价结算清单'!$P549&gt;0,'2.报价结算清单'!$B549&lt;&gt;0,'2.报价结算清单'!$F549&lt;&gt;0),'2.报价结算清单'!$F549,"")</f>
        <v/>
      </c>
      <c r="B446" s="78" t="str">
        <f>_xlfn.IFNA(VLOOKUP(A446,'3.框架内物料'!$A:$I,3,0),A446)</f>
        <v/>
      </c>
      <c r="C446" s="78" t="str">
        <f>IF(AND('2.报价结算清单'!$P549&gt;0,'2.报价结算清单'!$B549&lt;&gt;0,'2.报价结算清单'!C549&lt;&gt;0),'2.报价结算清单'!C549,"")</f>
        <v/>
      </c>
      <c r="D446" s="78" t="str">
        <f>IF(AND('2.报价结算清单'!$P549&gt;0,'2.报价结算清单'!$B549&lt;&gt;0,'2.报价结算清单'!D549&lt;&gt;0),'2.报价结算清单'!D549,"")</f>
        <v/>
      </c>
      <c r="E446" s="78" t="str">
        <f>IF(AND('2.报价结算清单'!$P549&gt;0,'2.报价结算清单'!$B549&lt;&gt;0,'2.报价结算清单'!E549&lt;&gt;0),'2.报价结算清单'!E549,"")</f>
        <v/>
      </c>
      <c r="F446" s="105" t="str">
        <f>_xlfn.IFNA(IF($A446="","",IF(VLOOKUP($A446,'3.框架内物料'!$A:$I,2,0)="","",VLOOKUP($A446,'3.框架内物料'!$A:$I,2,0))),"")</f>
        <v/>
      </c>
      <c r="G446" s="87" t="str">
        <f>IF(AND('2.报价结算清单'!$P549&gt;0,'2.报价结算清单'!$B549&lt;&gt;0,'2.报价结算清单'!H549&lt;&gt;0),'2.报价结算清单'!H549,"")</f>
        <v/>
      </c>
      <c r="H446" s="122" t="str">
        <f>IF(AND('2.报价结算清单'!$P549&gt;0,'2.报价结算清单'!$B549&lt;&gt;0,'2.报价结算清单'!$F549&lt;&gt;0),'2.报价结算清单'!J549,"")</f>
        <v/>
      </c>
      <c r="I446" s="105" t="str">
        <f>IF(AND('2.报价结算清单'!$P549&gt;0,'2.报价结算清单'!$B549&lt;&gt;0,'2.报价结算清单'!$F549&lt;&gt;0),'2.报价结算清单'!L549,"")</f>
        <v/>
      </c>
      <c r="J446" s="105" t="str">
        <f>IF(AND('2.报价结算清单'!$P549&gt;0,'2.报价结算清单'!$B549&lt;&gt;0,'2.报价结算清单'!I549&lt;&gt;0),'2.报价结算清单'!I549,"")</f>
        <v/>
      </c>
      <c r="K446" s="105" t="str">
        <f>IF(AND('2.报价结算清单'!$P549&gt;0,'2.报价结算清单'!$B549&lt;&gt;0,'2.报价结算清单'!$F549&lt;&gt;0),'2.报价结算清单'!N549,"")</f>
        <v/>
      </c>
      <c r="L446" s="105" t="str">
        <f>IF(AND('2.报价结算清单'!$P549&gt;0,'2.报价结算清单'!$B549&lt;&gt;0,'2.报价结算清单'!I549&lt;&gt;0),"天","")</f>
        <v/>
      </c>
      <c r="M446" s="80" t="str">
        <f t="shared" si="16"/>
        <v/>
      </c>
      <c r="N446" s="78" t="str">
        <f t="shared" si="17"/>
        <v/>
      </c>
      <c r="O446" s="78" t="str">
        <f>IF(AND('2.报价结算清单'!$P549&gt;0,'2.报价结算清单'!$B549&lt;&gt;0,'2.报价结算清单'!S549&lt;&gt;0),'2.报价结算清单'!S549,"")</f>
        <v/>
      </c>
      <c r="P446" s="78" t="str">
        <f>IF(AND('2.报价结算清单'!$P549&gt;0,'2.报价结算清单'!$B549&lt;&gt;0,'2.报价结算清单'!T549&lt;&gt;0),'2.报价结算清单'!T549,"")</f>
        <v/>
      </c>
      <c r="Q446" s="78" t="str">
        <f>IF(F446="",J446,VLOOKUP(F446,框架条目清单!A:K,4,FALSE))</f>
        <v/>
      </c>
      <c r="R446" s="106" t="str">
        <f>IF($A446="","",'2.报价结算清单'!$K$183)</f>
        <v/>
      </c>
      <c r="S446" s="80" t="str">
        <f>IF($A446="","",'2.报价结算清单'!$E$183)</f>
        <v/>
      </c>
      <c r="T446" s="78" t="str">
        <f>IF(F446="","",VLOOKUP(F446,框架条目清单!A:K,7,FALSE))</f>
        <v/>
      </c>
      <c r="U446" s="78" t="str">
        <f>IF(F446="","",VLOOKUP(F446,框架条目清单!A:K,8,FALSE))</f>
        <v/>
      </c>
      <c r="V446" s="78" t="str">
        <f>IF(F446="","",VLOOKUP(F446,框架条目清单!A:K,9,FALSE))</f>
        <v/>
      </c>
    </row>
    <row r="447" spans="1:22">
      <c r="A447" s="78" t="str">
        <f>IF(AND('2.报价结算清单'!$P550&gt;0,'2.报价结算清单'!$B550&lt;&gt;0,'2.报价结算清单'!$F550&lt;&gt;0),'2.报价结算清单'!$F550,"")</f>
        <v/>
      </c>
      <c r="B447" s="78" t="str">
        <f>_xlfn.IFNA(VLOOKUP(A447,'3.框架内物料'!$A:$I,3,0),A447)</f>
        <v/>
      </c>
      <c r="C447" s="78" t="str">
        <f>IF(AND('2.报价结算清单'!$P550&gt;0,'2.报价结算清单'!$B550&lt;&gt;0,'2.报价结算清单'!C550&lt;&gt;0),'2.报价结算清单'!C550,"")</f>
        <v/>
      </c>
      <c r="D447" s="78" t="str">
        <f>IF(AND('2.报价结算清单'!$P550&gt;0,'2.报价结算清单'!$B550&lt;&gt;0,'2.报价结算清单'!D550&lt;&gt;0),'2.报价结算清单'!D550,"")</f>
        <v/>
      </c>
      <c r="E447" s="78" t="str">
        <f>IF(AND('2.报价结算清单'!$P550&gt;0,'2.报价结算清单'!$B550&lt;&gt;0,'2.报价结算清单'!E550&lt;&gt;0),'2.报价结算清单'!E550,"")</f>
        <v/>
      </c>
      <c r="F447" s="105" t="str">
        <f>_xlfn.IFNA(IF($A447="","",IF(VLOOKUP($A447,'3.框架内物料'!$A:$I,2,0)="","",VLOOKUP($A447,'3.框架内物料'!$A:$I,2,0))),"")</f>
        <v/>
      </c>
      <c r="G447" s="87" t="str">
        <f>IF(AND('2.报价结算清单'!$P550&gt;0,'2.报价结算清单'!$B550&lt;&gt;0,'2.报价结算清单'!H550&lt;&gt;0),'2.报价结算清单'!H550,"")</f>
        <v/>
      </c>
      <c r="H447" s="122" t="str">
        <f>IF(AND('2.报价结算清单'!$P550&gt;0,'2.报价结算清单'!$B550&lt;&gt;0,'2.报价结算清单'!$F550&lt;&gt;0),'2.报价结算清单'!J550,"")</f>
        <v/>
      </c>
      <c r="I447" s="105" t="str">
        <f>IF(AND('2.报价结算清单'!$P550&gt;0,'2.报价结算清单'!$B550&lt;&gt;0,'2.报价结算清单'!$F550&lt;&gt;0),'2.报价结算清单'!L550,"")</f>
        <v/>
      </c>
      <c r="J447" s="105" t="str">
        <f>IF(AND('2.报价结算清单'!$P550&gt;0,'2.报价结算清单'!$B550&lt;&gt;0,'2.报价结算清单'!I550&lt;&gt;0),'2.报价结算清单'!I550,"")</f>
        <v/>
      </c>
      <c r="K447" s="105" t="str">
        <f>IF(AND('2.报价结算清单'!$P550&gt;0,'2.报价结算清单'!$B550&lt;&gt;0,'2.报价结算清单'!$F550&lt;&gt;0),'2.报价结算清单'!N550,"")</f>
        <v/>
      </c>
      <c r="L447" s="105" t="str">
        <f>IF(AND('2.报价结算清单'!$P550&gt;0,'2.报价结算清单'!$B550&lt;&gt;0,'2.报价结算清单'!I550&lt;&gt;0),"天","")</f>
        <v/>
      </c>
      <c r="M447" s="80" t="str">
        <f t="shared" si="16"/>
        <v/>
      </c>
      <c r="N447" s="78" t="str">
        <f t="shared" si="17"/>
        <v/>
      </c>
      <c r="O447" s="78" t="str">
        <f>IF(AND('2.报价结算清单'!$P550&gt;0,'2.报价结算清单'!$B550&lt;&gt;0,'2.报价结算清单'!S550&lt;&gt;0),'2.报价结算清单'!S550,"")</f>
        <v/>
      </c>
      <c r="P447" s="78" t="str">
        <f>IF(AND('2.报价结算清单'!$P550&gt;0,'2.报价结算清单'!$B550&lt;&gt;0,'2.报价结算清单'!T550&lt;&gt;0),'2.报价结算清单'!T550,"")</f>
        <v/>
      </c>
      <c r="Q447" s="78" t="str">
        <f>IF(F447="",J447,VLOOKUP(F447,框架条目清单!A:K,4,FALSE))</f>
        <v/>
      </c>
      <c r="R447" s="106" t="str">
        <f>IF($A447="","",'2.报价结算清单'!$K$183)</f>
        <v/>
      </c>
      <c r="S447" s="80" t="str">
        <f>IF($A447="","",'2.报价结算清单'!$E$183)</f>
        <v/>
      </c>
      <c r="T447" s="78" t="str">
        <f>IF(F447="","",VLOOKUP(F447,框架条目清单!A:K,7,FALSE))</f>
        <v/>
      </c>
      <c r="U447" s="78" t="str">
        <f>IF(F447="","",VLOOKUP(F447,框架条目清单!A:K,8,FALSE))</f>
        <v/>
      </c>
      <c r="V447" s="78" t="str">
        <f>IF(F447="","",VLOOKUP(F447,框架条目清单!A:K,9,FALSE))</f>
        <v/>
      </c>
    </row>
    <row r="448" spans="1:22">
      <c r="A448" s="78" t="str">
        <f>IF(AND('2.报价结算清单'!$P551&gt;0,'2.报价结算清单'!$B551&lt;&gt;0,'2.报价结算清单'!$F551&lt;&gt;0),'2.报价结算清单'!$F551,"")</f>
        <v/>
      </c>
      <c r="B448" s="78" t="str">
        <f>_xlfn.IFNA(VLOOKUP(A448,'3.框架内物料'!$A:$I,3,0),A448)</f>
        <v/>
      </c>
      <c r="C448" s="78" t="str">
        <f>IF(AND('2.报价结算清单'!$P551&gt;0,'2.报价结算清单'!$B551&lt;&gt;0,'2.报价结算清单'!C551&lt;&gt;0),'2.报价结算清单'!C551,"")</f>
        <v/>
      </c>
      <c r="D448" s="78" t="str">
        <f>IF(AND('2.报价结算清单'!$P551&gt;0,'2.报价结算清单'!$B551&lt;&gt;0,'2.报价结算清单'!D551&lt;&gt;0),'2.报价结算清单'!D551,"")</f>
        <v/>
      </c>
      <c r="E448" s="78" t="str">
        <f>IF(AND('2.报价结算清单'!$P551&gt;0,'2.报价结算清单'!$B551&lt;&gt;0,'2.报价结算清单'!E551&lt;&gt;0),'2.报价结算清单'!E551,"")</f>
        <v/>
      </c>
      <c r="F448" s="105" t="str">
        <f>_xlfn.IFNA(IF($A448="","",IF(VLOOKUP($A448,'3.框架内物料'!$A:$I,2,0)="","",VLOOKUP($A448,'3.框架内物料'!$A:$I,2,0))),"")</f>
        <v/>
      </c>
      <c r="G448" s="87" t="str">
        <f>IF(AND('2.报价结算清单'!$P551&gt;0,'2.报价结算清单'!$B551&lt;&gt;0,'2.报价结算清单'!H551&lt;&gt;0),'2.报价结算清单'!H551,"")</f>
        <v/>
      </c>
      <c r="H448" s="122" t="str">
        <f>IF(AND('2.报价结算清单'!$P551&gt;0,'2.报价结算清单'!$B551&lt;&gt;0,'2.报价结算清单'!$F551&lt;&gt;0),'2.报价结算清单'!J551,"")</f>
        <v/>
      </c>
      <c r="I448" s="105" t="str">
        <f>IF(AND('2.报价结算清单'!$P551&gt;0,'2.报价结算清单'!$B551&lt;&gt;0,'2.报价结算清单'!$F551&lt;&gt;0),'2.报价结算清单'!L551,"")</f>
        <v/>
      </c>
      <c r="J448" s="105" t="str">
        <f>IF(AND('2.报价结算清单'!$P551&gt;0,'2.报价结算清单'!$B551&lt;&gt;0,'2.报价结算清单'!I551&lt;&gt;0),'2.报价结算清单'!I551,"")</f>
        <v/>
      </c>
      <c r="K448" s="105" t="str">
        <f>IF(AND('2.报价结算清单'!$P551&gt;0,'2.报价结算清单'!$B551&lt;&gt;0,'2.报价结算清单'!$F551&lt;&gt;0),'2.报价结算清单'!N551,"")</f>
        <v/>
      </c>
      <c r="L448" s="105" t="str">
        <f>IF(AND('2.报价结算清单'!$P551&gt;0,'2.报价结算清单'!$B551&lt;&gt;0,'2.报价结算清单'!I551&lt;&gt;0),"天","")</f>
        <v/>
      </c>
      <c r="M448" s="80" t="str">
        <f t="shared" si="16"/>
        <v/>
      </c>
      <c r="N448" s="78" t="str">
        <f t="shared" si="17"/>
        <v/>
      </c>
      <c r="O448" s="78" t="str">
        <f>IF(AND('2.报价结算清单'!$P551&gt;0,'2.报价结算清单'!$B551&lt;&gt;0,'2.报价结算清单'!S551&lt;&gt;0),'2.报价结算清单'!S551,"")</f>
        <v/>
      </c>
      <c r="P448" s="78" t="str">
        <f>IF(AND('2.报价结算清单'!$P551&gt;0,'2.报价结算清单'!$B551&lt;&gt;0,'2.报价结算清单'!T551&lt;&gt;0),'2.报价结算清单'!T551,"")</f>
        <v/>
      </c>
      <c r="Q448" s="78" t="str">
        <f>IF(F448="",J448,VLOOKUP(F448,框架条目清单!A:K,4,FALSE))</f>
        <v/>
      </c>
      <c r="R448" s="106" t="str">
        <f>IF($A448="","",'2.报价结算清单'!$K$183)</f>
        <v/>
      </c>
      <c r="S448" s="80" t="str">
        <f>IF($A448="","",'2.报价结算清单'!$E$183)</f>
        <v/>
      </c>
      <c r="T448" s="78" t="str">
        <f>IF(F448="","",VLOOKUP(F448,框架条目清单!A:K,7,FALSE))</f>
        <v/>
      </c>
      <c r="U448" s="78" t="str">
        <f>IF(F448="","",VLOOKUP(F448,框架条目清单!A:K,8,FALSE))</f>
        <v/>
      </c>
      <c r="V448" s="78" t="str">
        <f>IF(F448="","",VLOOKUP(F448,框架条目清单!A:K,9,FALSE))</f>
        <v/>
      </c>
    </row>
    <row r="449" spans="1:22">
      <c r="A449" s="78" t="str">
        <f>IF(AND('2.报价结算清单'!$P552&gt;0,'2.报价结算清单'!$B552&lt;&gt;0,'2.报价结算清单'!$F552&lt;&gt;0),'2.报价结算清单'!$F552,"")</f>
        <v/>
      </c>
      <c r="B449" s="78" t="str">
        <f>_xlfn.IFNA(VLOOKUP(A449,'3.框架内物料'!$A:$I,3,0),A449)</f>
        <v/>
      </c>
      <c r="C449" s="78" t="str">
        <f>IF(AND('2.报价结算清单'!$P552&gt;0,'2.报价结算清单'!$B552&lt;&gt;0,'2.报价结算清单'!C552&lt;&gt;0),'2.报价结算清单'!C552,"")</f>
        <v/>
      </c>
      <c r="D449" s="78" t="str">
        <f>IF(AND('2.报价结算清单'!$P552&gt;0,'2.报价结算清单'!$B552&lt;&gt;0,'2.报价结算清单'!D552&lt;&gt;0),'2.报价结算清单'!D552,"")</f>
        <v/>
      </c>
      <c r="E449" s="78" t="str">
        <f>IF(AND('2.报价结算清单'!$P552&gt;0,'2.报价结算清单'!$B552&lt;&gt;0,'2.报价结算清单'!E552&lt;&gt;0),'2.报价结算清单'!E552,"")</f>
        <v/>
      </c>
      <c r="F449" s="105" t="str">
        <f>_xlfn.IFNA(IF($A449="","",IF(VLOOKUP($A449,'3.框架内物料'!$A:$I,2,0)="","",VLOOKUP($A449,'3.框架内物料'!$A:$I,2,0))),"")</f>
        <v/>
      </c>
      <c r="G449" s="87" t="str">
        <f>IF(AND('2.报价结算清单'!$P552&gt;0,'2.报价结算清单'!$B552&lt;&gt;0,'2.报价结算清单'!H552&lt;&gt;0),'2.报价结算清单'!H552,"")</f>
        <v/>
      </c>
      <c r="H449" s="122" t="str">
        <f>IF(AND('2.报价结算清单'!$P552&gt;0,'2.报价结算清单'!$B552&lt;&gt;0,'2.报价结算清单'!$F552&lt;&gt;0),'2.报价结算清单'!J552,"")</f>
        <v/>
      </c>
      <c r="I449" s="105" t="str">
        <f>IF(AND('2.报价结算清单'!$P552&gt;0,'2.报价结算清单'!$B552&lt;&gt;0,'2.报价结算清单'!$F552&lt;&gt;0),'2.报价结算清单'!L552,"")</f>
        <v/>
      </c>
      <c r="J449" s="105" t="str">
        <f>IF(AND('2.报价结算清单'!$P552&gt;0,'2.报价结算清单'!$B552&lt;&gt;0,'2.报价结算清单'!I552&lt;&gt;0),'2.报价结算清单'!I552,"")</f>
        <v/>
      </c>
      <c r="K449" s="105" t="str">
        <f>IF(AND('2.报价结算清单'!$P552&gt;0,'2.报价结算清单'!$B552&lt;&gt;0,'2.报价结算清单'!$F552&lt;&gt;0),'2.报价结算清单'!N552,"")</f>
        <v/>
      </c>
      <c r="L449" s="105" t="str">
        <f>IF(AND('2.报价结算清单'!$P552&gt;0,'2.报价结算清单'!$B552&lt;&gt;0,'2.报价结算清单'!I552&lt;&gt;0),"天","")</f>
        <v/>
      </c>
      <c r="M449" s="80" t="str">
        <f t="shared" si="16"/>
        <v/>
      </c>
      <c r="N449" s="78" t="str">
        <f t="shared" si="17"/>
        <v/>
      </c>
      <c r="O449" s="78" t="str">
        <f>IF(AND('2.报价结算清单'!$P552&gt;0,'2.报价结算清单'!$B552&lt;&gt;0,'2.报价结算清单'!S552&lt;&gt;0),'2.报价结算清单'!S552,"")</f>
        <v/>
      </c>
      <c r="P449" s="78" t="str">
        <f>IF(AND('2.报价结算清单'!$P552&gt;0,'2.报价结算清单'!$B552&lt;&gt;0,'2.报价结算清单'!T552&lt;&gt;0),'2.报价结算清单'!T552,"")</f>
        <v/>
      </c>
      <c r="Q449" s="78" t="str">
        <f>IF(F449="",J449,VLOOKUP(F449,框架条目清单!A:K,4,FALSE))</f>
        <v/>
      </c>
      <c r="R449" s="106" t="str">
        <f>IF($A449="","",'2.报价结算清单'!$K$183)</f>
        <v/>
      </c>
      <c r="S449" s="80" t="str">
        <f>IF($A449="","",'2.报价结算清单'!$E$183)</f>
        <v/>
      </c>
      <c r="T449" s="78" t="str">
        <f>IF(F449="","",VLOOKUP(F449,框架条目清单!A:K,7,FALSE))</f>
        <v/>
      </c>
      <c r="U449" s="78" t="str">
        <f>IF(F449="","",VLOOKUP(F449,框架条目清单!A:K,8,FALSE))</f>
        <v/>
      </c>
      <c r="V449" s="78" t="str">
        <f>IF(F449="","",VLOOKUP(F449,框架条目清单!A:K,9,FALSE))</f>
        <v/>
      </c>
    </row>
    <row r="450" spans="1:22">
      <c r="A450" s="78" t="str">
        <f>IF(AND('2.报价结算清单'!$P553&gt;0,'2.报价结算清单'!$B553&lt;&gt;0,'2.报价结算清单'!$F553&lt;&gt;0),'2.报价结算清单'!$F553,"")</f>
        <v/>
      </c>
      <c r="B450" s="78" t="str">
        <f>_xlfn.IFNA(VLOOKUP(A450,'3.框架内物料'!$A:$I,3,0),A450)</f>
        <v/>
      </c>
      <c r="C450" s="78" t="str">
        <f>IF(AND('2.报价结算清单'!$P553&gt;0,'2.报价结算清单'!$B553&lt;&gt;0,'2.报价结算清单'!C553&lt;&gt;0),'2.报价结算清单'!C553,"")</f>
        <v/>
      </c>
      <c r="D450" s="78" t="str">
        <f>IF(AND('2.报价结算清单'!$P553&gt;0,'2.报价结算清单'!$B553&lt;&gt;0,'2.报价结算清单'!D553&lt;&gt;0),'2.报价结算清单'!D553,"")</f>
        <v/>
      </c>
      <c r="E450" s="78" t="str">
        <f>IF(AND('2.报价结算清单'!$P553&gt;0,'2.报价结算清单'!$B553&lt;&gt;0,'2.报价结算清单'!E553&lt;&gt;0),'2.报价结算清单'!E553,"")</f>
        <v/>
      </c>
      <c r="F450" s="105" t="str">
        <f>_xlfn.IFNA(IF($A450="","",IF(VLOOKUP($A450,'3.框架内物料'!$A:$I,2,0)="","",VLOOKUP($A450,'3.框架内物料'!$A:$I,2,0))),"")</f>
        <v/>
      </c>
      <c r="G450" s="87" t="str">
        <f>IF(AND('2.报价结算清单'!$P553&gt;0,'2.报价结算清单'!$B553&lt;&gt;0,'2.报价结算清单'!H553&lt;&gt;0),'2.报价结算清单'!H553,"")</f>
        <v/>
      </c>
      <c r="H450" s="122" t="str">
        <f>IF(AND('2.报价结算清单'!$P553&gt;0,'2.报价结算清单'!$B553&lt;&gt;0,'2.报价结算清单'!$F553&lt;&gt;0),'2.报价结算清单'!J553,"")</f>
        <v/>
      </c>
      <c r="I450" s="105" t="str">
        <f>IF(AND('2.报价结算清单'!$P553&gt;0,'2.报价结算清单'!$B553&lt;&gt;0,'2.报价结算清单'!$F553&lt;&gt;0),'2.报价结算清单'!L553,"")</f>
        <v/>
      </c>
      <c r="J450" s="105" t="str">
        <f>IF(AND('2.报价结算清单'!$P553&gt;0,'2.报价结算清单'!$B553&lt;&gt;0,'2.报价结算清单'!I553&lt;&gt;0),'2.报价结算清单'!I553,"")</f>
        <v/>
      </c>
      <c r="K450" s="105" t="str">
        <f>IF(AND('2.报价结算清单'!$P553&gt;0,'2.报价结算清单'!$B553&lt;&gt;0,'2.报价结算清单'!$F553&lt;&gt;0),'2.报价结算清单'!N553,"")</f>
        <v/>
      </c>
      <c r="L450" s="105" t="str">
        <f>IF(AND('2.报价结算清单'!$P553&gt;0,'2.报价结算清单'!$B553&lt;&gt;0,'2.报价结算清单'!I553&lt;&gt;0),"天","")</f>
        <v/>
      </c>
      <c r="M450" s="80" t="str">
        <f t="shared" si="16"/>
        <v/>
      </c>
      <c r="N450" s="78" t="str">
        <f t="shared" si="17"/>
        <v/>
      </c>
      <c r="O450" s="78" t="str">
        <f>IF(AND('2.报价结算清单'!$P553&gt;0,'2.报价结算清单'!$B553&lt;&gt;0,'2.报价结算清单'!S553&lt;&gt;0),'2.报价结算清单'!S553,"")</f>
        <v/>
      </c>
      <c r="P450" s="78" t="str">
        <f>IF(AND('2.报价结算清单'!$P553&gt;0,'2.报价结算清单'!$B553&lt;&gt;0,'2.报价结算清单'!T553&lt;&gt;0),'2.报价结算清单'!T553,"")</f>
        <v/>
      </c>
      <c r="Q450" s="78" t="str">
        <f>IF(F450="",J450,VLOOKUP(F450,框架条目清单!A:K,4,FALSE))</f>
        <v/>
      </c>
      <c r="R450" s="106" t="str">
        <f>IF($A450="","",'2.报价结算清单'!$K$183)</f>
        <v/>
      </c>
      <c r="S450" s="80" t="str">
        <f>IF($A450="","",'2.报价结算清单'!$E$183)</f>
        <v/>
      </c>
      <c r="T450" s="78" t="str">
        <f>IF(F450="","",VLOOKUP(F450,框架条目清单!A:K,7,FALSE))</f>
        <v/>
      </c>
      <c r="U450" s="78" t="str">
        <f>IF(F450="","",VLOOKUP(F450,框架条目清单!A:K,8,FALSE))</f>
        <v/>
      </c>
      <c r="V450" s="78" t="str">
        <f>IF(F450="","",VLOOKUP(F450,框架条目清单!A:K,9,FALSE))</f>
        <v/>
      </c>
    </row>
    <row r="451" spans="1:22">
      <c r="A451" s="78" t="str">
        <f>IF(AND('2.报价结算清单'!$P554&gt;0,'2.报价结算清单'!$B554&lt;&gt;0,'2.报价结算清单'!$F554&lt;&gt;0),'2.报价结算清单'!$F554,"")</f>
        <v/>
      </c>
      <c r="B451" s="78" t="str">
        <f>_xlfn.IFNA(VLOOKUP(A451,'3.框架内物料'!$A:$I,3,0),A451)</f>
        <v/>
      </c>
      <c r="C451" s="78" t="str">
        <f>IF(AND('2.报价结算清单'!$P554&gt;0,'2.报价结算清单'!$B554&lt;&gt;0,'2.报价结算清单'!C554&lt;&gt;0),'2.报价结算清单'!C554,"")</f>
        <v/>
      </c>
      <c r="D451" s="78" t="str">
        <f>IF(AND('2.报价结算清单'!$P554&gt;0,'2.报价结算清单'!$B554&lt;&gt;0,'2.报价结算清单'!D554&lt;&gt;0),'2.报价结算清单'!D554,"")</f>
        <v/>
      </c>
      <c r="E451" s="78" t="str">
        <f>IF(AND('2.报价结算清单'!$P554&gt;0,'2.报价结算清单'!$B554&lt;&gt;0,'2.报价结算清单'!E554&lt;&gt;0),'2.报价结算清单'!E554,"")</f>
        <v/>
      </c>
      <c r="F451" s="105" t="str">
        <f>_xlfn.IFNA(IF($A451="","",IF(VLOOKUP($A451,'3.框架内物料'!$A:$I,2,0)="","",VLOOKUP($A451,'3.框架内物料'!$A:$I,2,0))),"")</f>
        <v/>
      </c>
      <c r="G451" s="87" t="str">
        <f>IF(AND('2.报价结算清单'!$P554&gt;0,'2.报价结算清单'!$B554&lt;&gt;0,'2.报价结算清单'!H554&lt;&gt;0),'2.报价结算清单'!H554,"")</f>
        <v/>
      </c>
      <c r="H451" s="122" t="str">
        <f>IF(AND('2.报价结算清单'!$P554&gt;0,'2.报价结算清单'!$B554&lt;&gt;0,'2.报价结算清单'!$F554&lt;&gt;0),'2.报价结算清单'!J554,"")</f>
        <v/>
      </c>
      <c r="I451" s="105" t="str">
        <f>IF(AND('2.报价结算清单'!$P554&gt;0,'2.报价结算清单'!$B554&lt;&gt;0,'2.报价结算清单'!$F554&lt;&gt;0),'2.报价结算清单'!L554,"")</f>
        <v/>
      </c>
      <c r="J451" s="105" t="str">
        <f>IF(AND('2.报价结算清单'!$P554&gt;0,'2.报价结算清单'!$B554&lt;&gt;0,'2.报价结算清单'!I554&lt;&gt;0),'2.报价结算清单'!I554,"")</f>
        <v/>
      </c>
      <c r="K451" s="105" t="str">
        <f>IF(AND('2.报价结算清单'!$P554&gt;0,'2.报价结算清单'!$B554&lt;&gt;0,'2.报价结算清单'!$F554&lt;&gt;0),'2.报价结算清单'!N554,"")</f>
        <v/>
      </c>
      <c r="L451" s="105" t="str">
        <f>IF(AND('2.报价结算清单'!$P554&gt;0,'2.报价结算清单'!$B554&lt;&gt;0,'2.报价结算清单'!I554&lt;&gt;0),"天","")</f>
        <v/>
      </c>
      <c r="M451" s="80" t="str">
        <f t="shared" si="16"/>
        <v/>
      </c>
      <c r="N451" s="78" t="str">
        <f t="shared" si="17"/>
        <v/>
      </c>
      <c r="O451" s="78" t="str">
        <f>IF(AND('2.报价结算清单'!$P554&gt;0,'2.报价结算清单'!$B554&lt;&gt;0,'2.报价结算清单'!S554&lt;&gt;0),'2.报价结算清单'!S554,"")</f>
        <v/>
      </c>
      <c r="P451" s="78" t="str">
        <f>IF(AND('2.报价结算清单'!$P554&gt;0,'2.报价结算清单'!$B554&lt;&gt;0,'2.报价结算清单'!T554&lt;&gt;0),'2.报价结算清单'!T554,"")</f>
        <v/>
      </c>
      <c r="Q451" s="78" t="str">
        <f>IF(F451="",J451,VLOOKUP(F451,框架条目清单!A:K,4,FALSE))</f>
        <v/>
      </c>
      <c r="R451" s="106" t="str">
        <f>IF($A451="","",'2.报价结算清单'!$K$183)</f>
        <v/>
      </c>
      <c r="S451" s="80" t="str">
        <f>IF($A451="","",'2.报价结算清单'!$E$183)</f>
        <v/>
      </c>
      <c r="T451" s="78" t="str">
        <f>IF(F451="","",VLOOKUP(F451,框架条目清单!A:K,7,FALSE))</f>
        <v/>
      </c>
      <c r="U451" s="78" t="str">
        <f>IF(F451="","",VLOOKUP(F451,框架条目清单!A:K,8,FALSE))</f>
        <v/>
      </c>
      <c r="V451" s="78" t="str">
        <f>IF(F451="","",VLOOKUP(F451,框架条目清单!A:K,9,FALSE))</f>
        <v/>
      </c>
    </row>
    <row r="452" spans="1:22">
      <c r="A452" s="78" t="str">
        <f>IF(AND('2.报价结算清单'!$P555&gt;0,'2.报价结算清单'!$B555&lt;&gt;0,'2.报价结算清单'!$F555&lt;&gt;0),'2.报价结算清单'!$F555,"")</f>
        <v/>
      </c>
      <c r="B452" s="78" t="str">
        <f>_xlfn.IFNA(VLOOKUP(A452,'3.框架内物料'!$A:$I,3,0),A452)</f>
        <v/>
      </c>
      <c r="C452" s="78" t="str">
        <f>IF(AND('2.报价结算清单'!$P555&gt;0,'2.报价结算清单'!$B555&lt;&gt;0,'2.报价结算清单'!C555&lt;&gt;0),'2.报价结算清单'!C555,"")</f>
        <v/>
      </c>
      <c r="D452" s="78" t="str">
        <f>IF(AND('2.报价结算清单'!$P555&gt;0,'2.报价结算清单'!$B555&lt;&gt;0,'2.报价结算清单'!D555&lt;&gt;0),'2.报价结算清单'!D555,"")</f>
        <v/>
      </c>
      <c r="E452" s="78" t="str">
        <f>IF(AND('2.报价结算清单'!$P555&gt;0,'2.报价结算清单'!$B555&lt;&gt;0,'2.报价结算清单'!E555&lt;&gt;0),'2.报价结算清单'!E555,"")</f>
        <v/>
      </c>
      <c r="F452" s="105" t="str">
        <f>_xlfn.IFNA(IF($A452="","",IF(VLOOKUP($A452,'3.框架内物料'!$A:$I,2,0)="","",VLOOKUP($A452,'3.框架内物料'!$A:$I,2,0))),"")</f>
        <v/>
      </c>
      <c r="G452" s="87" t="str">
        <f>IF(AND('2.报价结算清单'!$P555&gt;0,'2.报价结算清单'!$B555&lt;&gt;0,'2.报价结算清单'!H555&lt;&gt;0),'2.报价结算清单'!H555,"")</f>
        <v/>
      </c>
      <c r="H452" s="122" t="str">
        <f>IF(AND('2.报价结算清单'!$P555&gt;0,'2.报价结算清单'!$B555&lt;&gt;0,'2.报价结算清单'!$F555&lt;&gt;0),'2.报价结算清单'!J555,"")</f>
        <v/>
      </c>
      <c r="I452" s="105" t="str">
        <f>IF(AND('2.报价结算清单'!$P555&gt;0,'2.报价结算清单'!$B555&lt;&gt;0,'2.报价结算清单'!$F555&lt;&gt;0),'2.报价结算清单'!L555,"")</f>
        <v/>
      </c>
      <c r="J452" s="105" t="str">
        <f>IF(AND('2.报价结算清单'!$P555&gt;0,'2.报价结算清单'!$B555&lt;&gt;0,'2.报价结算清单'!I555&lt;&gt;0),'2.报价结算清单'!I555,"")</f>
        <v/>
      </c>
      <c r="K452" s="105" t="str">
        <f>IF(AND('2.报价结算清单'!$P555&gt;0,'2.报价结算清单'!$B555&lt;&gt;0,'2.报价结算清单'!$F555&lt;&gt;0),'2.报价结算清单'!N555,"")</f>
        <v/>
      </c>
      <c r="L452" s="105" t="str">
        <f>IF(AND('2.报价结算清单'!$P555&gt;0,'2.报价结算清单'!$B555&lt;&gt;0,'2.报价结算清单'!I555&lt;&gt;0),"天","")</f>
        <v/>
      </c>
      <c r="M452" s="80" t="str">
        <f t="shared" si="16"/>
        <v/>
      </c>
      <c r="N452" s="78" t="str">
        <f t="shared" si="17"/>
        <v/>
      </c>
      <c r="O452" s="78" t="str">
        <f>IF(AND('2.报价结算清单'!$P555&gt;0,'2.报价结算清单'!$B555&lt;&gt;0,'2.报价结算清单'!S555&lt;&gt;0),'2.报价结算清单'!S555,"")</f>
        <v/>
      </c>
      <c r="P452" s="78" t="str">
        <f>IF(AND('2.报价结算清单'!$P555&gt;0,'2.报价结算清单'!$B555&lt;&gt;0,'2.报价结算清单'!T555&lt;&gt;0),'2.报价结算清单'!T555,"")</f>
        <v/>
      </c>
      <c r="Q452" s="78" t="str">
        <f>IF(F452="",J452,VLOOKUP(F452,框架条目清单!A:K,4,FALSE))</f>
        <v/>
      </c>
      <c r="R452" s="106" t="str">
        <f>IF($A452="","",'2.报价结算清单'!$K$183)</f>
        <v/>
      </c>
      <c r="S452" s="80" t="str">
        <f>IF($A452="","",'2.报价结算清单'!$E$183)</f>
        <v/>
      </c>
      <c r="T452" s="78" t="str">
        <f>IF(F452="","",VLOOKUP(F452,框架条目清单!A:K,7,FALSE))</f>
        <v/>
      </c>
      <c r="U452" s="78" t="str">
        <f>IF(F452="","",VLOOKUP(F452,框架条目清单!A:K,8,FALSE))</f>
        <v/>
      </c>
      <c r="V452" s="78" t="str">
        <f>IF(F452="","",VLOOKUP(F452,框架条目清单!A:K,9,FALSE))</f>
        <v/>
      </c>
    </row>
    <row r="453" spans="1:22">
      <c r="A453" s="78" t="str">
        <f>IF(AND('2.报价结算清单'!$P556&gt;0,'2.报价结算清单'!$B556&lt;&gt;0,'2.报价结算清单'!$F556&lt;&gt;0),'2.报价结算清单'!$F556,"")</f>
        <v/>
      </c>
      <c r="B453" s="78" t="str">
        <f>_xlfn.IFNA(VLOOKUP(A453,'3.框架内物料'!$A:$I,3,0),A453)</f>
        <v/>
      </c>
      <c r="C453" s="78" t="str">
        <f>IF(AND('2.报价结算清单'!$P556&gt;0,'2.报价结算清单'!$B556&lt;&gt;0,'2.报价结算清单'!C556&lt;&gt;0),'2.报价结算清单'!C556,"")</f>
        <v/>
      </c>
      <c r="D453" s="78" t="str">
        <f>IF(AND('2.报价结算清单'!$P556&gt;0,'2.报价结算清单'!$B556&lt;&gt;0,'2.报价结算清单'!D556&lt;&gt;0),'2.报价结算清单'!D556,"")</f>
        <v/>
      </c>
      <c r="E453" s="78" t="str">
        <f>IF(AND('2.报价结算清单'!$P556&gt;0,'2.报价结算清单'!$B556&lt;&gt;0,'2.报价结算清单'!E556&lt;&gt;0),'2.报价结算清单'!E556,"")</f>
        <v/>
      </c>
      <c r="F453" s="105" t="str">
        <f>_xlfn.IFNA(IF($A453="","",IF(VLOOKUP($A453,'3.框架内物料'!$A:$I,2,0)="","",VLOOKUP($A453,'3.框架内物料'!$A:$I,2,0))),"")</f>
        <v/>
      </c>
      <c r="G453" s="87" t="str">
        <f>IF(AND('2.报价结算清单'!$P556&gt;0,'2.报价结算清单'!$B556&lt;&gt;0,'2.报价结算清单'!H556&lt;&gt;0),'2.报价结算清单'!H556,"")</f>
        <v/>
      </c>
      <c r="H453" s="122" t="str">
        <f>IF(AND('2.报价结算清单'!$P556&gt;0,'2.报价结算清单'!$B556&lt;&gt;0,'2.报价结算清单'!$F556&lt;&gt;0),'2.报价结算清单'!J556,"")</f>
        <v/>
      </c>
      <c r="I453" s="105" t="str">
        <f>IF(AND('2.报价结算清单'!$P556&gt;0,'2.报价结算清单'!$B556&lt;&gt;0,'2.报价结算清单'!$F556&lt;&gt;0),'2.报价结算清单'!L556,"")</f>
        <v/>
      </c>
      <c r="J453" s="105" t="str">
        <f>IF(AND('2.报价结算清单'!$P556&gt;0,'2.报价结算清单'!$B556&lt;&gt;0,'2.报价结算清单'!I556&lt;&gt;0),'2.报价结算清单'!I556,"")</f>
        <v/>
      </c>
      <c r="K453" s="105" t="str">
        <f>IF(AND('2.报价结算清单'!$P556&gt;0,'2.报价结算清单'!$B556&lt;&gt;0,'2.报价结算清单'!$F556&lt;&gt;0),'2.报价结算清单'!N556,"")</f>
        <v/>
      </c>
      <c r="L453" s="105" t="str">
        <f>IF(AND('2.报价结算清单'!$P556&gt;0,'2.报价结算清单'!$B556&lt;&gt;0,'2.报价结算清单'!I556&lt;&gt;0),"天","")</f>
        <v/>
      </c>
      <c r="M453" s="80" t="str">
        <f t="shared" si="16"/>
        <v/>
      </c>
      <c r="N453" s="78" t="str">
        <f t="shared" si="17"/>
        <v/>
      </c>
      <c r="O453" s="78" t="str">
        <f>IF(AND('2.报价结算清单'!$P556&gt;0,'2.报价结算清单'!$B556&lt;&gt;0,'2.报价结算清单'!S556&lt;&gt;0),'2.报价结算清单'!S556,"")</f>
        <v/>
      </c>
      <c r="P453" s="78" t="str">
        <f>IF(AND('2.报价结算清单'!$P556&gt;0,'2.报价结算清单'!$B556&lt;&gt;0,'2.报价结算清单'!T556&lt;&gt;0),'2.报价结算清单'!T556,"")</f>
        <v/>
      </c>
      <c r="Q453" s="78" t="str">
        <f>IF(F453="",J453,VLOOKUP(F453,框架条目清单!A:K,4,FALSE))</f>
        <v/>
      </c>
      <c r="R453" s="106" t="str">
        <f>IF($A453="","",'2.报价结算清单'!$K$183)</f>
        <v/>
      </c>
      <c r="S453" s="80" t="str">
        <f>IF($A453="","",'2.报价结算清单'!$E$183)</f>
        <v/>
      </c>
      <c r="T453" s="78" t="str">
        <f>IF(F453="","",VLOOKUP(F453,框架条目清单!A:K,7,FALSE))</f>
        <v/>
      </c>
      <c r="U453" s="78" t="str">
        <f>IF(F453="","",VLOOKUP(F453,框架条目清单!A:K,8,FALSE))</f>
        <v/>
      </c>
      <c r="V453" s="78" t="str">
        <f>IF(F453="","",VLOOKUP(F453,框架条目清单!A:K,9,FALSE))</f>
        <v/>
      </c>
    </row>
    <row r="454" spans="1:22">
      <c r="A454" s="78" t="str">
        <f>IF(AND('2.报价结算清单'!$P557&gt;0,'2.报价结算清单'!$B557&lt;&gt;0,'2.报价结算清单'!$F557&lt;&gt;0),'2.报价结算清单'!$F557,"")</f>
        <v/>
      </c>
      <c r="B454" s="78" t="str">
        <f>_xlfn.IFNA(VLOOKUP(A454,'3.框架内物料'!$A:$I,3,0),A454)</f>
        <v/>
      </c>
      <c r="C454" s="78" t="str">
        <f>IF(AND('2.报价结算清单'!$P557&gt;0,'2.报价结算清单'!$B557&lt;&gt;0,'2.报价结算清单'!C557&lt;&gt;0),'2.报价结算清单'!C557,"")</f>
        <v/>
      </c>
      <c r="D454" s="78" t="str">
        <f>IF(AND('2.报价结算清单'!$P557&gt;0,'2.报价结算清单'!$B557&lt;&gt;0,'2.报价结算清单'!D557&lt;&gt;0),'2.报价结算清单'!D557,"")</f>
        <v/>
      </c>
      <c r="E454" s="78" t="str">
        <f>IF(AND('2.报价结算清单'!$P557&gt;0,'2.报价结算清单'!$B557&lt;&gt;0,'2.报价结算清单'!E557&lt;&gt;0),'2.报价结算清单'!E557,"")</f>
        <v/>
      </c>
      <c r="F454" s="105" t="str">
        <f>_xlfn.IFNA(IF($A454="","",IF(VLOOKUP($A454,'3.框架内物料'!$A:$I,2,0)="","",VLOOKUP($A454,'3.框架内物料'!$A:$I,2,0))),"")</f>
        <v/>
      </c>
      <c r="G454" s="87" t="str">
        <f>IF(AND('2.报价结算清单'!$P557&gt;0,'2.报价结算清单'!$B557&lt;&gt;0,'2.报价结算清单'!H557&lt;&gt;0),'2.报价结算清单'!H557,"")</f>
        <v/>
      </c>
      <c r="H454" s="122" t="str">
        <f>IF(AND('2.报价结算清单'!$P557&gt;0,'2.报价结算清单'!$B557&lt;&gt;0,'2.报价结算清单'!$F557&lt;&gt;0),'2.报价结算清单'!J557,"")</f>
        <v/>
      </c>
      <c r="I454" s="105" t="str">
        <f>IF(AND('2.报价结算清单'!$P557&gt;0,'2.报价结算清单'!$B557&lt;&gt;0,'2.报价结算清单'!$F557&lt;&gt;0),'2.报价结算清单'!L557,"")</f>
        <v/>
      </c>
      <c r="J454" s="105" t="str">
        <f>IF(AND('2.报价结算清单'!$P557&gt;0,'2.报价结算清单'!$B557&lt;&gt;0,'2.报价结算清单'!I557&lt;&gt;0),'2.报价结算清单'!I557,"")</f>
        <v/>
      </c>
      <c r="K454" s="105" t="str">
        <f>IF(AND('2.报价结算清单'!$P557&gt;0,'2.报价结算清单'!$B557&lt;&gt;0,'2.报价结算清单'!$F557&lt;&gt;0),'2.报价结算清单'!N557,"")</f>
        <v/>
      </c>
      <c r="L454" s="105" t="str">
        <f>IF(AND('2.报价结算清单'!$P557&gt;0,'2.报价结算清单'!$B557&lt;&gt;0,'2.报价结算清单'!I557&lt;&gt;0),"天","")</f>
        <v/>
      </c>
      <c r="M454" s="80" t="str">
        <f t="shared" si="16"/>
        <v/>
      </c>
      <c r="N454" s="78" t="str">
        <f t="shared" si="17"/>
        <v/>
      </c>
      <c r="O454" s="78" t="str">
        <f>IF(AND('2.报价结算清单'!$P557&gt;0,'2.报价结算清单'!$B557&lt;&gt;0,'2.报价结算清单'!S557&lt;&gt;0),'2.报价结算清单'!S557,"")</f>
        <v/>
      </c>
      <c r="P454" s="78" t="str">
        <f>IF(AND('2.报价结算清单'!$P557&gt;0,'2.报价结算清单'!$B557&lt;&gt;0,'2.报价结算清单'!T557&lt;&gt;0),'2.报价结算清单'!T557,"")</f>
        <v/>
      </c>
      <c r="Q454" s="78" t="str">
        <f>IF(F454="",J454,VLOOKUP(F454,框架条目清单!A:K,4,FALSE))</f>
        <v/>
      </c>
      <c r="R454" s="106" t="str">
        <f>IF($A454="","",'2.报价结算清单'!$K$183)</f>
        <v/>
      </c>
      <c r="S454" s="80" t="str">
        <f>IF($A454="","",'2.报价结算清单'!$E$183)</f>
        <v/>
      </c>
      <c r="T454" s="78" t="str">
        <f>IF(F454="","",VLOOKUP(F454,框架条目清单!A:K,7,FALSE))</f>
        <v/>
      </c>
      <c r="U454" s="78" t="str">
        <f>IF(F454="","",VLOOKUP(F454,框架条目清单!A:K,8,FALSE))</f>
        <v/>
      </c>
      <c r="V454" s="78" t="str">
        <f>IF(F454="","",VLOOKUP(F454,框架条目清单!A:K,9,FALSE))</f>
        <v/>
      </c>
    </row>
    <row r="455" spans="1:22">
      <c r="A455" s="78" t="str">
        <f>IF(AND('2.报价结算清单'!$P558&gt;0,'2.报价结算清单'!$B558&lt;&gt;0,'2.报价结算清单'!$F558&lt;&gt;0),'2.报价结算清单'!$F558,"")</f>
        <v/>
      </c>
      <c r="B455" s="78" t="str">
        <f>_xlfn.IFNA(VLOOKUP(A455,'3.框架内物料'!$A:$I,3,0),A455)</f>
        <v/>
      </c>
      <c r="C455" s="78" t="str">
        <f>IF(AND('2.报价结算清单'!$P558&gt;0,'2.报价结算清单'!$B558&lt;&gt;0,'2.报价结算清单'!C558&lt;&gt;0),'2.报价结算清单'!C558,"")</f>
        <v/>
      </c>
      <c r="D455" s="78" t="str">
        <f>IF(AND('2.报价结算清单'!$P558&gt;0,'2.报价结算清单'!$B558&lt;&gt;0,'2.报价结算清单'!D558&lt;&gt;0),'2.报价结算清单'!D558,"")</f>
        <v/>
      </c>
      <c r="E455" s="78" t="str">
        <f>IF(AND('2.报价结算清单'!$P558&gt;0,'2.报价结算清单'!$B558&lt;&gt;0,'2.报价结算清单'!E558&lt;&gt;0),'2.报价结算清单'!E558,"")</f>
        <v/>
      </c>
      <c r="F455" s="105" t="str">
        <f>_xlfn.IFNA(IF($A455="","",IF(VLOOKUP($A455,'3.框架内物料'!$A:$I,2,0)="","",VLOOKUP($A455,'3.框架内物料'!$A:$I,2,0))),"")</f>
        <v/>
      </c>
      <c r="G455" s="87" t="str">
        <f>IF(AND('2.报价结算清单'!$P558&gt;0,'2.报价结算清单'!$B558&lt;&gt;0,'2.报价结算清单'!H558&lt;&gt;0),'2.报价结算清单'!H558,"")</f>
        <v/>
      </c>
      <c r="H455" s="122" t="str">
        <f>IF(AND('2.报价结算清单'!$P558&gt;0,'2.报价结算清单'!$B558&lt;&gt;0,'2.报价结算清单'!$F558&lt;&gt;0),'2.报价结算清单'!J558,"")</f>
        <v/>
      </c>
      <c r="I455" s="105" t="str">
        <f>IF(AND('2.报价结算清单'!$P558&gt;0,'2.报价结算清单'!$B558&lt;&gt;0,'2.报价结算清单'!$F558&lt;&gt;0),'2.报价结算清单'!L558,"")</f>
        <v/>
      </c>
      <c r="J455" s="105" t="str">
        <f>IF(AND('2.报价结算清单'!$P558&gt;0,'2.报价结算清单'!$B558&lt;&gt;0,'2.报价结算清单'!I558&lt;&gt;0),'2.报价结算清单'!I558,"")</f>
        <v/>
      </c>
      <c r="K455" s="105" t="str">
        <f>IF(AND('2.报价结算清单'!$P558&gt;0,'2.报价结算清单'!$B558&lt;&gt;0,'2.报价结算清单'!$F558&lt;&gt;0),'2.报价结算清单'!N558,"")</f>
        <v/>
      </c>
      <c r="L455" s="105" t="str">
        <f>IF(AND('2.报价结算清单'!$P558&gt;0,'2.报价结算清单'!$B558&lt;&gt;0,'2.报价结算清单'!I558&lt;&gt;0),"天","")</f>
        <v/>
      </c>
      <c r="M455" s="80" t="str">
        <f t="shared" si="16"/>
        <v/>
      </c>
      <c r="N455" s="78" t="str">
        <f t="shared" si="17"/>
        <v/>
      </c>
      <c r="O455" s="78" t="str">
        <f>IF(AND('2.报价结算清单'!$P558&gt;0,'2.报价结算清单'!$B558&lt;&gt;0,'2.报价结算清单'!S558&lt;&gt;0),'2.报价结算清单'!S558,"")</f>
        <v/>
      </c>
      <c r="P455" s="78" t="str">
        <f>IF(AND('2.报价结算清单'!$P558&gt;0,'2.报价结算清单'!$B558&lt;&gt;0,'2.报价结算清单'!T558&lt;&gt;0),'2.报价结算清单'!T558,"")</f>
        <v/>
      </c>
      <c r="Q455" s="78" t="str">
        <f>IF(F455="",J455,VLOOKUP(F455,框架条目清单!A:K,4,FALSE))</f>
        <v/>
      </c>
      <c r="R455" s="106" t="str">
        <f>IF($A455="","",'2.报价结算清单'!$K$183)</f>
        <v/>
      </c>
      <c r="S455" s="80" t="str">
        <f>IF($A455="","",'2.报价结算清单'!$E$183)</f>
        <v/>
      </c>
      <c r="T455" s="78" t="str">
        <f>IF(F455="","",VLOOKUP(F455,框架条目清单!A:K,7,FALSE))</f>
        <v/>
      </c>
      <c r="U455" s="78" t="str">
        <f>IF(F455="","",VLOOKUP(F455,框架条目清单!A:K,8,FALSE))</f>
        <v/>
      </c>
      <c r="V455" s="78" t="str">
        <f>IF(F455="","",VLOOKUP(F455,框架条目清单!A:K,9,FALSE))</f>
        <v/>
      </c>
    </row>
    <row r="456" spans="1:22">
      <c r="A456" s="78" t="str">
        <f>IF(AND('2.报价结算清单'!$P559&gt;0,'2.报价结算清单'!$B559&lt;&gt;0,'2.报价结算清单'!$F559&lt;&gt;0),'2.报价结算清单'!$F559,"")</f>
        <v/>
      </c>
      <c r="B456" s="78" t="str">
        <f>_xlfn.IFNA(VLOOKUP(A456,'3.框架内物料'!$A:$I,3,0),A456)</f>
        <v/>
      </c>
      <c r="C456" s="78" t="str">
        <f>IF(AND('2.报价结算清单'!$P559&gt;0,'2.报价结算清单'!$B559&lt;&gt;0,'2.报价结算清单'!C559&lt;&gt;0),'2.报价结算清单'!C559,"")</f>
        <v/>
      </c>
      <c r="D456" s="78" t="str">
        <f>IF(AND('2.报价结算清单'!$P559&gt;0,'2.报价结算清单'!$B559&lt;&gt;0,'2.报价结算清单'!D559&lt;&gt;0),'2.报价结算清单'!D559,"")</f>
        <v/>
      </c>
      <c r="E456" s="78" t="str">
        <f>IF(AND('2.报价结算清单'!$P559&gt;0,'2.报价结算清单'!$B559&lt;&gt;0,'2.报价结算清单'!E559&lt;&gt;0),'2.报价结算清单'!E559,"")</f>
        <v/>
      </c>
      <c r="F456" s="105" t="str">
        <f>_xlfn.IFNA(IF($A456="","",IF(VLOOKUP($A456,'3.框架内物料'!$A:$I,2,0)="","",VLOOKUP($A456,'3.框架内物料'!$A:$I,2,0))),"")</f>
        <v/>
      </c>
      <c r="G456" s="87" t="str">
        <f>IF(AND('2.报价结算清单'!$P559&gt;0,'2.报价结算清单'!$B559&lt;&gt;0,'2.报价结算清单'!H559&lt;&gt;0),'2.报价结算清单'!H559,"")</f>
        <v/>
      </c>
      <c r="H456" s="122" t="str">
        <f>IF(AND('2.报价结算清单'!$P559&gt;0,'2.报价结算清单'!$B559&lt;&gt;0,'2.报价结算清单'!$F559&lt;&gt;0),'2.报价结算清单'!J559,"")</f>
        <v/>
      </c>
      <c r="I456" s="105" t="str">
        <f>IF(AND('2.报价结算清单'!$P559&gt;0,'2.报价结算清单'!$B559&lt;&gt;0,'2.报价结算清单'!$F559&lt;&gt;0),'2.报价结算清单'!L559,"")</f>
        <v/>
      </c>
      <c r="J456" s="105" t="str">
        <f>IF(AND('2.报价结算清单'!$P559&gt;0,'2.报价结算清单'!$B559&lt;&gt;0,'2.报价结算清单'!I559&lt;&gt;0),'2.报价结算清单'!I559,"")</f>
        <v/>
      </c>
      <c r="K456" s="105" t="str">
        <f>IF(AND('2.报价结算清单'!$P559&gt;0,'2.报价结算清单'!$B559&lt;&gt;0,'2.报价结算清单'!$F559&lt;&gt;0),'2.报价结算清单'!N559,"")</f>
        <v/>
      </c>
      <c r="L456" s="105" t="str">
        <f>IF(AND('2.报价结算清单'!$P559&gt;0,'2.报价结算清单'!$B559&lt;&gt;0,'2.报价结算清单'!I559&lt;&gt;0),"天","")</f>
        <v/>
      </c>
      <c r="M456" s="80" t="str">
        <f t="shared" ref="M456:M500" si="18">IF(A456="框架外物料","框架外",IF(A456="据实结算","据实结算",IF(A456="","","框架内")))</f>
        <v/>
      </c>
      <c r="N456" s="78" t="str">
        <f t="shared" ref="N456:N500" si="19">IFERROR(IF(H456*I456*K456=0,"",H456*I456*K456),"")</f>
        <v/>
      </c>
      <c r="O456" s="78" t="str">
        <f>IF(AND('2.报价结算清单'!$P559&gt;0,'2.报价结算清单'!$B559&lt;&gt;0,'2.报价结算清单'!S559&lt;&gt;0),'2.报价结算清单'!S559,"")</f>
        <v/>
      </c>
      <c r="P456" s="78" t="str">
        <f>IF(AND('2.报价结算清单'!$P559&gt;0,'2.报价结算清单'!$B559&lt;&gt;0,'2.报价结算清单'!T559&lt;&gt;0),'2.报价结算清单'!T559,"")</f>
        <v/>
      </c>
      <c r="Q456" s="78" t="str">
        <f>IF(F456="",J456,VLOOKUP(F456,框架条目清单!A:K,4,FALSE))</f>
        <v/>
      </c>
      <c r="R456" s="106" t="str">
        <f>IF($A456="","",'2.报价结算清单'!$K$183)</f>
        <v/>
      </c>
      <c r="S456" s="80" t="str">
        <f>IF($A456="","",'2.报价结算清单'!$E$183)</f>
        <v/>
      </c>
      <c r="T456" s="78" t="str">
        <f>IF(F456="","",VLOOKUP(F456,框架条目清单!A:K,7,FALSE))</f>
        <v/>
      </c>
      <c r="U456" s="78" t="str">
        <f>IF(F456="","",VLOOKUP(F456,框架条目清单!A:K,8,FALSE))</f>
        <v/>
      </c>
      <c r="V456" s="78" t="str">
        <f>IF(F456="","",VLOOKUP(F456,框架条目清单!A:K,9,FALSE))</f>
        <v/>
      </c>
    </row>
    <row r="457" spans="1:22">
      <c r="A457" s="78" t="str">
        <f>IF(AND('2.报价结算清单'!$P560&gt;0,'2.报价结算清单'!$B560&lt;&gt;0,'2.报价结算清单'!$F560&lt;&gt;0),'2.报价结算清单'!$F560,"")</f>
        <v/>
      </c>
      <c r="B457" s="78" t="str">
        <f>_xlfn.IFNA(VLOOKUP(A457,'3.框架内物料'!$A:$I,3,0),A457)</f>
        <v/>
      </c>
      <c r="C457" s="78" t="str">
        <f>IF(AND('2.报价结算清单'!$P560&gt;0,'2.报价结算清单'!$B560&lt;&gt;0,'2.报价结算清单'!C560&lt;&gt;0),'2.报价结算清单'!C560,"")</f>
        <v/>
      </c>
      <c r="D457" s="78" t="str">
        <f>IF(AND('2.报价结算清单'!$P560&gt;0,'2.报价结算清单'!$B560&lt;&gt;0,'2.报价结算清单'!D560&lt;&gt;0),'2.报价结算清单'!D560,"")</f>
        <v/>
      </c>
      <c r="E457" s="78" t="str">
        <f>IF(AND('2.报价结算清单'!$P560&gt;0,'2.报价结算清单'!$B560&lt;&gt;0,'2.报价结算清单'!E560&lt;&gt;0),'2.报价结算清单'!E560,"")</f>
        <v/>
      </c>
      <c r="F457" s="105" t="str">
        <f>_xlfn.IFNA(IF($A457="","",IF(VLOOKUP($A457,'3.框架内物料'!$A:$I,2,0)="","",VLOOKUP($A457,'3.框架内物料'!$A:$I,2,0))),"")</f>
        <v/>
      </c>
      <c r="G457" s="87" t="str">
        <f>IF(AND('2.报价结算清单'!$P560&gt;0,'2.报价结算清单'!$B560&lt;&gt;0,'2.报价结算清单'!H560&lt;&gt;0),'2.报价结算清单'!H560,"")</f>
        <v/>
      </c>
      <c r="H457" s="122" t="str">
        <f>IF(AND('2.报价结算清单'!$P560&gt;0,'2.报价结算清单'!$B560&lt;&gt;0,'2.报价结算清单'!$F560&lt;&gt;0),'2.报价结算清单'!J560,"")</f>
        <v/>
      </c>
      <c r="I457" s="105" t="str">
        <f>IF(AND('2.报价结算清单'!$P560&gt;0,'2.报价结算清单'!$B560&lt;&gt;0,'2.报价结算清单'!$F560&lt;&gt;0),'2.报价结算清单'!L560,"")</f>
        <v/>
      </c>
      <c r="J457" s="105" t="str">
        <f>IF(AND('2.报价结算清单'!$P560&gt;0,'2.报价结算清单'!$B560&lt;&gt;0,'2.报价结算清单'!I560&lt;&gt;0),'2.报价结算清单'!I560,"")</f>
        <v/>
      </c>
      <c r="K457" s="105" t="str">
        <f>IF(AND('2.报价结算清单'!$P560&gt;0,'2.报价结算清单'!$B560&lt;&gt;0,'2.报价结算清单'!$F560&lt;&gt;0),'2.报价结算清单'!N560,"")</f>
        <v/>
      </c>
      <c r="L457" s="105" t="str">
        <f>IF(AND('2.报价结算清单'!$P560&gt;0,'2.报价结算清单'!$B560&lt;&gt;0,'2.报价结算清单'!I560&lt;&gt;0),"天","")</f>
        <v/>
      </c>
      <c r="M457" s="80" t="str">
        <f t="shared" si="18"/>
        <v/>
      </c>
      <c r="N457" s="78" t="str">
        <f t="shared" si="19"/>
        <v/>
      </c>
      <c r="O457" s="78" t="str">
        <f>IF(AND('2.报价结算清单'!$P560&gt;0,'2.报价结算清单'!$B560&lt;&gt;0,'2.报价结算清单'!S560&lt;&gt;0),'2.报价结算清单'!S560,"")</f>
        <v/>
      </c>
      <c r="P457" s="78" t="str">
        <f>IF(AND('2.报价结算清单'!$P560&gt;0,'2.报价结算清单'!$B560&lt;&gt;0,'2.报价结算清单'!T560&lt;&gt;0),'2.报价结算清单'!T560,"")</f>
        <v/>
      </c>
      <c r="Q457" s="78" t="str">
        <f>IF(F457="",J457,VLOOKUP(F457,框架条目清单!A:K,4,FALSE))</f>
        <v/>
      </c>
      <c r="R457" s="106" t="str">
        <f>IF($A457="","",'2.报价结算清单'!$K$183)</f>
        <v/>
      </c>
      <c r="S457" s="80" t="str">
        <f>IF($A457="","",'2.报价结算清单'!$E$183)</f>
        <v/>
      </c>
      <c r="T457" s="78" t="str">
        <f>IF(F457="","",VLOOKUP(F457,框架条目清单!A:K,7,FALSE))</f>
        <v/>
      </c>
      <c r="U457" s="78" t="str">
        <f>IF(F457="","",VLOOKUP(F457,框架条目清单!A:K,8,FALSE))</f>
        <v/>
      </c>
      <c r="V457" s="78" t="str">
        <f>IF(F457="","",VLOOKUP(F457,框架条目清单!A:K,9,FALSE))</f>
        <v/>
      </c>
    </row>
    <row r="458" spans="1:22">
      <c r="A458" s="78" t="str">
        <f>IF(AND('2.报价结算清单'!$P561&gt;0,'2.报价结算清单'!$B561&lt;&gt;0,'2.报价结算清单'!$F561&lt;&gt;0),'2.报价结算清单'!$F561,"")</f>
        <v/>
      </c>
      <c r="B458" s="78" t="str">
        <f>_xlfn.IFNA(VLOOKUP(A458,'3.框架内物料'!$A:$I,3,0),A458)</f>
        <v/>
      </c>
      <c r="C458" s="78" t="str">
        <f>IF(AND('2.报价结算清单'!$P561&gt;0,'2.报价结算清单'!$B561&lt;&gt;0,'2.报价结算清单'!C561&lt;&gt;0),'2.报价结算清单'!C561,"")</f>
        <v/>
      </c>
      <c r="D458" s="78" t="str">
        <f>IF(AND('2.报价结算清单'!$P561&gt;0,'2.报价结算清单'!$B561&lt;&gt;0,'2.报价结算清单'!D561&lt;&gt;0),'2.报价结算清单'!D561,"")</f>
        <v/>
      </c>
      <c r="E458" s="78" t="str">
        <f>IF(AND('2.报价结算清单'!$P561&gt;0,'2.报价结算清单'!$B561&lt;&gt;0,'2.报价结算清单'!E561&lt;&gt;0),'2.报价结算清单'!E561,"")</f>
        <v/>
      </c>
      <c r="F458" s="105" t="str">
        <f>_xlfn.IFNA(IF($A458="","",IF(VLOOKUP($A458,'3.框架内物料'!$A:$I,2,0)="","",VLOOKUP($A458,'3.框架内物料'!$A:$I,2,0))),"")</f>
        <v/>
      </c>
      <c r="G458" s="87" t="str">
        <f>IF(AND('2.报价结算清单'!$P561&gt;0,'2.报价结算清单'!$B561&lt;&gt;0,'2.报价结算清单'!H561&lt;&gt;0),'2.报价结算清单'!H561,"")</f>
        <v/>
      </c>
      <c r="H458" s="122" t="str">
        <f>IF(AND('2.报价结算清单'!$P561&gt;0,'2.报价结算清单'!$B561&lt;&gt;0,'2.报价结算清单'!$F561&lt;&gt;0),'2.报价结算清单'!J561,"")</f>
        <v/>
      </c>
      <c r="I458" s="105" t="str">
        <f>IF(AND('2.报价结算清单'!$P561&gt;0,'2.报价结算清单'!$B561&lt;&gt;0,'2.报价结算清单'!$F561&lt;&gt;0),'2.报价结算清单'!L561,"")</f>
        <v/>
      </c>
      <c r="J458" s="105" t="str">
        <f>IF(AND('2.报价结算清单'!$P561&gt;0,'2.报价结算清单'!$B561&lt;&gt;0,'2.报价结算清单'!I561&lt;&gt;0),'2.报价结算清单'!I561,"")</f>
        <v/>
      </c>
      <c r="K458" s="105" t="str">
        <f>IF(AND('2.报价结算清单'!$P561&gt;0,'2.报价结算清单'!$B561&lt;&gt;0,'2.报价结算清单'!$F561&lt;&gt;0),'2.报价结算清单'!N561,"")</f>
        <v/>
      </c>
      <c r="L458" s="105" t="str">
        <f>IF(AND('2.报价结算清单'!$P561&gt;0,'2.报价结算清单'!$B561&lt;&gt;0,'2.报价结算清单'!I561&lt;&gt;0),"天","")</f>
        <v/>
      </c>
      <c r="M458" s="80" t="str">
        <f t="shared" si="18"/>
        <v/>
      </c>
      <c r="N458" s="78" t="str">
        <f t="shared" si="19"/>
        <v/>
      </c>
      <c r="O458" s="78" t="str">
        <f>IF(AND('2.报价结算清单'!$P561&gt;0,'2.报价结算清单'!$B561&lt;&gt;0,'2.报价结算清单'!S561&lt;&gt;0),'2.报价结算清单'!S561,"")</f>
        <v/>
      </c>
      <c r="P458" s="78" t="str">
        <f>IF(AND('2.报价结算清单'!$P561&gt;0,'2.报价结算清单'!$B561&lt;&gt;0,'2.报价结算清单'!T561&lt;&gt;0),'2.报价结算清单'!T561,"")</f>
        <v/>
      </c>
      <c r="Q458" s="78" t="str">
        <f>IF(F458="",J458,VLOOKUP(F458,框架条目清单!A:K,4,FALSE))</f>
        <v/>
      </c>
      <c r="R458" s="106" t="str">
        <f>IF($A458="","",'2.报价结算清单'!$K$183)</f>
        <v/>
      </c>
      <c r="S458" s="80" t="str">
        <f>IF($A458="","",'2.报价结算清单'!$E$183)</f>
        <v/>
      </c>
      <c r="T458" s="78" t="str">
        <f>IF(F458="","",VLOOKUP(F458,框架条目清单!A:K,7,FALSE))</f>
        <v/>
      </c>
      <c r="U458" s="78" t="str">
        <f>IF(F458="","",VLOOKUP(F458,框架条目清单!A:K,8,FALSE))</f>
        <v/>
      </c>
      <c r="V458" s="78" t="str">
        <f>IF(F458="","",VLOOKUP(F458,框架条目清单!A:K,9,FALSE))</f>
        <v/>
      </c>
    </row>
    <row r="459" spans="1:22">
      <c r="A459" s="78" t="str">
        <f>IF(AND('2.报价结算清单'!$P562&gt;0,'2.报价结算清单'!$B562&lt;&gt;0,'2.报价结算清单'!$F562&lt;&gt;0),'2.报价结算清单'!$F562,"")</f>
        <v/>
      </c>
      <c r="B459" s="78" t="str">
        <f>_xlfn.IFNA(VLOOKUP(A459,'3.框架内物料'!$A:$I,3,0),A459)</f>
        <v/>
      </c>
      <c r="C459" s="78" t="str">
        <f>IF(AND('2.报价结算清单'!$P562&gt;0,'2.报价结算清单'!$B562&lt;&gt;0,'2.报价结算清单'!C562&lt;&gt;0),'2.报价结算清单'!C562,"")</f>
        <v/>
      </c>
      <c r="D459" s="78" t="str">
        <f>IF(AND('2.报价结算清单'!$P562&gt;0,'2.报价结算清单'!$B562&lt;&gt;0,'2.报价结算清单'!D562&lt;&gt;0),'2.报价结算清单'!D562,"")</f>
        <v/>
      </c>
      <c r="E459" s="78" t="str">
        <f>IF(AND('2.报价结算清单'!$P562&gt;0,'2.报价结算清单'!$B562&lt;&gt;0,'2.报价结算清单'!E562&lt;&gt;0),'2.报价结算清单'!E562,"")</f>
        <v/>
      </c>
      <c r="F459" s="105" t="str">
        <f>_xlfn.IFNA(IF($A459="","",IF(VLOOKUP($A459,'3.框架内物料'!$A:$I,2,0)="","",VLOOKUP($A459,'3.框架内物料'!$A:$I,2,0))),"")</f>
        <v/>
      </c>
      <c r="G459" s="87" t="str">
        <f>IF(AND('2.报价结算清单'!$P562&gt;0,'2.报价结算清单'!$B562&lt;&gt;0,'2.报价结算清单'!H562&lt;&gt;0),'2.报价结算清单'!H562,"")</f>
        <v/>
      </c>
      <c r="H459" s="122" t="str">
        <f>IF(AND('2.报价结算清单'!$P562&gt;0,'2.报价结算清单'!$B562&lt;&gt;0,'2.报价结算清单'!$F562&lt;&gt;0),'2.报价结算清单'!J562,"")</f>
        <v/>
      </c>
      <c r="I459" s="105" t="str">
        <f>IF(AND('2.报价结算清单'!$P562&gt;0,'2.报价结算清单'!$B562&lt;&gt;0,'2.报价结算清单'!$F562&lt;&gt;0),'2.报价结算清单'!L562,"")</f>
        <v/>
      </c>
      <c r="J459" s="105" t="str">
        <f>IF(AND('2.报价结算清单'!$P562&gt;0,'2.报价结算清单'!$B562&lt;&gt;0,'2.报价结算清单'!I562&lt;&gt;0),'2.报价结算清单'!I562,"")</f>
        <v/>
      </c>
      <c r="K459" s="105" t="str">
        <f>IF(AND('2.报价结算清单'!$P562&gt;0,'2.报价结算清单'!$B562&lt;&gt;0,'2.报价结算清单'!$F562&lt;&gt;0),'2.报价结算清单'!N562,"")</f>
        <v/>
      </c>
      <c r="L459" s="105" t="str">
        <f>IF(AND('2.报价结算清单'!$P562&gt;0,'2.报价结算清单'!$B562&lt;&gt;0,'2.报价结算清单'!I562&lt;&gt;0),"天","")</f>
        <v/>
      </c>
      <c r="M459" s="80" t="str">
        <f t="shared" si="18"/>
        <v/>
      </c>
      <c r="N459" s="78" t="str">
        <f t="shared" si="19"/>
        <v/>
      </c>
      <c r="O459" s="78" t="str">
        <f>IF(AND('2.报价结算清单'!$P562&gt;0,'2.报价结算清单'!$B562&lt;&gt;0,'2.报价结算清单'!S562&lt;&gt;0),'2.报价结算清单'!S562,"")</f>
        <v/>
      </c>
      <c r="P459" s="78" t="str">
        <f>IF(AND('2.报价结算清单'!$P562&gt;0,'2.报价结算清单'!$B562&lt;&gt;0,'2.报价结算清单'!T562&lt;&gt;0),'2.报价结算清单'!T562,"")</f>
        <v/>
      </c>
      <c r="Q459" s="78" t="str">
        <f>IF(F459="",J459,VLOOKUP(F459,框架条目清单!A:K,4,FALSE))</f>
        <v/>
      </c>
      <c r="R459" s="106" t="str">
        <f>IF($A459="","",'2.报价结算清单'!$K$183)</f>
        <v/>
      </c>
      <c r="S459" s="80" t="str">
        <f>IF($A459="","",'2.报价结算清单'!$E$183)</f>
        <v/>
      </c>
      <c r="T459" s="78" t="str">
        <f>IF(F459="","",VLOOKUP(F459,框架条目清单!A:K,7,FALSE))</f>
        <v/>
      </c>
      <c r="U459" s="78" t="str">
        <f>IF(F459="","",VLOOKUP(F459,框架条目清单!A:K,8,FALSE))</f>
        <v/>
      </c>
      <c r="V459" s="78" t="str">
        <f>IF(F459="","",VLOOKUP(F459,框架条目清单!A:K,9,FALSE))</f>
        <v/>
      </c>
    </row>
    <row r="460" spans="1:22">
      <c r="A460" s="78" t="str">
        <f>IF(AND('2.报价结算清单'!$P563&gt;0,'2.报价结算清单'!$B563&lt;&gt;0,'2.报价结算清单'!$F563&lt;&gt;0),'2.报价结算清单'!$F563,"")</f>
        <v/>
      </c>
      <c r="B460" s="78" t="str">
        <f>_xlfn.IFNA(VLOOKUP(A460,'3.框架内物料'!$A:$I,3,0),A460)</f>
        <v/>
      </c>
      <c r="C460" s="78" t="str">
        <f>IF(AND('2.报价结算清单'!$P563&gt;0,'2.报价结算清单'!$B563&lt;&gt;0,'2.报价结算清单'!C563&lt;&gt;0),'2.报价结算清单'!C563,"")</f>
        <v/>
      </c>
      <c r="D460" s="78" t="str">
        <f>IF(AND('2.报价结算清单'!$P563&gt;0,'2.报价结算清单'!$B563&lt;&gt;0,'2.报价结算清单'!D563&lt;&gt;0),'2.报价结算清单'!D563,"")</f>
        <v/>
      </c>
      <c r="E460" s="78" t="str">
        <f>IF(AND('2.报价结算清单'!$P563&gt;0,'2.报价结算清单'!$B563&lt;&gt;0,'2.报价结算清单'!E563&lt;&gt;0),'2.报价结算清单'!E563,"")</f>
        <v/>
      </c>
      <c r="F460" s="105" t="str">
        <f>_xlfn.IFNA(IF($A460="","",IF(VLOOKUP($A460,'3.框架内物料'!$A:$I,2,0)="","",VLOOKUP($A460,'3.框架内物料'!$A:$I,2,0))),"")</f>
        <v/>
      </c>
      <c r="G460" s="87" t="str">
        <f>IF(AND('2.报价结算清单'!$P563&gt;0,'2.报价结算清单'!$B563&lt;&gt;0,'2.报价结算清单'!H563&lt;&gt;0),'2.报价结算清单'!H563,"")</f>
        <v/>
      </c>
      <c r="H460" s="122" t="str">
        <f>IF(AND('2.报价结算清单'!$P563&gt;0,'2.报价结算清单'!$B563&lt;&gt;0,'2.报价结算清单'!$F563&lt;&gt;0),'2.报价结算清单'!J563,"")</f>
        <v/>
      </c>
      <c r="I460" s="105" t="str">
        <f>IF(AND('2.报价结算清单'!$P563&gt;0,'2.报价结算清单'!$B563&lt;&gt;0,'2.报价结算清单'!$F563&lt;&gt;0),'2.报价结算清单'!L563,"")</f>
        <v/>
      </c>
      <c r="J460" s="105" t="str">
        <f>IF(AND('2.报价结算清单'!$P563&gt;0,'2.报价结算清单'!$B563&lt;&gt;0,'2.报价结算清单'!I563&lt;&gt;0),'2.报价结算清单'!I563,"")</f>
        <v/>
      </c>
      <c r="K460" s="105" t="str">
        <f>IF(AND('2.报价结算清单'!$P563&gt;0,'2.报价结算清单'!$B563&lt;&gt;0,'2.报价结算清单'!$F563&lt;&gt;0),'2.报价结算清单'!N563,"")</f>
        <v/>
      </c>
      <c r="L460" s="105" t="str">
        <f>IF(AND('2.报价结算清单'!$P563&gt;0,'2.报价结算清单'!$B563&lt;&gt;0,'2.报价结算清单'!I563&lt;&gt;0),"天","")</f>
        <v/>
      </c>
      <c r="M460" s="80" t="str">
        <f t="shared" si="18"/>
        <v/>
      </c>
      <c r="N460" s="78" t="str">
        <f t="shared" si="19"/>
        <v/>
      </c>
      <c r="O460" s="78" t="str">
        <f>IF(AND('2.报价结算清单'!$P563&gt;0,'2.报价结算清单'!$B563&lt;&gt;0,'2.报价结算清单'!S563&lt;&gt;0),'2.报价结算清单'!S563,"")</f>
        <v/>
      </c>
      <c r="P460" s="78" t="str">
        <f>IF(AND('2.报价结算清单'!$P563&gt;0,'2.报价结算清单'!$B563&lt;&gt;0,'2.报价结算清单'!T563&lt;&gt;0),'2.报价结算清单'!T563,"")</f>
        <v/>
      </c>
      <c r="Q460" s="78" t="str">
        <f>IF(F460="",J460,VLOOKUP(F460,框架条目清单!A:K,4,FALSE))</f>
        <v/>
      </c>
      <c r="R460" s="106" t="str">
        <f>IF($A460="","",'2.报价结算清单'!$K$183)</f>
        <v/>
      </c>
      <c r="S460" s="80" t="str">
        <f>IF($A460="","",'2.报价结算清单'!$E$183)</f>
        <v/>
      </c>
      <c r="T460" s="78" t="str">
        <f>IF(F460="","",VLOOKUP(F460,框架条目清单!A:K,7,FALSE))</f>
        <v/>
      </c>
      <c r="U460" s="78" t="str">
        <f>IF(F460="","",VLOOKUP(F460,框架条目清单!A:K,8,FALSE))</f>
        <v/>
      </c>
      <c r="V460" s="78" t="str">
        <f>IF(F460="","",VLOOKUP(F460,框架条目清单!A:K,9,FALSE))</f>
        <v/>
      </c>
    </row>
    <row r="461" spans="1:22">
      <c r="A461" s="78" t="str">
        <f>IF(AND('2.报价结算清单'!$P564&gt;0,'2.报价结算清单'!$B564&lt;&gt;0,'2.报价结算清单'!$F564&lt;&gt;0),'2.报价结算清单'!$F564,"")</f>
        <v/>
      </c>
      <c r="B461" s="78" t="str">
        <f>_xlfn.IFNA(VLOOKUP(A461,'3.框架内物料'!$A:$I,3,0),A461)</f>
        <v/>
      </c>
      <c r="C461" s="78" t="str">
        <f>IF(AND('2.报价结算清单'!$P564&gt;0,'2.报价结算清单'!$B564&lt;&gt;0,'2.报价结算清单'!C564&lt;&gt;0),'2.报价结算清单'!C564,"")</f>
        <v/>
      </c>
      <c r="D461" s="78" t="str">
        <f>IF(AND('2.报价结算清单'!$P564&gt;0,'2.报价结算清单'!$B564&lt;&gt;0,'2.报价结算清单'!D564&lt;&gt;0),'2.报价结算清单'!D564,"")</f>
        <v/>
      </c>
      <c r="E461" s="78" t="str">
        <f>IF(AND('2.报价结算清单'!$P564&gt;0,'2.报价结算清单'!$B564&lt;&gt;0,'2.报价结算清单'!E564&lt;&gt;0),'2.报价结算清单'!E564,"")</f>
        <v/>
      </c>
      <c r="F461" s="105" t="str">
        <f>_xlfn.IFNA(IF($A461="","",IF(VLOOKUP($A461,'3.框架内物料'!$A:$I,2,0)="","",VLOOKUP($A461,'3.框架内物料'!$A:$I,2,0))),"")</f>
        <v/>
      </c>
      <c r="G461" s="87" t="str">
        <f>IF(AND('2.报价结算清单'!$P564&gt;0,'2.报价结算清单'!$B564&lt;&gt;0,'2.报价结算清单'!H564&lt;&gt;0),'2.报价结算清单'!H564,"")</f>
        <v/>
      </c>
      <c r="H461" s="122" t="str">
        <f>IF(AND('2.报价结算清单'!$P564&gt;0,'2.报价结算清单'!$B564&lt;&gt;0,'2.报价结算清单'!$F564&lt;&gt;0),'2.报价结算清单'!J564,"")</f>
        <v/>
      </c>
      <c r="I461" s="105" t="str">
        <f>IF(AND('2.报价结算清单'!$P564&gt;0,'2.报价结算清单'!$B564&lt;&gt;0,'2.报价结算清单'!$F564&lt;&gt;0),'2.报价结算清单'!L564,"")</f>
        <v/>
      </c>
      <c r="J461" s="105" t="str">
        <f>IF(AND('2.报价结算清单'!$P564&gt;0,'2.报价结算清单'!$B564&lt;&gt;0,'2.报价结算清单'!I564&lt;&gt;0),'2.报价结算清单'!I564,"")</f>
        <v/>
      </c>
      <c r="K461" s="105" t="str">
        <f>IF(AND('2.报价结算清单'!$P564&gt;0,'2.报价结算清单'!$B564&lt;&gt;0,'2.报价结算清单'!$F564&lt;&gt;0),'2.报价结算清单'!N564,"")</f>
        <v/>
      </c>
      <c r="L461" s="105" t="str">
        <f>IF(AND('2.报价结算清单'!$P564&gt;0,'2.报价结算清单'!$B564&lt;&gt;0,'2.报价结算清单'!I564&lt;&gt;0),"天","")</f>
        <v/>
      </c>
      <c r="M461" s="80" t="str">
        <f t="shared" si="18"/>
        <v/>
      </c>
      <c r="N461" s="78" t="str">
        <f t="shared" si="19"/>
        <v/>
      </c>
      <c r="O461" s="78" t="str">
        <f>IF(AND('2.报价结算清单'!$P564&gt;0,'2.报价结算清单'!$B564&lt;&gt;0,'2.报价结算清单'!S564&lt;&gt;0),'2.报价结算清单'!S564,"")</f>
        <v/>
      </c>
      <c r="P461" s="78" t="str">
        <f>IF(AND('2.报价结算清单'!$P564&gt;0,'2.报价结算清单'!$B564&lt;&gt;0,'2.报价结算清单'!T564&lt;&gt;0),'2.报价结算清单'!T564,"")</f>
        <v/>
      </c>
      <c r="Q461" s="78" t="str">
        <f>IF(F461="",J461,VLOOKUP(F461,框架条目清单!A:K,4,FALSE))</f>
        <v/>
      </c>
      <c r="R461" s="106" t="str">
        <f>IF($A461="","",'2.报价结算清单'!$K$183)</f>
        <v/>
      </c>
      <c r="S461" s="80" t="str">
        <f>IF($A461="","",'2.报价结算清单'!$E$183)</f>
        <v/>
      </c>
      <c r="T461" s="78" t="str">
        <f>IF(F461="","",VLOOKUP(F461,框架条目清单!A:K,7,FALSE))</f>
        <v/>
      </c>
      <c r="U461" s="78" t="str">
        <f>IF(F461="","",VLOOKUP(F461,框架条目清单!A:K,8,FALSE))</f>
        <v/>
      </c>
      <c r="V461" s="78" t="str">
        <f>IF(F461="","",VLOOKUP(F461,框架条目清单!A:K,9,FALSE))</f>
        <v/>
      </c>
    </row>
    <row r="462" spans="1:22">
      <c r="A462" s="78" t="str">
        <f>IF(AND('2.报价结算清单'!$P565&gt;0,'2.报价结算清单'!$B565&lt;&gt;0,'2.报价结算清单'!$F565&lt;&gt;0),'2.报价结算清单'!$F565,"")</f>
        <v/>
      </c>
      <c r="B462" s="78" t="str">
        <f>_xlfn.IFNA(VLOOKUP(A462,'3.框架内物料'!$A:$I,3,0),A462)</f>
        <v/>
      </c>
      <c r="C462" s="78" t="str">
        <f>IF(AND('2.报价结算清单'!$P565&gt;0,'2.报价结算清单'!$B565&lt;&gt;0,'2.报价结算清单'!C565&lt;&gt;0),'2.报价结算清单'!C565,"")</f>
        <v/>
      </c>
      <c r="D462" s="78" t="str">
        <f>IF(AND('2.报价结算清单'!$P565&gt;0,'2.报价结算清单'!$B565&lt;&gt;0,'2.报价结算清单'!D565&lt;&gt;0),'2.报价结算清单'!D565,"")</f>
        <v/>
      </c>
      <c r="E462" s="78" t="str">
        <f>IF(AND('2.报价结算清单'!$P565&gt;0,'2.报价结算清单'!$B565&lt;&gt;0,'2.报价结算清单'!E565&lt;&gt;0),'2.报价结算清单'!E565,"")</f>
        <v/>
      </c>
      <c r="F462" s="105" t="str">
        <f>_xlfn.IFNA(IF($A462="","",IF(VLOOKUP($A462,'3.框架内物料'!$A:$I,2,0)="","",VLOOKUP($A462,'3.框架内物料'!$A:$I,2,0))),"")</f>
        <v/>
      </c>
      <c r="G462" s="87" t="str">
        <f>IF(AND('2.报价结算清单'!$P565&gt;0,'2.报价结算清单'!$B565&lt;&gt;0,'2.报价结算清单'!H565&lt;&gt;0),'2.报价结算清单'!H565,"")</f>
        <v/>
      </c>
      <c r="H462" s="122" t="str">
        <f>IF(AND('2.报价结算清单'!$P565&gt;0,'2.报价结算清单'!$B565&lt;&gt;0,'2.报价结算清单'!$F565&lt;&gt;0),'2.报价结算清单'!J565,"")</f>
        <v/>
      </c>
      <c r="I462" s="105" t="str">
        <f>IF(AND('2.报价结算清单'!$P565&gt;0,'2.报价结算清单'!$B565&lt;&gt;0,'2.报价结算清单'!$F565&lt;&gt;0),'2.报价结算清单'!L565,"")</f>
        <v/>
      </c>
      <c r="J462" s="105" t="str">
        <f>IF(AND('2.报价结算清单'!$P565&gt;0,'2.报价结算清单'!$B565&lt;&gt;0,'2.报价结算清单'!I565&lt;&gt;0),'2.报价结算清单'!I565,"")</f>
        <v/>
      </c>
      <c r="K462" s="105" t="str">
        <f>IF(AND('2.报价结算清单'!$P565&gt;0,'2.报价结算清单'!$B565&lt;&gt;0,'2.报价结算清单'!$F565&lt;&gt;0),'2.报价结算清单'!N565,"")</f>
        <v/>
      </c>
      <c r="L462" s="105" t="str">
        <f>IF(AND('2.报价结算清单'!$P565&gt;0,'2.报价结算清单'!$B565&lt;&gt;0,'2.报价结算清单'!I565&lt;&gt;0),"天","")</f>
        <v/>
      </c>
      <c r="M462" s="80" t="str">
        <f t="shared" si="18"/>
        <v/>
      </c>
      <c r="N462" s="78" t="str">
        <f t="shared" si="19"/>
        <v/>
      </c>
      <c r="O462" s="78" t="str">
        <f>IF(AND('2.报价结算清单'!$P565&gt;0,'2.报价结算清单'!$B565&lt;&gt;0,'2.报价结算清单'!S565&lt;&gt;0),'2.报价结算清单'!S565,"")</f>
        <v/>
      </c>
      <c r="P462" s="78" t="str">
        <f>IF(AND('2.报价结算清单'!$P565&gt;0,'2.报价结算清单'!$B565&lt;&gt;0,'2.报价结算清单'!T565&lt;&gt;0),'2.报价结算清单'!T565,"")</f>
        <v/>
      </c>
      <c r="Q462" s="78" t="str">
        <f>IF(F462="",J462,VLOOKUP(F462,框架条目清单!A:K,4,FALSE))</f>
        <v/>
      </c>
      <c r="R462" s="106" t="str">
        <f>IF($A462="","",'2.报价结算清单'!$K$183)</f>
        <v/>
      </c>
      <c r="S462" s="80" t="str">
        <f>IF($A462="","",'2.报价结算清单'!$E$183)</f>
        <v/>
      </c>
      <c r="T462" s="78" t="str">
        <f>IF(F462="","",VLOOKUP(F462,框架条目清单!A:K,7,FALSE))</f>
        <v/>
      </c>
      <c r="U462" s="78" t="str">
        <f>IF(F462="","",VLOOKUP(F462,框架条目清单!A:K,8,FALSE))</f>
        <v/>
      </c>
      <c r="V462" s="78" t="str">
        <f>IF(F462="","",VLOOKUP(F462,框架条目清单!A:K,9,FALSE))</f>
        <v/>
      </c>
    </row>
    <row r="463" spans="1:22">
      <c r="A463" s="78" t="str">
        <f>IF(AND('2.报价结算清单'!$P566&gt;0,'2.报价结算清单'!$B566&lt;&gt;0,'2.报价结算清单'!$F566&lt;&gt;0),'2.报价结算清单'!$F566,"")</f>
        <v/>
      </c>
      <c r="B463" s="78" t="str">
        <f>_xlfn.IFNA(VLOOKUP(A463,'3.框架内物料'!$A:$I,3,0),A463)</f>
        <v/>
      </c>
      <c r="C463" s="78" t="str">
        <f>IF(AND('2.报价结算清单'!$P566&gt;0,'2.报价结算清单'!$B566&lt;&gt;0,'2.报价结算清单'!C566&lt;&gt;0),'2.报价结算清单'!C566,"")</f>
        <v/>
      </c>
      <c r="D463" s="78" t="str">
        <f>IF(AND('2.报价结算清单'!$P566&gt;0,'2.报价结算清单'!$B566&lt;&gt;0,'2.报价结算清单'!D566&lt;&gt;0),'2.报价结算清单'!D566,"")</f>
        <v/>
      </c>
      <c r="E463" s="78" t="str">
        <f>IF(AND('2.报价结算清单'!$P566&gt;0,'2.报价结算清单'!$B566&lt;&gt;0,'2.报价结算清单'!E566&lt;&gt;0),'2.报价结算清单'!E566,"")</f>
        <v/>
      </c>
      <c r="F463" s="105" t="str">
        <f>_xlfn.IFNA(IF($A463="","",IF(VLOOKUP($A463,'3.框架内物料'!$A:$I,2,0)="","",VLOOKUP($A463,'3.框架内物料'!$A:$I,2,0))),"")</f>
        <v/>
      </c>
      <c r="G463" s="87" t="str">
        <f>IF(AND('2.报价结算清单'!$P566&gt;0,'2.报价结算清单'!$B566&lt;&gt;0,'2.报价结算清单'!H566&lt;&gt;0),'2.报价结算清单'!H566,"")</f>
        <v/>
      </c>
      <c r="H463" s="122" t="str">
        <f>IF(AND('2.报价结算清单'!$P566&gt;0,'2.报价结算清单'!$B566&lt;&gt;0,'2.报价结算清单'!$F566&lt;&gt;0),'2.报价结算清单'!J566,"")</f>
        <v/>
      </c>
      <c r="I463" s="105" t="str">
        <f>IF(AND('2.报价结算清单'!$P566&gt;0,'2.报价结算清单'!$B566&lt;&gt;0,'2.报价结算清单'!$F566&lt;&gt;0),'2.报价结算清单'!L566,"")</f>
        <v/>
      </c>
      <c r="J463" s="105" t="str">
        <f>IF(AND('2.报价结算清单'!$P566&gt;0,'2.报价结算清单'!$B566&lt;&gt;0,'2.报价结算清单'!I566&lt;&gt;0),'2.报价结算清单'!I566,"")</f>
        <v/>
      </c>
      <c r="K463" s="105" t="str">
        <f>IF(AND('2.报价结算清单'!$P566&gt;0,'2.报价结算清单'!$B566&lt;&gt;0,'2.报价结算清单'!$F566&lt;&gt;0),'2.报价结算清单'!N566,"")</f>
        <v/>
      </c>
      <c r="L463" s="105" t="str">
        <f>IF(AND('2.报价结算清单'!$P566&gt;0,'2.报价结算清单'!$B566&lt;&gt;0,'2.报价结算清单'!I566&lt;&gt;0),"天","")</f>
        <v/>
      </c>
      <c r="M463" s="80" t="str">
        <f t="shared" si="18"/>
        <v/>
      </c>
      <c r="N463" s="78" t="str">
        <f t="shared" si="19"/>
        <v/>
      </c>
      <c r="O463" s="78" t="str">
        <f>IF(AND('2.报价结算清单'!$P566&gt;0,'2.报价结算清单'!$B566&lt;&gt;0,'2.报价结算清单'!S566&lt;&gt;0),'2.报价结算清单'!S566,"")</f>
        <v/>
      </c>
      <c r="P463" s="78" t="str">
        <f>IF(AND('2.报价结算清单'!$P566&gt;0,'2.报价结算清单'!$B566&lt;&gt;0,'2.报价结算清单'!T566&lt;&gt;0),'2.报价结算清单'!T566,"")</f>
        <v/>
      </c>
      <c r="Q463" s="78" t="str">
        <f>IF(F463="",J463,VLOOKUP(F463,框架条目清单!A:K,4,FALSE))</f>
        <v/>
      </c>
      <c r="R463" s="106" t="str">
        <f>IF($A463="","",'2.报价结算清单'!$K$183)</f>
        <v/>
      </c>
      <c r="S463" s="80" t="str">
        <f>IF($A463="","",'2.报价结算清单'!$E$183)</f>
        <v/>
      </c>
      <c r="T463" s="78" t="str">
        <f>IF(F463="","",VLOOKUP(F463,框架条目清单!A:K,7,FALSE))</f>
        <v/>
      </c>
      <c r="U463" s="78" t="str">
        <f>IF(F463="","",VLOOKUP(F463,框架条目清单!A:K,8,FALSE))</f>
        <v/>
      </c>
      <c r="V463" s="78" t="str">
        <f>IF(F463="","",VLOOKUP(F463,框架条目清单!A:K,9,FALSE))</f>
        <v/>
      </c>
    </row>
    <row r="464" spans="1:22">
      <c r="A464" s="78" t="str">
        <f>IF(AND('2.报价结算清单'!$P567&gt;0,'2.报价结算清单'!$B567&lt;&gt;0,'2.报价结算清单'!$F567&lt;&gt;0),'2.报价结算清单'!$F567,"")</f>
        <v/>
      </c>
      <c r="B464" s="78" t="str">
        <f>_xlfn.IFNA(VLOOKUP(A464,'3.框架内物料'!$A:$I,3,0),A464)</f>
        <v/>
      </c>
      <c r="C464" s="78" t="str">
        <f>IF(AND('2.报价结算清单'!$P567&gt;0,'2.报价结算清单'!$B567&lt;&gt;0,'2.报价结算清单'!C567&lt;&gt;0),'2.报价结算清单'!C567,"")</f>
        <v/>
      </c>
      <c r="D464" s="78" t="str">
        <f>IF(AND('2.报价结算清单'!$P567&gt;0,'2.报价结算清单'!$B567&lt;&gt;0,'2.报价结算清单'!D567&lt;&gt;0),'2.报价结算清单'!D567,"")</f>
        <v/>
      </c>
      <c r="E464" s="78" t="str">
        <f>IF(AND('2.报价结算清单'!$P567&gt;0,'2.报价结算清单'!$B567&lt;&gt;0,'2.报价结算清单'!E567&lt;&gt;0),'2.报价结算清单'!E567,"")</f>
        <v/>
      </c>
      <c r="F464" s="105" t="str">
        <f>_xlfn.IFNA(IF($A464="","",IF(VLOOKUP($A464,'3.框架内物料'!$A:$I,2,0)="","",VLOOKUP($A464,'3.框架内物料'!$A:$I,2,0))),"")</f>
        <v/>
      </c>
      <c r="G464" s="87" t="str">
        <f>IF(AND('2.报价结算清单'!$P567&gt;0,'2.报价结算清单'!$B567&lt;&gt;0,'2.报价结算清单'!H567&lt;&gt;0),'2.报价结算清单'!H567,"")</f>
        <v/>
      </c>
      <c r="H464" s="122" t="str">
        <f>IF(AND('2.报价结算清单'!$P567&gt;0,'2.报价结算清单'!$B567&lt;&gt;0,'2.报价结算清单'!$F567&lt;&gt;0),'2.报价结算清单'!J567,"")</f>
        <v/>
      </c>
      <c r="I464" s="105" t="str">
        <f>IF(AND('2.报价结算清单'!$P567&gt;0,'2.报价结算清单'!$B567&lt;&gt;0,'2.报价结算清单'!$F567&lt;&gt;0),'2.报价结算清单'!L567,"")</f>
        <v/>
      </c>
      <c r="J464" s="105" t="str">
        <f>IF(AND('2.报价结算清单'!$P567&gt;0,'2.报价结算清单'!$B567&lt;&gt;0,'2.报价结算清单'!I567&lt;&gt;0),'2.报价结算清单'!I567,"")</f>
        <v/>
      </c>
      <c r="K464" s="105" t="str">
        <f>IF(AND('2.报价结算清单'!$P567&gt;0,'2.报价结算清单'!$B567&lt;&gt;0,'2.报价结算清单'!$F567&lt;&gt;0),'2.报价结算清单'!N567,"")</f>
        <v/>
      </c>
      <c r="L464" s="105" t="str">
        <f>IF(AND('2.报价结算清单'!$P567&gt;0,'2.报价结算清单'!$B567&lt;&gt;0,'2.报价结算清单'!I567&lt;&gt;0),"天","")</f>
        <v/>
      </c>
      <c r="M464" s="80" t="str">
        <f t="shared" si="18"/>
        <v/>
      </c>
      <c r="N464" s="78" t="str">
        <f t="shared" si="19"/>
        <v/>
      </c>
      <c r="O464" s="78" t="str">
        <f>IF(AND('2.报价结算清单'!$P567&gt;0,'2.报价结算清单'!$B567&lt;&gt;0,'2.报价结算清单'!S567&lt;&gt;0),'2.报价结算清单'!S567,"")</f>
        <v/>
      </c>
      <c r="P464" s="78" t="str">
        <f>IF(AND('2.报价结算清单'!$P567&gt;0,'2.报价结算清单'!$B567&lt;&gt;0,'2.报价结算清单'!T567&lt;&gt;0),'2.报价结算清单'!T567,"")</f>
        <v/>
      </c>
      <c r="Q464" s="78" t="str">
        <f>IF(F464="",J464,VLOOKUP(F464,框架条目清单!A:K,4,FALSE))</f>
        <v/>
      </c>
      <c r="R464" s="106" t="str">
        <f>IF($A464="","",'2.报价结算清单'!$K$183)</f>
        <v/>
      </c>
      <c r="S464" s="80" t="str">
        <f>IF($A464="","",'2.报价结算清单'!$E$183)</f>
        <v/>
      </c>
      <c r="T464" s="78" t="str">
        <f>IF(F464="","",VLOOKUP(F464,框架条目清单!A:K,7,FALSE))</f>
        <v/>
      </c>
      <c r="U464" s="78" t="str">
        <f>IF(F464="","",VLOOKUP(F464,框架条目清单!A:K,8,FALSE))</f>
        <v/>
      </c>
      <c r="V464" s="78" t="str">
        <f>IF(F464="","",VLOOKUP(F464,框架条目清单!A:K,9,FALSE))</f>
        <v/>
      </c>
    </row>
    <row r="465" spans="1:22">
      <c r="A465" s="78" t="str">
        <f>IF(AND('2.报价结算清单'!$P568&gt;0,'2.报价结算清单'!$B568&lt;&gt;0,'2.报价结算清单'!$F568&lt;&gt;0),'2.报价结算清单'!$F568,"")</f>
        <v/>
      </c>
      <c r="B465" s="78" t="str">
        <f>_xlfn.IFNA(VLOOKUP(A465,'3.框架内物料'!$A:$I,3,0),A465)</f>
        <v/>
      </c>
      <c r="C465" s="78" t="str">
        <f>IF(AND('2.报价结算清单'!$P568&gt;0,'2.报价结算清单'!$B568&lt;&gt;0,'2.报价结算清单'!C568&lt;&gt;0),'2.报价结算清单'!C568,"")</f>
        <v/>
      </c>
      <c r="D465" s="78" t="str">
        <f>IF(AND('2.报价结算清单'!$P568&gt;0,'2.报价结算清单'!$B568&lt;&gt;0,'2.报价结算清单'!D568&lt;&gt;0),'2.报价结算清单'!D568,"")</f>
        <v/>
      </c>
      <c r="E465" s="78" t="str">
        <f>IF(AND('2.报价结算清单'!$P568&gt;0,'2.报价结算清单'!$B568&lt;&gt;0,'2.报价结算清单'!E568&lt;&gt;0),'2.报价结算清单'!E568,"")</f>
        <v/>
      </c>
      <c r="F465" s="105" t="str">
        <f>_xlfn.IFNA(IF($A465="","",IF(VLOOKUP($A465,'3.框架内物料'!$A:$I,2,0)="","",VLOOKUP($A465,'3.框架内物料'!$A:$I,2,0))),"")</f>
        <v/>
      </c>
      <c r="G465" s="87" t="str">
        <f>IF(AND('2.报价结算清单'!$P568&gt;0,'2.报价结算清单'!$B568&lt;&gt;0,'2.报价结算清单'!H568&lt;&gt;0),'2.报价结算清单'!H568,"")</f>
        <v/>
      </c>
      <c r="H465" s="122" t="str">
        <f>IF(AND('2.报价结算清单'!$P568&gt;0,'2.报价结算清单'!$B568&lt;&gt;0,'2.报价结算清单'!$F568&lt;&gt;0),'2.报价结算清单'!J568,"")</f>
        <v/>
      </c>
      <c r="I465" s="105" t="str">
        <f>IF(AND('2.报价结算清单'!$P568&gt;0,'2.报价结算清单'!$B568&lt;&gt;0,'2.报价结算清单'!$F568&lt;&gt;0),'2.报价结算清单'!L568,"")</f>
        <v/>
      </c>
      <c r="J465" s="105" t="str">
        <f>IF(AND('2.报价结算清单'!$P568&gt;0,'2.报价结算清单'!$B568&lt;&gt;0,'2.报价结算清单'!I568&lt;&gt;0),'2.报价结算清单'!I568,"")</f>
        <v/>
      </c>
      <c r="K465" s="105" t="str">
        <f>IF(AND('2.报价结算清单'!$P568&gt;0,'2.报价结算清单'!$B568&lt;&gt;0,'2.报价结算清单'!$F568&lt;&gt;0),'2.报价结算清单'!N568,"")</f>
        <v/>
      </c>
      <c r="L465" s="105" t="str">
        <f>IF(AND('2.报价结算清单'!$P568&gt;0,'2.报价结算清单'!$B568&lt;&gt;0,'2.报价结算清单'!I568&lt;&gt;0),"天","")</f>
        <v/>
      </c>
      <c r="M465" s="80" t="str">
        <f t="shared" si="18"/>
        <v/>
      </c>
      <c r="N465" s="78" t="str">
        <f t="shared" si="19"/>
        <v/>
      </c>
      <c r="O465" s="78" t="str">
        <f>IF(AND('2.报价结算清单'!$P568&gt;0,'2.报价结算清单'!$B568&lt;&gt;0,'2.报价结算清单'!S568&lt;&gt;0),'2.报价结算清单'!S568,"")</f>
        <v/>
      </c>
      <c r="P465" s="78" t="str">
        <f>IF(AND('2.报价结算清单'!$P568&gt;0,'2.报价结算清单'!$B568&lt;&gt;0,'2.报价结算清单'!T568&lt;&gt;0),'2.报价结算清单'!T568,"")</f>
        <v/>
      </c>
      <c r="Q465" s="78" t="str">
        <f>IF(F465="",J465,VLOOKUP(F465,框架条目清单!A:K,4,FALSE))</f>
        <v/>
      </c>
      <c r="R465" s="106" t="str">
        <f>IF($A465="","",'2.报价结算清单'!$K$183)</f>
        <v/>
      </c>
      <c r="S465" s="80" t="str">
        <f>IF($A465="","",'2.报价结算清单'!$E$183)</f>
        <v/>
      </c>
      <c r="T465" s="78" t="str">
        <f>IF(F465="","",VLOOKUP(F465,框架条目清单!A:K,7,FALSE))</f>
        <v/>
      </c>
      <c r="U465" s="78" t="str">
        <f>IF(F465="","",VLOOKUP(F465,框架条目清单!A:K,8,FALSE))</f>
        <v/>
      </c>
      <c r="V465" s="78" t="str">
        <f>IF(F465="","",VLOOKUP(F465,框架条目清单!A:K,9,FALSE))</f>
        <v/>
      </c>
    </row>
    <row r="466" spans="1:22">
      <c r="A466" s="78" t="str">
        <f>IF(AND('2.报价结算清单'!$P569&gt;0,'2.报价结算清单'!$B569&lt;&gt;0,'2.报价结算清单'!$F569&lt;&gt;0),'2.报价结算清单'!$F569,"")</f>
        <v/>
      </c>
      <c r="B466" s="78" t="str">
        <f>_xlfn.IFNA(VLOOKUP(A466,'3.框架内物料'!$A:$I,3,0),A466)</f>
        <v/>
      </c>
      <c r="C466" s="78" t="str">
        <f>IF(AND('2.报价结算清单'!$P569&gt;0,'2.报价结算清单'!$B569&lt;&gt;0,'2.报价结算清单'!C569&lt;&gt;0),'2.报价结算清单'!C569,"")</f>
        <v/>
      </c>
      <c r="D466" s="78" t="str">
        <f>IF(AND('2.报价结算清单'!$P569&gt;0,'2.报价结算清单'!$B569&lt;&gt;0,'2.报价结算清单'!D569&lt;&gt;0),'2.报价结算清单'!D569,"")</f>
        <v/>
      </c>
      <c r="E466" s="78" t="str">
        <f>IF(AND('2.报价结算清单'!$P569&gt;0,'2.报价结算清单'!$B569&lt;&gt;0,'2.报价结算清单'!E569&lt;&gt;0),'2.报价结算清单'!E569,"")</f>
        <v/>
      </c>
      <c r="F466" s="105" t="str">
        <f>_xlfn.IFNA(IF($A466="","",IF(VLOOKUP($A466,'3.框架内物料'!$A:$I,2,0)="","",VLOOKUP($A466,'3.框架内物料'!$A:$I,2,0))),"")</f>
        <v/>
      </c>
      <c r="G466" s="87" t="str">
        <f>IF(AND('2.报价结算清单'!$P569&gt;0,'2.报价结算清单'!$B569&lt;&gt;0,'2.报价结算清单'!H569&lt;&gt;0),'2.报价结算清单'!H569,"")</f>
        <v/>
      </c>
      <c r="H466" s="122" t="str">
        <f>IF(AND('2.报价结算清单'!$P569&gt;0,'2.报价结算清单'!$B569&lt;&gt;0,'2.报价结算清单'!$F569&lt;&gt;0),'2.报价结算清单'!J569,"")</f>
        <v/>
      </c>
      <c r="I466" s="105" t="str">
        <f>IF(AND('2.报价结算清单'!$P569&gt;0,'2.报价结算清单'!$B569&lt;&gt;0,'2.报价结算清单'!$F569&lt;&gt;0),'2.报价结算清单'!L569,"")</f>
        <v/>
      </c>
      <c r="J466" s="105" t="str">
        <f>IF(AND('2.报价结算清单'!$P569&gt;0,'2.报价结算清单'!$B569&lt;&gt;0,'2.报价结算清单'!I569&lt;&gt;0),'2.报价结算清单'!I569,"")</f>
        <v/>
      </c>
      <c r="K466" s="105" t="str">
        <f>IF(AND('2.报价结算清单'!$P569&gt;0,'2.报价结算清单'!$B569&lt;&gt;0,'2.报价结算清单'!$F569&lt;&gt;0),'2.报价结算清单'!N569,"")</f>
        <v/>
      </c>
      <c r="L466" s="105" t="str">
        <f>IF(AND('2.报价结算清单'!$P569&gt;0,'2.报价结算清单'!$B569&lt;&gt;0,'2.报价结算清单'!I569&lt;&gt;0),"天","")</f>
        <v/>
      </c>
      <c r="M466" s="80" t="str">
        <f t="shared" si="18"/>
        <v/>
      </c>
      <c r="N466" s="78" t="str">
        <f t="shared" si="19"/>
        <v/>
      </c>
      <c r="O466" s="78" t="str">
        <f>IF(AND('2.报价结算清单'!$P569&gt;0,'2.报价结算清单'!$B569&lt;&gt;0,'2.报价结算清单'!S569&lt;&gt;0),'2.报价结算清单'!S569,"")</f>
        <v/>
      </c>
      <c r="P466" s="78" t="str">
        <f>IF(AND('2.报价结算清单'!$P569&gt;0,'2.报价结算清单'!$B569&lt;&gt;0,'2.报价结算清单'!T569&lt;&gt;0),'2.报价结算清单'!T569,"")</f>
        <v/>
      </c>
      <c r="Q466" s="78" t="str">
        <f>IF(F466="",J466,VLOOKUP(F466,框架条目清单!A:K,4,FALSE))</f>
        <v/>
      </c>
      <c r="R466" s="106" t="str">
        <f>IF($A466="","",'2.报价结算清单'!$K$183)</f>
        <v/>
      </c>
      <c r="S466" s="80" t="str">
        <f>IF($A466="","",'2.报价结算清单'!$E$183)</f>
        <v/>
      </c>
      <c r="T466" s="78" t="str">
        <f>IF(F466="","",VLOOKUP(F466,框架条目清单!A:K,7,FALSE))</f>
        <v/>
      </c>
      <c r="U466" s="78" t="str">
        <f>IF(F466="","",VLOOKUP(F466,框架条目清单!A:K,8,FALSE))</f>
        <v/>
      </c>
      <c r="V466" s="78" t="str">
        <f>IF(F466="","",VLOOKUP(F466,框架条目清单!A:K,9,FALSE))</f>
        <v/>
      </c>
    </row>
    <row r="467" spans="1:22">
      <c r="A467" s="78" t="str">
        <f>IF(AND('2.报价结算清单'!$P570&gt;0,'2.报价结算清单'!$B570&lt;&gt;0,'2.报价结算清单'!$F570&lt;&gt;0),'2.报价结算清单'!$F570,"")</f>
        <v/>
      </c>
      <c r="B467" s="78" t="str">
        <f>_xlfn.IFNA(VLOOKUP(A467,'3.框架内物料'!$A:$I,3,0),A467)</f>
        <v/>
      </c>
      <c r="C467" s="78" t="str">
        <f>IF(AND('2.报价结算清单'!$P570&gt;0,'2.报价结算清单'!$B570&lt;&gt;0,'2.报价结算清单'!C570&lt;&gt;0),'2.报价结算清单'!C570,"")</f>
        <v/>
      </c>
      <c r="D467" s="78" t="str">
        <f>IF(AND('2.报价结算清单'!$P570&gt;0,'2.报价结算清单'!$B570&lt;&gt;0,'2.报价结算清单'!D570&lt;&gt;0),'2.报价结算清单'!D570,"")</f>
        <v/>
      </c>
      <c r="E467" s="78" t="str">
        <f>IF(AND('2.报价结算清单'!$P570&gt;0,'2.报价结算清单'!$B570&lt;&gt;0,'2.报价结算清单'!E570&lt;&gt;0),'2.报价结算清单'!E570,"")</f>
        <v/>
      </c>
      <c r="F467" s="105" t="str">
        <f>_xlfn.IFNA(IF($A467="","",IF(VLOOKUP($A467,'3.框架内物料'!$A:$I,2,0)="","",VLOOKUP($A467,'3.框架内物料'!$A:$I,2,0))),"")</f>
        <v/>
      </c>
      <c r="G467" s="87" t="str">
        <f>IF(AND('2.报价结算清单'!$P570&gt;0,'2.报价结算清单'!$B570&lt;&gt;0,'2.报价结算清单'!H570&lt;&gt;0),'2.报价结算清单'!H570,"")</f>
        <v/>
      </c>
      <c r="H467" s="122" t="str">
        <f>IF(AND('2.报价结算清单'!$P570&gt;0,'2.报价结算清单'!$B570&lt;&gt;0,'2.报价结算清单'!$F570&lt;&gt;0),'2.报价结算清单'!J570,"")</f>
        <v/>
      </c>
      <c r="I467" s="105" t="str">
        <f>IF(AND('2.报价结算清单'!$P570&gt;0,'2.报价结算清单'!$B570&lt;&gt;0,'2.报价结算清单'!$F570&lt;&gt;0),'2.报价结算清单'!L570,"")</f>
        <v/>
      </c>
      <c r="J467" s="105" t="str">
        <f>IF(AND('2.报价结算清单'!$P570&gt;0,'2.报价结算清单'!$B570&lt;&gt;0,'2.报价结算清单'!I570&lt;&gt;0),'2.报价结算清单'!I570,"")</f>
        <v/>
      </c>
      <c r="K467" s="105" t="str">
        <f>IF(AND('2.报价结算清单'!$P570&gt;0,'2.报价结算清单'!$B570&lt;&gt;0,'2.报价结算清单'!$F570&lt;&gt;0),'2.报价结算清单'!N570,"")</f>
        <v/>
      </c>
      <c r="L467" s="105" t="str">
        <f>IF(AND('2.报价结算清单'!$P570&gt;0,'2.报价结算清单'!$B570&lt;&gt;0,'2.报价结算清单'!I570&lt;&gt;0),"天","")</f>
        <v/>
      </c>
      <c r="M467" s="80" t="str">
        <f t="shared" si="18"/>
        <v/>
      </c>
      <c r="N467" s="78" t="str">
        <f t="shared" si="19"/>
        <v/>
      </c>
      <c r="O467" s="78" t="str">
        <f>IF(AND('2.报价结算清单'!$P570&gt;0,'2.报价结算清单'!$B570&lt;&gt;0,'2.报价结算清单'!S570&lt;&gt;0),'2.报价结算清单'!S570,"")</f>
        <v/>
      </c>
      <c r="P467" s="78" t="str">
        <f>IF(AND('2.报价结算清单'!$P570&gt;0,'2.报价结算清单'!$B570&lt;&gt;0,'2.报价结算清单'!T570&lt;&gt;0),'2.报价结算清单'!T570,"")</f>
        <v/>
      </c>
      <c r="Q467" s="78" t="str">
        <f>IF(F467="",J467,VLOOKUP(F467,框架条目清单!A:K,4,FALSE))</f>
        <v/>
      </c>
      <c r="R467" s="106" t="str">
        <f>IF($A467="","",'2.报价结算清单'!$K$183)</f>
        <v/>
      </c>
      <c r="S467" s="80" t="str">
        <f>IF($A467="","",'2.报价结算清单'!$E$183)</f>
        <v/>
      </c>
      <c r="T467" s="78" t="str">
        <f>IF(F467="","",VLOOKUP(F467,框架条目清单!A:K,7,FALSE))</f>
        <v/>
      </c>
      <c r="U467" s="78" t="str">
        <f>IF(F467="","",VLOOKUP(F467,框架条目清单!A:K,8,FALSE))</f>
        <v/>
      </c>
      <c r="V467" s="78" t="str">
        <f>IF(F467="","",VLOOKUP(F467,框架条目清单!A:K,9,FALSE))</f>
        <v/>
      </c>
    </row>
    <row r="468" spans="1:22">
      <c r="A468" s="78" t="str">
        <f>IF(AND('2.报价结算清单'!$P571&gt;0,'2.报价结算清单'!$B571&lt;&gt;0,'2.报价结算清单'!$F571&lt;&gt;0),'2.报价结算清单'!$F571,"")</f>
        <v/>
      </c>
      <c r="B468" s="78" t="str">
        <f>_xlfn.IFNA(VLOOKUP(A468,'3.框架内物料'!$A:$I,3,0),A468)</f>
        <v/>
      </c>
      <c r="C468" s="78" t="str">
        <f>IF(AND('2.报价结算清单'!$P571&gt;0,'2.报价结算清单'!$B571&lt;&gt;0,'2.报价结算清单'!C571&lt;&gt;0),'2.报价结算清单'!C571,"")</f>
        <v/>
      </c>
      <c r="D468" s="78" t="str">
        <f>IF(AND('2.报价结算清单'!$P571&gt;0,'2.报价结算清单'!$B571&lt;&gt;0,'2.报价结算清单'!D571&lt;&gt;0),'2.报价结算清单'!D571,"")</f>
        <v/>
      </c>
      <c r="E468" s="78" t="str">
        <f>IF(AND('2.报价结算清单'!$P571&gt;0,'2.报价结算清单'!$B571&lt;&gt;0,'2.报价结算清单'!E571&lt;&gt;0),'2.报价结算清单'!E571,"")</f>
        <v/>
      </c>
      <c r="F468" s="105" t="str">
        <f>_xlfn.IFNA(IF($A468="","",IF(VLOOKUP($A468,'3.框架内物料'!$A:$I,2,0)="","",VLOOKUP($A468,'3.框架内物料'!$A:$I,2,0))),"")</f>
        <v/>
      </c>
      <c r="G468" s="87" t="str">
        <f>IF(AND('2.报价结算清单'!$P571&gt;0,'2.报价结算清单'!$B571&lt;&gt;0,'2.报价结算清单'!H571&lt;&gt;0),'2.报价结算清单'!H571,"")</f>
        <v/>
      </c>
      <c r="H468" s="122" t="str">
        <f>IF(AND('2.报价结算清单'!$P571&gt;0,'2.报价结算清单'!$B571&lt;&gt;0,'2.报价结算清单'!$F571&lt;&gt;0),'2.报价结算清单'!J571,"")</f>
        <v/>
      </c>
      <c r="I468" s="105" t="str">
        <f>IF(AND('2.报价结算清单'!$P571&gt;0,'2.报价结算清单'!$B571&lt;&gt;0,'2.报价结算清单'!$F571&lt;&gt;0),'2.报价结算清单'!L571,"")</f>
        <v/>
      </c>
      <c r="J468" s="105" t="str">
        <f>IF(AND('2.报价结算清单'!$P571&gt;0,'2.报价结算清单'!$B571&lt;&gt;0,'2.报价结算清单'!I571&lt;&gt;0),'2.报价结算清单'!I571,"")</f>
        <v/>
      </c>
      <c r="K468" s="105" t="str">
        <f>IF(AND('2.报价结算清单'!$P571&gt;0,'2.报价结算清单'!$B571&lt;&gt;0,'2.报价结算清单'!$F571&lt;&gt;0),'2.报价结算清单'!N571,"")</f>
        <v/>
      </c>
      <c r="L468" s="105" t="str">
        <f>IF(AND('2.报价结算清单'!$P571&gt;0,'2.报价结算清单'!$B571&lt;&gt;0,'2.报价结算清单'!I571&lt;&gt;0),"天","")</f>
        <v/>
      </c>
      <c r="M468" s="80" t="str">
        <f t="shared" si="18"/>
        <v/>
      </c>
      <c r="N468" s="78" t="str">
        <f t="shared" si="19"/>
        <v/>
      </c>
      <c r="O468" s="78" t="str">
        <f>IF(AND('2.报价结算清单'!$P571&gt;0,'2.报价结算清单'!$B571&lt;&gt;0,'2.报价结算清单'!S571&lt;&gt;0),'2.报价结算清单'!S571,"")</f>
        <v/>
      </c>
      <c r="P468" s="78" t="str">
        <f>IF(AND('2.报价结算清单'!$P571&gt;0,'2.报价结算清单'!$B571&lt;&gt;0,'2.报价结算清单'!T571&lt;&gt;0),'2.报价结算清单'!T571,"")</f>
        <v/>
      </c>
      <c r="Q468" s="78" t="str">
        <f>IF(F468="",J468,VLOOKUP(F468,框架条目清单!A:K,4,FALSE))</f>
        <v/>
      </c>
      <c r="R468" s="106" t="str">
        <f>IF($A468="","",'2.报价结算清单'!$K$183)</f>
        <v/>
      </c>
      <c r="S468" s="80" t="str">
        <f>IF($A468="","",'2.报价结算清单'!$E$183)</f>
        <v/>
      </c>
      <c r="T468" s="78" t="str">
        <f>IF(F468="","",VLOOKUP(F468,框架条目清单!A:K,7,FALSE))</f>
        <v/>
      </c>
      <c r="U468" s="78" t="str">
        <f>IF(F468="","",VLOOKUP(F468,框架条目清单!A:K,8,FALSE))</f>
        <v/>
      </c>
      <c r="V468" s="78" t="str">
        <f>IF(F468="","",VLOOKUP(F468,框架条目清单!A:K,9,FALSE))</f>
        <v/>
      </c>
    </row>
    <row r="469" spans="1:22">
      <c r="A469" s="78" t="str">
        <f>IF(AND('2.报价结算清单'!$P572&gt;0,'2.报价结算清单'!$B572&lt;&gt;0,'2.报价结算清单'!$F572&lt;&gt;0),'2.报价结算清单'!$F572,"")</f>
        <v/>
      </c>
      <c r="B469" s="78" t="str">
        <f>_xlfn.IFNA(VLOOKUP(A469,'3.框架内物料'!$A:$I,3,0),A469)</f>
        <v/>
      </c>
      <c r="C469" s="78" t="str">
        <f>IF(AND('2.报价结算清单'!$P572&gt;0,'2.报价结算清单'!$B572&lt;&gt;0,'2.报价结算清单'!C572&lt;&gt;0),'2.报价结算清单'!C572,"")</f>
        <v/>
      </c>
      <c r="D469" s="78" t="str">
        <f>IF(AND('2.报价结算清单'!$P572&gt;0,'2.报价结算清单'!$B572&lt;&gt;0,'2.报价结算清单'!D572&lt;&gt;0),'2.报价结算清单'!D572,"")</f>
        <v/>
      </c>
      <c r="E469" s="78" t="str">
        <f>IF(AND('2.报价结算清单'!$P572&gt;0,'2.报价结算清单'!$B572&lt;&gt;0,'2.报价结算清单'!E572&lt;&gt;0),'2.报价结算清单'!E572,"")</f>
        <v/>
      </c>
      <c r="F469" s="105" t="str">
        <f>_xlfn.IFNA(IF($A469="","",IF(VLOOKUP($A469,'3.框架内物料'!$A:$I,2,0)="","",VLOOKUP($A469,'3.框架内物料'!$A:$I,2,0))),"")</f>
        <v/>
      </c>
      <c r="G469" s="87" t="str">
        <f>IF(AND('2.报价结算清单'!$P572&gt;0,'2.报价结算清单'!$B572&lt;&gt;0,'2.报价结算清单'!H572&lt;&gt;0),'2.报价结算清单'!H572,"")</f>
        <v/>
      </c>
      <c r="H469" s="122" t="str">
        <f>IF(AND('2.报价结算清单'!$P572&gt;0,'2.报价结算清单'!$B572&lt;&gt;0,'2.报价结算清单'!$F572&lt;&gt;0),'2.报价结算清单'!J572,"")</f>
        <v/>
      </c>
      <c r="I469" s="105" t="str">
        <f>IF(AND('2.报价结算清单'!$P572&gt;0,'2.报价结算清单'!$B572&lt;&gt;0,'2.报价结算清单'!$F572&lt;&gt;0),'2.报价结算清单'!L572,"")</f>
        <v/>
      </c>
      <c r="J469" s="105" t="str">
        <f>IF(AND('2.报价结算清单'!$P572&gt;0,'2.报价结算清单'!$B572&lt;&gt;0,'2.报价结算清单'!I572&lt;&gt;0),'2.报价结算清单'!I572,"")</f>
        <v/>
      </c>
      <c r="K469" s="105" t="str">
        <f>IF(AND('2.报价结算清单'!$P572&gt;0,'2.报价结算清单'!$B572&lt;&gt;0,'2.报价结算清单'!$F572&lt;&gt;0),'2.报价结算清单'!N572,"")</f>
        <v/>
      </c>
      <c r="L469" s="105" t="str">
        <f>IF(AND('2.报价结算清单'!$P572&gt;0,'2.报价结算清单'!$B572&lt;&gt;0,'2.报价结算清单'!I572&lt;&gt;0),"天","")</f>
        <v/>
      </c>
      <c r="M469" s="80" t="str">
        <f t="shared" si="18"/>
        <v/>
      </c>
      <c r="N469" s="78" t="str">
        <f t="shared" si="19"/>
        <v/>
      </c>
      <c r="O469" s="78" t="str">
        <f>IF(AND('2.报价结算清单'!$P572&gt;0,'2.报价结算清单'!$B572&lt;&gt;0,'2.报价结算清单'!S572&lt;&gt;0),'2.报价结算清单'!S572,"")</f>
        <v/>
      </c>
      <c r="P469" s="78" t="str">
        <f>IF(AND('2.报价结算清单'!$P572&gt;0,'2.报价结算清单'!$B572&lt;&gt;0,'2.报价结算清单'!T572&lt;&gt;0),'2.报价结算清单'!T572,"")</f>
        <v/>
      </c>
      <c r="Q469" s="78" t="str">
        <f>IF(F469="",J469,VLOOKUP(F469,框架条目清单!A:K,4,FALSE))</f>
        <v/>
      </c>
      <c r="R469" s="106" t="str">
        <f>IF($A469="","",'2.报价结算清单'!$K$183)</f>
        <v/>
      </c>
      <c r="S469" s="80" t="str">
        <f>IF($A469="","",'2.报价结算清单'!$E$183)</f>
        <v/>
      </c>
      <c r="T469" s="78" t="str">
        <f>IF(F469="","",VLOOKUP(F469,框架条目清单!A:K,7,FALSE))</f>
        <v/>
      </c>
      <c r="U469" s="78" t="str">
        <f>IF(F469="","",VLOOKUP(F469,框架条目清单!A:K,8,FALSE))</f>
        <v/>
      </c>
      <c r="V469" s="78" t="str">
        <f>IF(F469="","",VLOOKUP(F469,框架条目清单!A:K,9,FALSE))</f>
        <v/>
      </c>
    </row>
    <row r="470" spans="1:22">
      <c r="A470" s="78" t="str">
        <f>IF(AND('2.报价结算清单'!$P573&gt;0,'2.报价结算清单'!$B573&lt;&gt;0,'2.报价结算清单'!$F573&lt;&gt;0),'2.报价结算清单'!$F573,"")</f>
        <v/>
      </c>
      <c r="B470" s="78" t="str">
        <f>_xlfn.IFNA(VLOOKUP(A470,'3.框架内物料'!$A:$I,3,0),A470)</f>
        <v/>
      </c>
      <c r="C470" s="78" t="str">
        <f>IF(AND('2.报价结算清单'!$P573&gt;0,'2.报价结算清单'!$B573&lt;&gt;0,'2.报价结算清单'!C573&lt;&gt;0),'2.报价结算清单'!C573,"")</f>
        <v/>
      </c>
      <c r="D470" s="78" t="str">
        <f>IF(AND('2.报价结算清单'!$P573&gt;0,'2.报价结算清单'!$B573&lt;&gt;0,'2.报价结算清单'!D573&lt;&gt;0),'2.报价结算清单'!D573,"")</f>
        <v/>
      </c>
      <c r="E470" s="78" t="str">
        <f>IF(AND('2.报价结算清单'!$P573&gt;0,'2.报价结算清单'!$B573&lt;&gt;0,'2.报价结算清单'!E573&lt;&gt;0),'2.报价结算清单'!E573,"")</f>
        <v/>
      </c>
      <c r="F470" s="105" t="str">
        <f>_xlfn.IFNA(IF($A470="","",IF(VLOOKUP($A470,'3.框架内物料'!$A:$I,2,0)="","",VLOOKUP($A470,'3.框架内物料'!$A:$I,2,0))),"")</f>
        <v/>
      </c>
      <c r="G470" s="87" t="str">
        <f>IF(AND('2.报价结算清单'!$P573&gt;0,'2.报价结算清单'!$B573&lt;&gt;0,'2.报价结算清单'!H573&lt;&gt;0),'2.报价结算清单'!H573,"")</f>
        <v/>
      </c>
      <c r="H470" s="122" t="str">
        <f>IF(AND('2.报价结算清单'!$P573&gt;0,'2.报价结算清单'!$B573&lt;&gt;0,'2.报价结算清单'!$F573&lt;&gt;0),'2.报价结算清单'!J573,"")</f>
        <v/>
      </c>
      <c r="I470" s="105" t="str">
        <f>IF(AND('2.报价结算清单'!$P573&gt;0,'2.报价结算清单'!$B573&lt;&gt;0,'2.报价结算清单'!$F573&lt;&gt;0),'2.报价结算清单'!L573,"")</f>
        <v/>
      </c>
      <c r="J470" s="105" t="str">
        <f>IF(AND('2.报价结算清单'!$P573&gt;0,'2.报价结算清单'!$B573&lt;&gt;0,'2.报价结算清单'!I573&lt;&gt;0),'2.报价结算清单'!I573,"")</f>
        <v/>
      </c>
      <c r="K470" s="105" t="str">
        <f>IF(AND('2.报价结算清单'!$P573&gt;0,'2.报价结算清单'!$B573&lt;&gt;0,'2.报价结算清单'!$F573&lt;&gt;0),'2.报价结算清单'!N573,"")</f>
        <v/>
      </c>
      <c r="L470" s="105" t="str">
        <f>IF(AND('2.报价结算清单'!$P573&gt;0,'2.报价结算清单'!$B573&lt;&gt;0,'2.报价结算清单'!I573&lt;&gt;0),"天","")</f>
        <v/>
      </c>
      <c r="M470" s="80" t="str">
        <f t="shared" si="18"/>
        <v/>
      </c>
      <c r="N470" s="78" t="str">
        <f t="shared" si="19"/>
        <v/>
      </c>
      <c r="O470" s="78" t="str">
        <f>IF(AND('2.报价结算清单'!$P573&gt;0,'2.报价结算清单'!$B573&lt;&gt;0,'2.报价结算清单'!S573&lt;&gt;0),'2.报价结算清单'!S573,"")</f>
        <v/>
      </c>
      <c r="P470" s="78" t="str">
        <f>IF(AND('2.报价结算清单'!$P573&gt;0,'2.报价结算清单'!$B573&lt;&gt;0,'2.报价结算清单'!T573&lt;&gt;0),'2.报价结算清单'!T573,"")</f>
        <v/>
      </c>
      <c r="Q470" s="78" t="str">
        <f>IF(F470="",J470,VLOOKUP(F470,框架条目清单!A:K,4,FALSE))</f>
        <v/>
      </c>
      <c r="R470" s="106" t="str">
        <f>IF($A470="","",'2.报价结算清单'!$K$183)</f>
        <v/>
      </c>
      <c r="S470" s="80" t="str">
        <f>IF($A470="","",'2.报价结算清单'!$E$183)</f>
        <v/>
      </c>
      <c r="T470" s="78" t="str">
        <f>IF(F470="","",VLOOKUP(F470,框架条目清单!A:K,7,FALSE))</f>
        <v/>
      </c>
      <c r="U470" s="78" t="str">
        <f>IF(F470="","",VLOOKUP(F470,框架条目清单!A:K,8,FALSE))</f>
        <v/>
      </c>
      <c r="V470" s="78" t="str">
        <f>IF(F470="","",VLOOKUP(F470,框架条目清单!A:K,9,FALSE))</f>
        <v/>
      </c>
    </row>
    <row r="471" spans="1:22">
      <c r="A471" s="78" t="str">
        <f>IF(AND('2.报价结算清单'!$P574&gt;0,'2.报价结算清单'!$B574&lt;&gt;0,'2.报价结算清单'!$F574&lt;&gt;0),'2.报价结算清单'!$F574,"")</f>
        <v/>
      </c>
      <c r="B471" s="78" t="str">
        <f>_xlfn.IFNA(VLOOKUP(A471,'3.框架内物料'!$A:$I,3,0),A471)</f>
        <v/>
      </c>
      <c r="C471" s="78" t="str">
        <f>IF(AND('2.报价结算清单'!$P574&gt;0,'2.报价结算清单'!$B574&lt;&gt;0,'2.报价结算清单'!C574&lt;&gt;0),'2.报价结算清单'!C574,"")</f>
        <v/>
      </c>
      <c r="D471" s="78" t="str">
        <f>IF(AND('2.报价结算清单'!$P574&gt;0,'2.报价结算清单'!$B574&lt;&gt;0,'2.报价结算清单'!D574&lt;&gt;0),'2.报价结算清单'!D574,"")</f>
        <v/>
      </c>
      <c r="E471" s="78" t="str">
        <f>IF(AND('2.报价结算清单'!$P574&gt;0,'2.报价结算清单'!$B574&lt;&gt;0,'2.报价结算清单'!E574&lt;&gt;0),'2.报价结算清单'!E574,"")</f>
        <v/>
      </c>
      <c r="F471" s="105" t="str">
        <f>_xlfn.IFNA(IF($A471="","",IF(VLOOKUP($A471,'3.框架内物料'!$A:$I,2,0)="","",VLOOKUP($A471,'3.框架内物料'!$A:$I,2,0))),"")</f>
        <v/>
      </c>
      <c r="G471" s="87" t="str">
        <f>IF(AND('2.报价结算清单'!$P574&gt;0,'2.报价结算清单'!$B574&lt;&gt;0,'2.报价结算清单'!H574&lt;&gt;0),'2.报价结算清单'!H574,"")</f>
        <v/>
      </c>
      <c r="H471" s="122" t="str">
        <f>IF(AND('2.报价结算清单'!$P574&gt;0,'2.报价结算清单'!$B574&lt;&gt;0,'2.报价结算清单'!$F574&lt;&gt;0),'2.报价结算清单'!J574,"")</f>
        <v/>
      </c>
      <c r="I471" s="105" t="str">
        <f>IF(AND('2.报价结算清单'!$P574&gt;0,'2.报价结算清单'!$B574&lt;&gt;0,'2.报价结算清单'!$F574&lt;&gt;0),'2.报价结算清单'!L574,"")</f>
        <v/>
      </c>
      <c r="J471" s="105" t="str">
        <f>IF(AND('2.报价结算清单'!$P574&gt;0,'2.报价结算清单'!$B574&lt;&gt;0,'2.报价结算清单'!I574&lt;&gt;0),'2.报价结算清单'!I574,"")</f>
        <v/>
      </c>
      <c r="K471" s="105" t="str">
        <f>IF(AND('2.报价结算清单'!$P574&gt;0,'2.报价结算清单'!$B574&lt;&gt;0,'2.报价结算清单'!$F574&lt;&gt;0),'2.报价结算清单'!N574,"")</f>
        <v/>
      </c>
      <c r="L471" s="105" t="str">
        <f>IF(AND('2.报价结算清单'!$P574&gt;0,'2.报价结算清单'!$B574&lt;&gt;0,'2.报价结算清单'!I574&lt;&gt;0),"天","")</f>
        <v/>
      </c>
      <c r="M471" s="80" t="str">
        <f t="shared" si="18"/>
        <v/>
      </c>
      <c r="N471" s="78" t="str">
        <f t="shared" si="19"/>
        <v/>
      </c>
      <c r="O471" s="78" t="str">
        <f>IF(AND('2.报价结算清单'!$P574&gt;0,'2.报价结算清单'!$B574&lt;&gt;0,'2.报价结算清单'!S574&lt;&gt;0),'2.报价结算清单'!S574,"")</f>
        <v/>
      </c>
      <c r="P471" s="78" t="str">
        <f>IF(AND('2.报价结算清单'!$P574&gt;0,'2.报价结算清单'!$B574&lt;&gt;0,'2.报价结算清单'!T574&lt;&gt;0),'2.报价结算清单'!T574,"")</f>
        <v/>
      </c>
      <c r="Q471" s="78" t="str">
        <f>IF(F471="",J471,VLOOKUP(F471,框架条目清单!A:K,4,FALSE))</f>
        <v/>
      </c>
      <c r="R471" s="106" t="str">
        <f>IF($A471="","",'2.报价结算清单'!$K$183)</f>
        <v/>
      </c>
      <c r="S471" s="80" t="str">
        <f>IF($A471="","",'2.报价结算清单'!$E$183)</f>
        <v/>
      </c>
      <c r="T471" s="78" t="str">
        <f>IF(F471="","",VLOOKUP(F471,框架条目清单!A:K,7,FALSE))</f>
        <v/>
      </c>
      <c r="U471" s="78" t="str">
        <f>IF(F471="","",VLOOKUP(F471,框架条目清单!A:K,8,FALSE))</f>
        <v/>
      </c>
      <c r="V471" s="78" t="str">
        <f>IF(F471="","",VLOOKUP(F471,框架条目清单!A:K,9,FALSE))</f>
        <v/>
      </c>
    </row>
    <row r="472" spans="1:22">
      <c r="A472" s="78" t="str">
        <f>IF(AND('2.报价结算清单'!$P575&gt;0,'2.报价结算清单'!$B575&lt;&gt;0,'2.报价结算清单'!$F575&lt;&gt;0),'2.报价结算清单'!$F575,"")</f>
        <v/>
      </c>
      <c r="B472" s="78" t="str">
        <f>_xlfn.IFNA(VLOOKUP(A472,'3.框架内物料'!$A:$I,3,0),A472)</f>
        <v/>
      </c>
      <c r="C472" s="78" t="str">
        <f>IF(AND('2.报价结算清单'!$P575&gt;0,'2.报价结算清单'!$B575&lt;&gt;0,'2.报价结算清单'!C575&lt;&gt;0),'2.报价结算清单'!C575,"")</f>
        <v/>
      </c>
      <c r="D472" s="78" t="str">
        <f>IF(AND('2.报价结算清单'!$P575&gt;0,'2.报价结算清单'!$B575&lt;&gt;0,'2.报价结算清单'!D575&lt;&gt;0),'2.报价结算清单'!D575,"")</f>
        <v/>
      </c>
      <c r="E472" s="78" t="str">
        <f>IF(AND('2.报价结算清单'!$P575&gt;0,'2.报价结算清单'!$B575&lt;&gt;0,'2.报价结算清单'!E575&lt;&gt;0),'2.报价结算清单'!E575,"")</f>
        <v/>
      </c>
      <c r="F472" s="105" t="str">
        <f>_xlfn.IFNA(IF($A472="","",IF(VLOOKUP($A472,'3.框架内物料'!$A:$I,2,0)="","",VLOOKUP($A472,'3.框架内物料'!$A:$I,2,0))),"")</f>
        <v/>
      </c>
      <c r="G472" s="87" t="str">
        <f>IF(AND('2.报价结算清单'!$P575&gt;0,'2.报价结算清单'!$B575&lt;&gt;0,'2.报价结算清单'!H575&lt;&gt;0),'2.报价结算清单'!H575,"")</f>
        <v/>
      </c>
      <c r="H472" s="122" t="str">
        <f>IF(AND('2.报价结算清单'!$P575&gt;0,'2.报价结算清单'!$B575&lt;&gt;0,'2.报价结算清单'!$F575&lt;&gt;0),'2.报价结算清单'!J575,"")</f>
        <v/>
      </c>
      <c r="I472" s="105" t="str">
        <f>IF(AND('2.报价结算清单'!$P575&gt;0,'2.报价结算清单'!$B575&lt;&gt;0,'2.报价结算清单'!$F575&lt;&gt;0),'2.报价结算清单'!L575,"")</f>
        <v/>
      </c>
      <c r="J472" s="105" t="str">
        <f>IF(AND('2.报价结算清单'!$P575&gt;0,'2.报价结算清单'!$B575&lt;&gt;0,'2.报价结算清单'!I575&lt;&gt;0),'2.报价结算清单'!I575,"")</f>
        <v/>
      </c>
      <c r="K472" s="105" t="str">
        <f>IF(AND('2.报价结算清单'!$P575&gt;0,'2.报价结算清单'!$B575&lt;&gt;0,'2.报价结算清单'!$F575&lt;&gt;0),'2.报价结算清单'!N575,"")</f>
        <v/>
      </c>
      <c r="L472" s="105" t="str">
        <f>IF(AND('2.报价结算清单'!$P575&gt;0,'2.报价结算清单'!$B575&lt;&gt;0,'2.报价结算清单'!I575&lt;&gt;0),"天","")</f>
        <v/>
      </c>
      <c r="M472" s="80" t="str">
        <f t="shared" si="18"/>
        <v/>
      </c>
      <c r="N472" s="78" t="str">
        <f t="shared" si="19"/>
        <v/>
      </c>
      <c r="O472" s="78" t="str">
        <f>IF(AND('2.报价结算清单'!$P575&gt;0,'2.报价结算清单'!$B575&lt;&gt;0,'2.报价结算清单'!S575&lt;&gt;0),'2.报价结算清单'!S575,"")</f>
        <v/>
      </c>
      <c r="P472" s="78" t="str">
        <f>IF(AND('2.报价结算清单'!$P575&gt;0,'2.报价结算清单'!$B575&lt;&gt;0,'2.报价结算清单'!T575&lt;&gt;0),'2.报价结算清单'!T575,"")</f>
        <v/>
      </c>
      <c r="Q472" s="78" t="str">
        <f>IF(F472="",J472,VLOOKUP(F472,框架条目清单!A:K,4,FALSE))</f>
        <v/>
      </c>
      <c r="R472" s="106" t="str">
        <f>IF($A472="","",'2.报价结算清单'!$K$183)</f>
        <v/>
      </c>
      <c r="S472" s="80" t="str">
        <f>IF($A472="","",'2.报价结算清单'!$E$183)</f>
        <v/>
      </c>
      <c r="T472" s="78" t="str">
        <f>IF(F472="","",VLOOKUP(F472,框架条目清单!A:K,7,FALSE))</f>
        <v/>
      </c>
      <c r="U472" s="78" t="str">
        <f>IF(F472="","",VLOOKUP(F472,框架条目清单!A:K,8,FALSE))</f>
        <v/>
      </c>
      <c r="V472" s="78" t="str">
        <f>IF(F472="","",VLOOKUP(F472,框架条目清单!A:K,9,FALSE))</f>
        <v/>
      </c>
    </row>
    <row r="473" spans="1:22">
      <c r="A473" s="78" t="str">
        <f>IF(AND('2.报价结算清单'!$P576&gt;0,'2.报价结算清单'!$B576&lt;&gt;0,'2.报价结算清单'!$F576&lt;&gt;0),'2.报价结算清单'!$F576,"")</f>
        <v/>
      </c>
      <c r="B473" s="78" t="str">
        <f>_xlfn.IFNA(VLOOKUP(A473,'3.框架内物料'!$A:$I,3,0),A473)</f>
        <v/>
      </c>
      <c r="C473" s="78" t="str">
        <f>IF(AND('2.报价结算清单'!$P576&gt;0,'2.报价结算清单'!$B576&lt;&gt;0,'2.报价结算清单'!C576&lt;&gt;0),'2.报价结算清单'!C576,"")</f>
        <v/>
      </c>
      <c r="D473" s="78" t="str">
        <f>IF(AND('2.报价结算清单'!$P576&gt;0,'2.报价结算清单'!$B576&lt;&gt;0,'2.报价结算清单'!D576&lt;&gt;0),'2.报价结算清单'!D576,"")</f>
        <v/>
      </c>
      <c r="E473" s="78" t="str">
        <f>IF(AND('2.报价结算清单'!$P576&gt;0,'2.报价结算清单'!$B576&lt;&gt;0,'2.报价结算清单'!E576&lt;&gt;0),'2.报价结算清单'!E576,"")</f>
        <v/>
      </c>
      <c r="F473" s="105" t="str">
        <f>_xlfn.IFNA(IF($A473="","",IF(VLOOKUP($A473,'3.框架内物料'!$A:$I,2,0)="","",VLOOKUP($A473,'3.框架内物料'!$A:$I,2,0))),"")</f>
        <v/>
      </c>
      <c r="G473" s="87" t="str">
        <f>IF(AND('2.报价结算清单'!$P576&gt;0,'2.报价结算清单'!$B576&lt;&gt;0,'2.报价结算清单'!H576&lt;&gt;0),'2.报价结算清单'!H576,"")</f>
        <v/>
      </c>
      <c r="H473" s="122" t="str">
        <f>IF(AND('2.报价结算清单'!$P576&gt;0,'2.报价结算清单'!$B576&lt;&gt;0,'2.报价结算清单'!$F576&lt;&gt;0),'2.报价结算清单'!J576,"")</f>
        <v/>
      </c>
      <c r="I473" s="105" t="str">
        <f>IF(AND('2.报价结算清单'!$P576&gt;0,'2.报价结算清单'!$B576&lt;&gt;0,'2.报价结算清单'!$F576&lt;&gt;0),'2.报价结算清单'!L576,"")</f>
        <v/>
      </c>
      <c r="J473" s="105" t="str">
        <f>IF(AND('2.报价结算清单'!$P576&gt;0,'2.报价结算清单'!$B576&lt;&gt;0,'2.报价结算清单'!I576&lt;&gt;0),'2.报价结算清单'!I576,"")</f>
        <v/>
      </c>
      <c r="K473" s="105" t="str">
        <f>IF(AND('2.报价结算清单'!$P576&gt;0,'2.报价结算清单'!$B576&lt;&gt;0,'2.报价结算清单'!$F576&lt;&gt;0),'2.报价结算清单'!N576,"")</f>
        <v/>
      </c>
      <c r="L473" s="105" t="str">
        <f>IF(AND('2.报价结算清单'!$P576&gt;0,'2.报价结算清单'!$B576&lt;&gt;0,'2.报价结算清单'!I576&lt;&gt;0),"天","")</f>
        <v/>
      </c>
      <c r="M473" s="80" t="str">
        <f t="shared" si="18"/>
        <v/>
      </c>
      <c r="N473" s="78" t="str">
        <f t="shared" si="19"/>
        <v/>
      </c>
      <c r="O473" s="78" t="str">
        <f>IF(AND('2.报价结算清单'!$P576&gt;0,'2.报价结算清单'!$B576&lt;&gt;0,'2.报价结算清单'!S576&lt;&gt;0),'2.报价结算清单'!S576,"")</f>
        <v/>
      </c>
      <c r="P473" s="78" t="str">
        <f>IF(AND('2.报价结算清单'!$P576&gt;0,'2.报价结算清单'!$B576&lt;&gt;0,'2.报价结算清单'!T576&lt;&gt;0),'2.报价结算清单'!T576,"")</f>
        <v/>
      </c>
      <c r="Q473" s="78" t="str">
        <f>IF(F473="",J473,VLOOKUP(F473,框架条目清单!A:K,4,FALSE))</f>
        <v/>
      </c>
      <c r="R473" s="106" t="str">
        <f>IF($A473="","",'2.报价结算清单'!$K$183)</f>
        <v/>
      </c>
      <c r="S473" s="80" t="str">
        <f>IF($A473="","",'2.报价结算清单'!$E$183)</f>
        <v/>
      </c>
      <c r="T473" s="78" t="str">
        <f>IF(F473="","",VLOOKUP(F473,框架条目清单!A:K,7,FALSE))</f>
        <v/>
      </c>
      <c r="U473" s="78" t="str">
        <f>IF(F473="","",VLOOKUP(F473,框架条目清单!A:K,8,FALSE))</f>
        <v/>
      </c>
      <c r="V473" s="78" t="str">
        <f>IF(F473="","",VLOOKUP(F473,框架条目清单!A:K,9,FALSE))</f>
        <v/>
      </c>
    </row>
    <row r="474" spans="1:22">
      <c r="A474" s="78" t="str">
        <f>IF(AND('2.报价结算清单'!$P577&gt;0,'2.报价结算清单'!$B577&lt;&gt;0,'2.报价结算清单'!$F577&lt;&gt;0),'2.报价结算清单'!$F577,"")</f>
        <v/>
      </c>
      <c r="B474" s="78" t="str">
        <f>_xlfn.IFNA(VLOOKUP(A474,'3.框架内物料'!$A:$I,3,0),A474)</f>
        <v/>
      </c>
      <c r="C474" s="78" t="str">
        <f>IF(AND('2.报价结算清单'!$P577&gt;0,'2.报价结算清单'!$B577&lt;&gt;0,'2.报价结算清单'!C577&lt;&gt;0),'2.报价结算清单'!C577,"")</f>
        <v/>
      </c>
      <c r="D474" s="78" t="str">
        <f>IF(AND('2.报价结算清单'!$P577&gt;0,'2.报价结算清单'!$B577&lt;&gt;0,'2.报价结算清单'!D577&lt;&gt;0),'2.报价结算清单'!D577,"")</f>
        <v/>
      </c>
      <c r="E474" s="78" t="str">
        <f>IF(AND('2.报价结算清单'!$P577&gt;0,'2.报价结算清单'!$B577&lt;&gt;0,'2.报价结算清单'!E577&lt;&gt;0),'2.报价结算清单'!E577,"")</f>
        <v/>
      </c>
      <c r="F474" s="105" t="str">
        <f>_xlfn.IFNA(IF($A474="","",IF(VLOOKUP($A474,'3.框架内物料'!$A:$I,2,0)="","",VLOOKUP($A474,'3.框架内物料'!$A:$I,2,0))),"")</f>
        <v/>
      </c>
      <c r="G474" s="87" t="str">
        <f>IF(AND('2.报价结算清单'!$P577&gt;0,'2.报价结算清单'!$B577&lt;&gt;0,'2.报价结算清单'!H577&lt;&gt;0),'2.报价结算清单'!H577,"")</f>
        <v/>
      </c>
      <c r="H474" s="122" t="str">
        <f>IF(AND('2.报价结算清单'!$P577&gt;0,'2.报价结算清单'!$B577&lt;&gt;0,'2.报价结算清单'!$F577&lt;&gt;0),'2.报价结算清单'!J577,"")</f>
        <v/>
      </c>
      <c r="I474" s="105" t="str">
        <f>IF(AND('2.报价结算清单'!$P577&gt;0,'2.报价结算清单'!$B577&lt;&gt;0,'2.报价结算清单'!$F577&lt;&gt;0),'2.报价结算清单'!L577,"")</f>
        <v/>
      </c>
      <c r="J474" s="105" t="str">
        <f>IF(AND('2.报价结算清单'!$P577&gt;0,'2.报价结算清单'!$B577&lt;&gt;0,'2.报价结算清单'!I577&lt;&gt;0),'2.报价结算清单'!I577,"")</f>
        <v/>
      </c>
      <c r="K474" s="105" t="str">
        <f>IF(AND('2.报价结算清单'!$P577&gt;0,'2.报价结算清单'!$B577&lt;&gt;0,'2.报价结算清单'!$F577&lt;&gt;0),'2.报价结算清单'!N577,"")</f>
        <v/>
      </c>
      <c r="L474" s="105" t="str">
        <f>IF(AND('2.报价结算清单'!$P577&gt;0,'2.报价结算清单'!$B577&lt;&gt;0,'2.报价结算清单'!I577&lt;&gt;0),"天","")</f>
        <v/>
      </c>
      <c r="M474" s="80" t="str">
        <f t="shared" si="18"/>
        <v/>
      </c>
      <c r="N474" s="78" t="str">
        <f t="shared" si="19"/>
        <v/>
      </c>
      <c r="O474" s="78" t="str">
        <f>IF(AND('2.报价结算清单'!$P577&gt;0,'2.报价结算清单'!$B577&lt;&gt;0,'2.报价结算清单'!S577&lt;&gt;0),'2.报价结算清单'!S577,"")</f>
        <v/>
      </c>
      <c r="P474" s="78" t="str">
        <f>IF(AND('2.报价结算清单'!$P577&gt;0,'2.报价结算清单'!$B577&lt;&gt;0,'2.报价结算清单'!T577&lt;&gt;0),'2.报价结算清单'!T577,"")</f>
        <v/>
      </c>
      <c r="Q474" s="78" t="str">
        <f>IF(F474="",J474,VLOOKUP(F474,框架条目清单!A:K,4,FALSE))</f>
        <v/>
      </c>
      <c r="R474" s="106" t="str">
        <f>IF($A474="","",'2.报价结算清单'!$K$183)</f>
        <v/>
      </c>
      <c r="S474" s="80" t="str">
        <f>IF($A474="","",'2.报价结算清单'!$E$183)</f>
        <v/>
      </c>
      <c r="T474" s="78" t="str">
        <f>IF(F474="","",VLOOKUP(F474,框架条目清单!A:K,7,FALSE))</f>
        <v/>
      </c>
      <c r="U474" s="78" t="str">
        <f>IF(F474="","",VLOOKUP(F474,框架条目清单!A:K,8,FALSE))</f>
        <v/>
      </c>
      <c r="V474" s="78" t="str">
        <f>IF(F474="","",VLOOKUP(F474,框架条目清单!A:K,9,FALSE))</f>
        <v/>
      </c>
    </row>
    <row r="475" spans="1:22">
      <c r="A475" s="78" t="str">
        <f>IF(AND('2.报价结算清单'!$P578&gt;0,'2.报价结算清单'!$B578&lt;&gt;0,'2.报价结算清单'!$F578&lt;&gt;0),'2.报价结算清单'!$F578,"")</f>
        <v/>
      </c>
      <c r="B475" s="78" t="str">
        <f>_xlfn.IFNA(VLOOKUP(A475,'3.框架内物料'!$A:$I,3,0),A475)</f>
        <v/>
      </c>
      <c r="C475" s="78" t="str">
        <f>IF(AND('2.报价结算清单'!$P578&gt;0,'2.报价结算清单'!$B578&lt;&gt;0,'2.报价结算清单'!C578&lt;&gt;0),'2.报价结算清单'!C578,"")</f>
        <v/>
      </c>
      <c r="D475" s="78" t="str">
        <f>IF(AND('2.报价结算清单'!$P578&gt;0,'2.报价结算清单'!$B578&lt;&gt;0,'2.报价结算清单'!D578&lt;&gt;0),'2.报价结算清单'!D578,"")</f>
        <v/>
      </c>
      <c r="E475" s="78" t="str">
        <f>IF(AND('2.报价结算清单'!$P578&gt;0,'2.报价结算清单'!$B578&lt;&gt;0,'2.报价结算清单'!E578&lt;&gt;0),'2.报价结算清单'!E578,"")</f>
        <v/>
      </c>
      <c r="F475" s="105" t="str">
        <f>_xlfn.IFNA(IF($A475="","",IF(VLOOKUP($A475,'3.框架内物料'!$A:$I,2,0)="","",VLOOKUP($A475,'3.框架内物料'!$A:$I,2,0))),"")</f>
        <v/>
      </c>
      <c r="G475" s="87" t="str">
        <f>IF(AND('2.报价结算清单'!$P578&gt;0,'2.报价结算清单'!$B578&lt;&gt;0,'2.报价结算清单'!H578&lt;&gt;0),'2.报价结算清单'!H578,"")</f>
        <v/>
      </c>
      <c r="H475" s="122" t="str">
        <f>IF(AND('2.报价结算清单'!$P578&gt;0,'2.报价结算清单'!$B578&lt;&gt;0,'2.报价结算清单'!$F578&lt;&gt;0),'2.报价结算清单'!J578,"")</f>
        <v/>
      </c>
      <c r="I475" s="105" t="str">
        <f>IF(AND('2.报价结算清单'!$P578&gt;0,'2.报价结算清单'!$B578&lt;&gt;0,'2.报价结算清单'!$F578&lt;&gt;0),'2.报价结算清单'!L578,"")</f>
        <v/>
      </c>
      <c r="J475" s="105" t="str">
        <f>IF(AND('2.报价结算清单'!$P578&gt;0,'2.报价结算清单'!$B578&lt;&gt;0,'2.报价结算清单'!I578&lt;&gt;0),'2.报价结算清单'!I578,"")</f>
        <v/>
      </c>
      <c r="K475" s="105" t="str">
        <f>IF(AND('2.报价结算清单'!$P578&gt;0,'2.报价结算清单'!$B578&lt;&gt;0,'2.报价结算清单'!$F578&lt;&gt;0),'2.报价结算清单'!N578,"")</f>
        <v/>
      </c>
      <c r="L475" s="105" t="str">
        <f>IF(AND('2.报价结算清单'!$P578&gt;0,'2.报价结算清单'!$B578&lt;&gt;0,'2.报价结算清单'!I578&lt;&gt;0),"天","")</f>
        <v/>
      </c>
      <c r="M475" s="80" t="str">
        <f t="shared" si="18"/>
        <v/>
      </c>
      <c r="N475" s="78" t="str">
        <f t="shared" si="19"/>
        <v/>
      </c>
      <c r="O475" s="78" t="str">
        <f>IF(AND('2.报价结算清单'!$P578&gt;0,'2.报价结算清单'!$B578&lt;&gt;0,'2.报价结算清单'!S578&lt;&gt;0),'2.报价结算清单'!S578,"")</f>
        <v/>
      </c>
      <c r="P475" s="78" t="str">
        <f>IF(AND('2.报价结算清单'!$P578&gt;0,'2.报价结算清单'!$B578&lt;&gt;0,'2.报价结算清单'!T578&lt;&gt;0),'2.报价结算清单'!T578,"")</f>
        <v/>
      </c>
      <c r="Q475" s="78" t="str">
        <f>IF(F475="",J475,VLOOKUP(F475,框架条目清单!A:K,4,FALSE))</f>
        <v/>
      </c>
      <c r="R475" s="106" t="str">
        <f>IF($A475="","",'2.报价结算清单'!$K$183)</f>
        <v/>
      </c>
      <c r="S475" s="80" t="str">
        <f>IF($A475="","",'2.报价结算清单'!$E$183)</f>
        <v/>
      </c>
      <c r="T475" s="78" t="str">
        <f>IF(F475="","",VLOOKUP(F475,框架条目清单!A:K,7,FALSE))</f>
        <v/>
      </c>
      <c r="U475" s="78" t="str">
        <f>IF(F475="","",VLOOKUP(F475,框架条目清单!A:K,8,FALSE))</f>
        <v/>
      </c>
      <c r="V475" s="78" t="str">
        <f>IF(F475="","",VLOOKUP(F475,框架条目清单!A:K,9,FALSE))</f>
        <v/>
      </c>
    </row>
    <row r="476" spans="1:22">
      <c r="A476" s="78" t="str">
        <f>IF(AND('2.报价结算清单'!$P579&gt;0,'2.报价结算清单'!$B579&lt;&gt;0,'2.报价结算清单'!$F579&lt;&gt;0),'2.报价结算清单'!$F579,"")</f>
        <v/>
      </c>
      <c r="B476" s="78" t="str">
        <f>_xlfn.IFNA(VLOOKUP(A476,'3.框架内物料'!$A:$I,3,0),A476)</f>
        <v/>
      </c>
      <c r="C476" s="78" t="str">
        <f>IF(AND('2.报价结算清单'!$P579&gt;0,'2.报价结算清单'!$B579&lt;&gt;0,'2.报价结算清单'!C579&lt;&gt;0),'2.报价结算清单'!C579,"")</f>
        <v/>
      </c>
      <c r="D476" s="78" t="str">
        <f>IF(AND('2.报价结算清单'!$P579&gt;0,'2.报价结算清单'!$B579&lt;&gt;0,'2.报价结算清单'!D579&lt;&gt;0),'2.报价结算清单'!D579,"")</f>
        <v/>
      </c>
      <c r="E476" s="78" t="str">
        <f>IF(AND('2.报价结算清单'!$P579&gt;0,'2.报价结算清单'!$B579&lt;&gt;0,'2.报价结算清单'!E579&lt;&gt;0),'2.报价结算清单'!E579,"")</f>
        <v/>
      </c>
      <c r="F476" s="105" t="str">
        <f>_xlfn.IFNA(IF($A476="","",IF(VLOOKUP($A476,'3.框架内物料'!$A:$I,2,0)="","",VLOOKUP($A476,'3.框架内物料'!$A:$I,2,0))),"")</f>
        <v/>
      </c>
      <c r="G476" s="87" t="str">
        <f>IF(AND('2.报价结算清单'!$P579&gt;0,'2.报价结算清单'!$B579&lt;&gt;0,'2.报价结算清单'!H579&lt;&gt;0),'2.报价结算清单'!H579,"")</f>
        <v/>
      </c>
      <c r="H476" s="122" t="str">
        <f>IF(AND('2.报价结算清单'!$P579&gt;0,'2.报价结算清单'!$B579&lt;&gt;0,'2.报价结算清单'!$F579&lt;&gt;0),'2.报价结算清单'!J579,"")</f>
        <v/>
      </c>
      <c r="I476" s="105" t="str">
        <f>IF(AND('2.报价结算清单'!$P579&gt;0,'2.报价结算清单'!$B579&lt;&gt;0,'2.报价结算清单'!$F579&lt;&gt;0),'2.报价结算清单'!L579,"")</f>
        <v/>
      </c>
      <c r="J476" s="105" t="str">
        <f>IF(AND('2.报价结算清单'!$P579&gt;0,'2.报价结算清单'!$B579&lt;&gt;0,'2.报价结算清单'!I579&lt;&gt;0),'2.报价结算清单'!I579,"")</f>
        <v/>
      </c>
      <c r="K476" s="105" t="str">
        <f>IF(AND('2.报价结算清单'!$P579&gt;0,'2.报价结算清单'!$B579&lt;&gt;0,'2.报价结算清单'!$F579&lt;&gt;0),'2.报价结算清单'!N579,"")</f>
        <v/>
      </c>
      <c r="L476" s="105" t="str">
        <f>IF(AND('2.报价结算清单'!$P579&gt;0,'2.报价结算清单'!$B579&lt;&gt;0,'2.报价结算清单'!I579&lt;&gt;0),"天","")</f>
        <v/>
      </c>
      <c r="M476" s="80" t="str">
        <f t="shared" si="18"/>
        <v/>
      </c>
      <c r="N476" s="78" t="str">
        <f t="shared" si="19"/>
        <v/>
      </c>
      <c r="O476" s="78" t="str">
        <f>IF(AND('2.报价结算清单'!$P579&gt;0,'2.报价结算清单'!$B579&lt;&gt;0,'2.报价结算清单'!S579&lt;&gt;0),'2.报价结算清单'!S579,"")</f>
        <v/>
      </c>
      <c r="P476" s="78" t="str">
        <f>IF(AND('2.报价结算清单'!$P579&gt;0,'2.报价结算清单'!$B579&lt;&gt;0,'2.报价结算清单'!T579&lt;&gt;0),'2.报价结算清单'!T579,"")</f>
        <v/>
      </c>
      <c r="Q476" s="78" t="str">
        <f>IF(F476="",J476,VLOOKUP(F476,框架条目清单!A:K,4,FALSE))</f>
        <v/>
      </c>
      <c r="R476" s="106" t="str">
        <f>IF($A476="","",'2.报价结算清单'!$K$183)</f>
        <v/>
      </c>
      <c r="S476" s="80" t="str">
        <f>IF($A476="","",'2.报价结算清单'!$E$183)</f>
        <v/>
      </c>
      <c r="T476" s="78" t="str">
        <f>IF(F476="","",VLOOKUP(F476,框架条目清单!A:K,7,FALSE))</f>
        <v/>
      </c>
      <c r="U476" s="78" t="str">
        <f>IF(F476="","",VLOOKUP(F476,框架条目清单!A:K,8,FALSE))</f>
        <v/>
      </c>
      <c r="V476" s="78" t="str">
        <f>IF(F476="","",VLOOKUP(F476,框架条目清单!A:K,9,FALSE))</f>
        <v/>
      </c>
    </row>
    <row r="477" spans="1:22">
      <c r="A477" s="78" t="str">
        <f>IF(AND('2.报价结算清单'!$P580&gt;0,'2.报价结算清单'!$B580&lt;&gt;0,'2.报价结算清单'!$F580&lt;&gt;0),'2.报价结算清单'!$F580,"")</f>
        <v/>
      </c>
      <c r="B477" s="78" t="str">
        <f>_xlfn.IFNA(VLOOKUP(A477,'3.框架内物料'!$A:$I,3,0),A477)</f>
        <v/>
      </c>
      <c r="C477" s="78" t="str">
        <f>IF(AND('2.报价结算清单'!$P580&gt;0,'2.报价结算清单'!$B580&lt;&gt;0,'2.报价结算清单'!C580&lt;&gt;0),'2.报价结算清单'!C580,"")</f>
        <v/>
      </c>
      <c r="D477" s="78" t="str">
        <f>IF(AND('2.报价结算清单'!$P580&gt;0,'2.报价结算清单'!$B580&lt;&gt;0,'2.报价结算清单'!D580&lt;&gt;0),'2.报价结算清单'!D580,"")</f>
        <v/>
      </c>
      <c r="E477" s="78" t="str">
        <f>IF(AND('2.报价结算清单'!$P580&gt;0,'2.报价结算清单'!$B580&lt;&gt;0,'2.报价结算清单'!E580&lt;&gt;0),'2.报价结算清单'!E580,"")</f>
        <v/>
      </c>
      <c r="F477" s="105" t="str">
        <f>_xlfn.IFNA(IF($A477="","",IF(VLOOKUP($A477,'3.框架内物料'!$A:$I,2,0)="","",VLOOKUP($A477,'3.框架内物料'!$A:$I,2,0))),"")</f>
        <v/>
      </c>
      <c r="G477" s="87" t="str">
        <f>IF(AND('2.报价结算清单'!$P580&gt;0,'2.报价结算清单'!$B580&lt;&gt;0,'2.报价结算清单'!H580&lt;&gt;0),'2.报价结算清单'!H580,"")</f>
        <v/>
      </c>
      <c r="H477" s="122" t="str">
        <f>IF(AND('2.报价结算清单'!$P580&gt;0,'2.报价结算清单'!$B580&lt;&gt;0,'2.报价结算清单'!$F580&lt;&gt;0),'2.报价结算清单'!J580,"")</f>
        <v/>
      </c>
      <c r="I477" s="105" t="str">
        <f>IF(AND('2.报价结算清单'!$P580&gt;0,'2.报价结算清单'!$B580&lt;&gt;0,'2.报价结算清单'!$F580&lt;&gt;0),'2.报价结算清单'!L580,"")</f>
        <v/>
      </c>
      <c r="J477" s="105" t="str">
        <f>IF(AND('2.报价结算清单'!$P580&gt;0,'2.报价结算清单'!$B580&lt;&gt;0,'2.报价结算清单'!I580&lt;&gt;0),'2.报价结算清单'!I580,"")</f>
        <v/>
      </c>
      <c r="K477" s="105" t="str">
        <f>IF(AND('2.报价结算清单'!$P580&gt;0,'2.报价结算清单'!$B580&lt;&gt;0,'2.报价结算清单'!$F580&lt;&gt;0),'2.报价结算清单'!N580,"")</f>
        <v/>
      </c>
      <c r="L477" s="105" t="str">
        <f>IF(AND('2.报价结算清单'!$P580&gt;0,'2.报价结算清单'!$B580&lt;&gt;0,'2.报价结算清单'!I580&lt;&gt;0),"天","")</f>
        <v/>
      </c>
      <c r="M477" s="80" t="str">
        <f t="shared" si="18"/>
        <v/>
      </c>
      <c r="N477" s="78" t="str">
        <f t="shared" si="19"/>
        <v/>
      </c>
      <c r="O477" s="78" t="str">
        <f>IF(AND('2.报价结算清单'!$P580&gt;0,'2.报价结算清单'!$B580&lt;&gt;0,'2.报价结算清单'!S580&lt;&gt;0),'2.报价结算清单'!S580,"")</f>
        <v/>
      </c>
      <c r="P477" s="78" t="str">
        <f>IF(AND('2.报价结算清单'!$P580&gt;0,'2.报价结算清单'!$B580&lt;&gt;0,'2.报价结算清单'!T580&lt;&gt;0),'2.报价结算清单'!T580,"")</f>
        <v/>
      </c>
      <c r="Q477" s="78" t="str">
        <f>IF(F477="",J477,VLOOKUP(F477,框架条目清单!A:K,4,FALSE))</f>
        <v/>
      </c>
      <c r="R477" s="106" t="str">
        <f>IF($A477="","",'2.报价结算清单'!$K$183)</f>
        <v/>
      </c>
      <c r="S477" s="80" t="str">
        <f>IF($A477="","",'2.报价结算清单'!$E$183)</f>
        <v/>
      </c>
      <c r="T477" s="78" t="str">
        <f>IF(F477="","",VLOOKUP(F477,框架条目清单!A:K,7,FALSE))</f>
        <v/>
      </c>
      <c r="U477" s="78" t="str">
        <f>IF(F477="","",VLOOKUP(F477,框架条目清单!A:K,8,FALSE))</f>
        <v/>
      </c>
      <c r="V477" s="78" t="str">
        <f>IF(F477="","",VLOOKUP(F477,框架条目清单!A:K,9,FALSE))</f>
        <v/>
      </c>
    </row>
    <row r="478" spans="1:22">
      <c r="A478" s="78" t="str">
        <f>IF(AND('2.报价结算清单'!$P581&gt;0,'2.报价结算清单'!$B581&lt;&gt;0,'2.报价结算清单'!$F581&lt;&gt;0),'2.报价结算清单'!$F581,"")</f>
        <v/>
      </c>
      <c r="B478" s="78" t="str">
        <f>_xlfn.IFNA(VLOOKUP(A478,'3.框架内物料'!$A:$I,3,0),A478)</f>
        <v/>
      </c>
      <c r="C478" s="78" t="str">
        <f>IF(AND('2.报价结算清单'!$P581&gt;0,'2.报价结算清单'!$B581&lt;&gt;0,'2.报价结算清单'!C581&lt;&gt;0),'2.报价结算清单'!C581,"")</f>
        <v/>
      </c>
      <c r="D478" s="78" t="str">
        <f>IF(AND('2.报价结算清单'!$P581&gt;0,'2.报价结算清单'!$B581&lt;&gt;0,'2.报价结算清单'!D581&lt;&gt;0),'2.报价结算清单'!D581,"")</f>
        <v/>
      </c>
      <c r="E478" s="78" t="str">
        <f>IF(AND('2.报价结算清单'!$P581&gt;0,'2.报价结算清单'!$B581&lt;&gt;0,'2.报价结算清单'!E581&lt;&gt;0),'2.报价结算清单'!E581,"")</f>
        <v/>
      </c>
      <c r="F478" s="105" t="str">
        <f>_xlfn.IFNA(IF($A478="","",IF(VLOOKUP($A478,'3.框架内物料'!$A:$I,2,0)="","",VLOOKUP($A478,'3.框架内物料'!$A:$I,2,0))),"")</f>
        <v/>
      </c>
      <c r="G478" s="87" t="str">
        <f>IF(AND('2.报价结算清单'!$P581&gt;0,'2.报价结算清单'!$B581&lt;&gt;0,'2.报价结算清单'!H581&lt;&gt;0),'2.报价结算清单'!H581,"")</f>
        <v/>
      </c>
      <c r="H478" s="122" t="str">
        <f>IF(AND('2.报价结算清单'!$P581&gt;0,'2.报价结算清单'!$B581&lt;&gt;0,'2.报价结算清单'!$F581&lt;&gt;0),'2.报价结算清单'!J581,"")</f>
        <v/>
      </c>
      <c r="I478" s="105" t="str">
        <f>IF(AND('2.报价结算清单'!$P581&gt;0,'2.报价结算清单'!$B581&lt;&gt;0,'2.报价结算清单'!$F581&lt;&gt;0),'2.报价结算清单'!L581,"")</f>
        <v/>
      </c>
      <c r="J478" s="105" t="str">
        <f>IF(AND('2.报价结算清单'!$P581&gt;0,'2.报价结算清单'!$B581&lt;&gt;0,'2.报价结算清单'!I581&lt;&gt;0),'2.报价结算清单'!I581,"")</f>
        <v/>
      </c>
      <c r="K478" s="105" t="str">
        <f>IF(AND('2.报价结算清单'!$P581&gt;0,'2.报价结算清单'!$B581&lt;&gt;0,'2.报价结算清单'!$F581&lt;&gt;0),'2.报价结算清单'!N581,"")</f>
        <v/>
      </c>
      <c r="L478" s="105" t="str">
        <f>IF(AND('2.报价结算清单'!$P581&gt;0,'2.报价结算清单'!$B581&lt;&gt;0,'2.报价结算清单'!I581&lt;&gt;0),"天","")</f>
        <v/>
      </c>
      <c r="M478" s="80" t="str">
        <f t="shared" si="18"/>
        <v/>
      </c>
      <c r="N478" s="78" t="str">
        <f t="shared" si="19"/>
        <v/>
      </c>
      <c r="O478" s="78" t="str">
        <f>IF(AND('2.报价结算清单'!$P581&gt;0,'2.报价结算清单'!$B581&lt;&gt;0,'2.报价结算清单'!S581&lt;&gt;0),'2.报价结算清单'!S581,"")</f>
        <v/>
      </c>
      <c r="P478" s="78" t="str">
        <f>IF(AND('2.报价结算清单'!$P581&gt;0,'2.报价结算清单'!$B581&lt;&gt;0,'2.报价结算清单'!T581&lt;&gt;0),'2.报价结算清单'!T581,"")</f>
        <v/>
      </c>
      <c r="Q478" s="78" t="str">
        <f>IF(F478="",J478,VLOOKUP(F478,框架条目清单!A:K,4,FALSE))</f>
        <v/>
      </c>
      <c r="R478" s="106" t="str">
        <f>IF($A478="","",'2.报价结算清单'!$K$183)</f>
        <v/>
      </c>
      <c r="S478" s="80" t="str">
        <f>IF($A478="","",'2.报价结算清单'!$E$183)</f>
        <v/>
      </c>
      <c r="T478" s="78" t="str">
        <f>IF(F478="","",VLOOKUP(F478,框架条目清单!A:K,7,FALSE))</f>
        <v/>
      </c>
      <c r="U478" s="78" t="str">
        <f>IF(F478="","",VLOOKUP(F478,框架条目清单!A:K,8,FALSE))</f>
        <v/>
      </c>
      <c r="V478" s="78" t="str">
        <f>IF(F478="","",VLOOKUP(F478,框架条目清单!A:K,9,FALSE))</f>
        <v/>
      </c>
    </row>
    <row r="479" spans="1:22">
      <c r="A479" s="78" t="str">
        <f>IF(AND('2.报价结算清单'!$P582&gt;0,'2.报价结算清单'!$B582&lt;&gt;0,'2.报价结算清单'!$F582&lt;&gt;0),'2.报价结算清单'!$F582,"")</f>
        <v/>
      </c>
      <c r="B479" s="78" t="str">
        <f>_xlfn.IFNA(VLOOKUP(A479,'3.框架内物料'!$A:$I,3,0),A479)</f>
        <v/>
      </c>
      <c r="C479" s="78" t="str">
        <f>IF(AND('2.报价结算清单'!$P582&gt;0,'2.报价结算清单'!$B582&lt;&gt;0,'2.报价结算清单'!C582&lt;&gt;0),'2.报价结算清单'!C582,"")</f>
        <v/>
      </c>
      <c r="D479" s="78" t="str">
        <f>IF(AND('2.报价结算清单'!$P582&gt;0,'2.报价结算清单'!$B582&lt;&gt;0,'2.报价结算清单'!D582&lt;&gt;0),'2.报价结算清单'!D582,"")</f>
        <v/>
      </c>
      <c r="E479" s="78" t="str">
        <f>IF(AND('2.报价结算清单'!$P582&gt;0,'2.报价结算清单'!$B582&lt;&gt;0,'2.报价结算清单'!E582&lt;&gt;0),'2.报价结算清单'!E582,"")</f>
        <v/>
      </c>
      <c r="F479" s="105" t="str">
        <f>_xlfn.IFNA(IF($A479="","",IF(VLOOKUP($A479,'3.框架内物料'!$A:$I,2,0)="","",VLOOKUP($A479,'3.框架内物料'!$A:$I,2,0))),"")</f>
        <v/>
      </c>
      <c r="G479" s="87" t="str">
        <f>IF(AND('2.报价结算清单'!$P582&gt;0,'2.报价结算清单'!$B582&lt;&gt;0,'2.报价结算清单'!H582&lt;&gt;0),'2.报价结算清单'!H582,"")</f>
        <v/>
      </c>
      <c r="H479" s="122" t="str">
        <f>IF(AND('2.报价结算清单'!$P582&gt;0,'2.报价结算清单'!$B582&lt;&gt;0,'2.报价结算清单'!$F582&lt;&gt;0),'2.报价结算清单'!J582,"")</f>
        <v/>
      </c>
      <c r="I479" s="105" t="str">
        <f>IF(AND('2.报价结算清单'!$P582&gt;0,'2.报价结算清单'!$B582&lt;&gt;0,'2.报价结算清单'!$F582&lt;&gt;0),'2.报价结算清单'!L582,"")</f>
        <v/>
      </c>
      <c r="J479" s="105" t="str">
        <f>IF(AND('2.报价结算清单'!$P582&gt;0,'2.报价结算清单'!$B582&lt;&gt;0,'2.报价结算清单'!I582&lt;&gt;0),'2.报价结算清单'!I582,"")</f>
        <v/>
      </c>
      <c r="K479" s="105" t="str">
        <f>IF(AND('2.报价结算清单'!$P582&gt;0,'2.报价结算清单'!$B582&lt;&gt;0,'2.报价结算清单'!$F582&lt;&gt;0),'2.报价结算清单'!N582,"")</f>
        <v/>
      </c>
      <c r="L479" s="105" t="str">
        <f>IF(AND('2.报价结算清单'!$P582&gt;0,'2.报价结算清单'!$B582&lt;&gt;0,'2.报价结算清单'!I582&lt;&gt;0),"天","")</f>
        <v/>
      </c>
      <c r="M479" s="80" t="str">
        <f t="shared" si="18"/>
        <v/>
      </c>
      <c r="N479" s="78" t="str">
        <f t="shared" si="19"/>
        <v/>
      </c>
      <c r="O479" s="78" t="str">
        <f>IF(AND('2.报价结算清单'!$P582&gt;0,'2.报价结算清单'!$B582&lt;&gt;0,'2.报价结算清单'!S582&lt;&gt;0),'2.报价结算清单'!S582,"")</f>
        <v/>
      </c>
      <c r="P479" s="78" t="str">
        <f>IF(AND('2.报价结算清单'!$P582&gt;0,'2.报价结算清单'!$B582&lt;&gt;0,'2.报价结算清单'!T582&lt;&gt;0),'2.报价结算清单'!T582,"")</f>
        <v/>
      </c>
      <c r="Q479" s="78" t="str">
        <f>IF(F479="",J479,VLOOKUP(F479,框架条目清单!A:K,4,FALSE))</f>
        <v/>
      </c>
      <c r="R479" s="106" t="str">
        <f>IF($A479="","",'2.报价结算清单'!$K$183)</f>
        <v/>
      </c>
      <c r="S479" s="80" t="str">
        <f>IF($A479="","",'2.报价结算清单'!$E$183)</f>
        <v/>
      </c>
      <c r="T479" s="78" t="str">
        <f>IF(F479="","",VLOOKUP(F479,框架条目清单!A:K,7,FALSE))</f>
        <v/>
      </c>
      <c r="U479" s="78" t="str">
        <f>IF(F479="","",VLOOKUP(F479,框架条目清单!A:K,8,FALSE))</f>
        <v/>
      </c>
      <c r="V479" s="78" t="str">
        <f>IF(F479="","",VLOOKUP(F479,框架条目清单!A:K,9,FALSE))</f>
        <v/>
      </c>
    </row>
    <row r="480" spans="1:22">
      <c r="A480" s="78" t="str">
        <f>IF(AND('2.报价结算清单'!$P583&gt;0,'2.报价结算清单'!$B583&lt;&gt;0,'2.报价结算清单'!$F583&lt;&gt;0),'2.报价结算清单'!$F583,"")</f>
        <v/>
      </c>
      <c r="B480" s="78" t="str">
        <f>_xlfn.IFNA(VLOOKUP(A480,'3.框架内物料'!$A:$I,3,0),A480)</f>
        <v/>
      </c>
      <c r="C480" s="78" t="str">
        <f>IF(AND('2.报价结算清单'!$P583&gt;0,'2.报价结算清单'!$B583&lt;&gt;0,'2.报价结算清单'!C583&lt;&gt;0),'2.报价结算清单'!C583,"")</f>
        <v/>
      </c>
      <c r="D480" s="78" t="str">
        <f>IF(AND('2.报价结算清单'!$P583&gt;0,'2.报价结算清单'!$B583&lt;&gt;0,'2.报价结算清单'!D583&lt;&gt;0),'2.报价结算清单'!D583,"")</f>
        <v/>
      </c>
      <c r="E480" s="78" t="str">
        <f>IF(AND('2.报价结算清单'!$P583&gt;0,'2.报价结算清单'!$B583&lt;&gt;0,'2.报价结算清单'!E583&lt;&gt;0),'2.报价结算清单'!E583,"")</f>
        <v/>
      </c>
      <c r="F480" s="105" t="str">
        <f>_xlfn.IFNA(IF($A480="","",IF(VLOOKUP($A480,'3.框架内物料'!$A:$I,2,0)="","",VLOOKUP($A480,'3.框架内物料'!$A:$I,2,0))),"")</f>
        <v/>
      </c>
      <c r="G480" s="87" t="str">
        <f>IF(AND('2.报价结算清单'!$P583&gt;0,'2.报价结算清单'!$B583&lt;&gt;0,'2.报价结算清单'!H583&lt;&gt;0),'2.报价结算清单'!H583,"")</f>
        <v/>
      </c>
      <c r="H480" s="122" t="str">
        <f>IF(AND('2.报价结算清单'!$P583&gt;0,'2.报价结算清单'!$B583&lt;&gt;0,'2.报价结算清单'!$F583&lt;&gt;0),'2.报价结算清单'!J583,"")</f>
        <v/>
      </c>
      <c r="I480" s="105" t="str">
        <f>IF(AND('2.报价结算清单'!$P583&gt;0,'2.报价结算清单'!$B583&lt;&gt;0,'2.报价结算清单'!$F583&lt;&gt;0),'2.报价结算清单'!L583,"")</f>
        <v/>
      </c>
      <c r="J480" s="105" t="str">
        <f>IF(AND('2.报价结算清单'!$P583&gt;0,'2.报价结算清单'!$B583&lt;&gt;0,'2.报价结算清单'!I583&lt;&gt;0),'2.报价结算清单'!I583,"")</f>
        <v/>
      </c>
      <c r="K480" s="105" t="str">
        <f>IF(AND('2.报价结算清单'!$P583&gt;0,'2.报价结算清单'!$B583&lt;&gt;0,'2.报价结算清单'!$F583&lt;&gt;0),'2.报价结算清单'!N583,"")</f>
        <v/>
      </c>
      <c r="L480" s="105" t="str">
        <f>IF(AND('2.报价结算清单'!$P583&gt;0,'2.报价结算清单'!$B583&lt;&gt;0,'2.报价结算清单'!I583&lt;&gt;0),"天","")</f>
        <v/>
      </c>
      <c r="M480" s="80" t="str">
        <f t="shared" si="18"/>
        <v/>
      </c>
      <c r="N480" s="78" t="str">
        <f t="shared" si="19"/>
        <v/>
      </c>
      <c r="O480" s="78" t="str">
        <f>IF(AND('2.报价结算清单'!$P583&gt;0,'2.报价结算清单'!$B583&lt;&gt;0,'2.报价结算清单'!S583&lt;&gt;0),'2.报价结算清单'!S583,"")</f>
        <v/>
      </c>
      <c r="P480" s="78" t="str">
        <f>IF(AND('2.报价结算清单'!$P583&gt;0,'2.报价结算清单'!$B583&lt;&gt;0,'2.报价结算清单'!T583&lt;&gt;0),'2.报价结算清单'!T583,"")</f>
        <v/>
      </c>
      <c r="Q480" s="78" t="str">
        <f>IF(F480="",J480,VLOOKUP(F480,框架条目清单!A:K,4,FALSE))</f>
        <v/>
      </c>
      <c r="R480" s="106" t="str">
        <f>IF($A480="","",'2.报价结算清单'!$K$183)</f>
        <v/>
      </c>
      <c r="S480" s="80" t="str">
        <f>IF($A480="","",'2.报价结算清单'!$E$183)</f>
        <v/>
      </c>
      <c r="T480" s="78" t="str">
        <f>IF(F480="","",VLOOKUP(F480,框架条目清单!A:K,7,FALSE))</f>
        <v/>
      </c>
      <c r="U480" s="78" t="str">
        <f>IF(F480="","",VLOOKUP(F480,框架条目清单!A:K,8,FALSE))</f>
        <v/>
      </c>
      <c r="V480" s="78" t="str">
        <f>IF(F480="","",VLOOKUP(F480,框架条目清单!A:K,9,FALSE))</f>
        <v/>
      </c>
    </row>
    <row r="481" spans="1:22">
      <c r="A481" s="78" t="str">
        <f>IF(AND('2.报价结算清单'!$P584&gt;0,'2.报价结算清单'!$B584&lt;&gt;0,'2.报价结算清单'!$F584&lt;&gt;0),'2.报价结算清单'!$F584,"")</f>
        <v/>
      </c>
      <c r="B481" s="78" t="str">
        <f>_xlfn.IFNA(VLOOKUP(A481,'3.框架内物料'!$A:$I,3,0),A481)</f>
        <v/>
      </c>
      <c r="C481" s="78" t="str">
        <f>IF(AND('2.报价结算清单'!$P584&gt;0,'2.报价结算清单'!$B584&lt;&gt;0,'2.报价结算清单'!C584&lt;&gt;0),'2.报价结算清单'!C584,"")</f>
        <v/>
      </c>
      <c r="D481" s="78" t="str">
        <f>IF(AND('2.报价结算清单'!$P584&gt;0,'2.报价结算清单'!$B584&lt;&gt;0,'2.报价结算清单'!D584&lt;&gt;0),'2.报价结算清单'!D584,"")</f>
        <v/>
      </c>
      <c r="E481" s="78" t="str">
        <f>IF(AND('2.报价结算清单'!$P584&gt;0,'2.报价结算清单'!$B584&lt;&gt;0,'2.报价结算清单'!E584&lt;&gt;0),'2.报价结算清单'!E584,"")</f>
        <v/>
      </c>
      <c r="F481" s="105" t="str">
        <f>_xlfn.IFNA(IF($A481="","",IF(VLOOKUP($A481,'3.框架内物料'!$A:$I,2,0)="","",VLOOKUP($A481,'3.框架内物料'!$A:$I,2,0))),"")</f>
        <v/>
      </c>
      <c r="G481" s="87" t="str">
        <f>IF(AND('2.报价结算清单'!$P584&gt;0,'2.报价结算清单'!$B584&lt;&gt;0,'2.报价结算清单'!H584&lt;&gt;0),'2.报价结算清单'!H584,"")</f>
        <v/>
      </c>
      <c r="H481" s="122" t="str">
        <f>IF(AND('2.报价结算清单'!$P584&gt;0,'2.报价结算清单'!$B584&lt;&gt;0,'2.报价结算清单'!$F584&lt;&gt;0),'2.报价结算清单'!J584,"")</f>
        <v/>
      </c>
      <c r="I481" s="105" t="str">
        <f>IF(AND('2.报价结算清单'!$P584&gt;0,'2.报价结算清单'!$B584&lt;&gt;0,'2.报价结算清单'!$F584&lt;&gt;0),'2.报价结算清单'!L584,"")</f>
        <v/>
      </c>
      <c r="J481" s="105" t="str">
        <f>IF(AND('2.报价结算清单'!$P584&gt;0,'2.报价结算清单'!$B584&lt;&gt;0,'2.报价结算清单'!I584&lt;&gt;0),'2.报价结算清单'!I584,"")</f>
        <v/>
      </c>
      <c r="K481" s="105" t="str">
        <f>IF(AND('2.报价结算清单'!$P584&gt;0,'2.报价结算清单'!$B584&lt;&gt;0,'2.报价结算清单'!$F584&lt;&gt;0),'2.报价结算清单'!N584,"")</f>
        <v/>
      </c>
      <c r="L481" s="105" t="str">
        <f>IF(AND('2.报价结算清单'!$P584&gt;0,'2.报价结算清单'!$B584&lt;&gt;0,'2.报价结算清单'!I584&lt;&gt;0),"天","")</f>
        <v/>
      </c>
      <c r="M481" s="80" t="str">
        <f t="shared" si="18"/>
        <v/>
      </c>
      <c r="N481" s="78" t="str">
        <f t="shared" si="19"/>
        <v/>
      </c>
      <c r="O481" s="78" t="str">
        <f>IF(AND('2.报价结算清单'!$P584&gt;0,'2.报价结算清单'!$B584&lt;&gt;0,'2.报价结算清单'!S584&lt;&gt;0),'2.报价结算清单'!S584,"")</f>
        <v/>
      </c>
      <c r="P481" s="78" t="str">
        <f>IF(AND('2.报价结算清单'!$P584&gt;0,'2.报价结算清单'!$B584&lt;&gt;0,'2.报价结算清单'!T584&lt;&gt;0),'2.报价结算清单'!T584,"")</f>
        <v/>
      </c>
      <c r="Q481" s="78" t="str">
        <f>IF(F481="",J481,VLOOKUP(F481,框架条目清单!A:K,4,FALSE))</f>
        <v/>
      </c>
      <c r="R481" s="106" t="str">
        <f>IF($A481="","",'2.报价结算清单'!$K$183)</f>
        <v/>
      </c>
      <c r="S481" s="80" t="str">
        <f>IF($A481="","",'2.报价结算清单'!$E$183)</f>
        <v/>
      </c>
      <c r="T481" s="78" t="str">
        <f>IF(F481="","",VLOOKUP(F481,框架条目清单!A:K,7,FALSE))</f>
        <v/>
      </c>
      <c r="U481" s="78" t="str">
        <f>IF(F481="","",VLOOKUP(F481,框架条目清单!A:K,8,FALSE))</f>
        <v/>
      </c>
      <c r="V481" s="78" t="str">
        <f>IF(F481="","",VLOOKUP(F481,框架条目清单!A:K,9,FALSE))</f>
        <v/>
      </c>
    </row>
    <row r="482" spans="1:22">
      <c r="A482" s="78" t="str">
        <f>IF(AND('2.报价结算清单'!$P585&gt;0,'2.报价结算清单'!$B585&lt;&gt;0,'2.报价结算清单'!$F585&lt;&gt;0),'2.报价结算清单'!$F585,"")</f>
        <v/>
      </c>
      <c r="B482" s="78" t="str">
        <f>_xlfn.IFNA(VLOOKUP(A482,'3.框架内物料'!$A:$I,3,0),A482)</f>
        <v/>
      </c>
      <c r="C482" s="78" t="str">
        <f>IF(AND('2.报价结算清单'!$P585&gt;0,'2.报价结算清单'!$B585&lt;&gt;0,'2.报价结算清单'!C585&lt;&gt;0),'2.报价结算清单'!C585,"")</f>
        <v/>
      </c>
      <c r="D482" s="78" t="str">
        <f>IF(AND('2.报价结算清单'!$P585&gt;0,'2.报价结算清单'!$B585&lt;&gt;0,'2.报价结算清单'!D585&lt;&gt;0),'2.报价结算清单'!D585,"")</f>
        <v/>
      </c>
      <c r="E482" s="78" t="str">
        <f>IF(AND('2.报价结算清单'!$P585&gt;0,'2.报价结算清单'!$B585&lt;&gt;0,'2.报价结算清单'!E585&lt;&gt;0),'2.报价结算清单'!E585,"")</f>
        <v/>
      </c>
      <c r="F482" s="105" t="str">
        <f>_xlfn.IFNA(IF($A482="","",IF(VLOOKUP($A482,'3.框架内物料'!$A:$I,2,0)="","",VLOOKUP($A482,'3.框架内物料'!$A:$I,2,0))),"")</f>
        <v/>
      </c>
      <c r="G482" s="87" t="str">
        <f>IF(AND('2.报价结算清单'!$P585&gt;0,'2.报价结算清单'!$B585&lt;&gt;0,'2.报价结算清单'!H585&lt;&gt;0),'2.报价结算清单'!H585,"")</f>
        <v/>
      </c>
      <c r="H482" s="122" t="str">
        <f>IF(AND('2.报价结算清单'!$P585&gt;0,'2.报价结算清单'!$B585&lt;&gt;0,'2.报价结算清单'!$F585&lt;&gt;0),'2.报价结算清单'!J585,"")</f>
        <v/>
      </c>
      <c r="I482" s="105" t="str">
        <f>IF(AND('2.报价结算清单'!$P585&gt;0,'2.报价结算清单'!$B585&lt;&gt;0,'2.报价结算清单'!$F585&lt;&gt;0),'2.报价结算清单'!L585,"")</f>
        <v/>
      </c>
      <c r="J482" s="105" t="str">
        <f>IF(AND('2.报价结算清单'!$P585&gt;0,'2.报价结算清单'!$B585&lt;&gt;0,'2.报价结算清单'!I585&lt;&gt;0),'2.报价结算清单'!I585,"")</f>
        <v/>
      </c>
      <c r="K482" s="105" t="str">
        <f>IF(AND('2.报价结算清单'!$P585&gt;0,'2.报价结算清单'!$B585&lt;&gt;0,'2.报价结算清单'!$F585&lt;&gt;0),'2.报价结算清单'!N585,"")</f>
        <v/>
      </c>
      <c r="L482" s="105" t="str">
        <f>IF(AND('2.报价结算清单'!$P585&gt;0,'2.报价结算清单'!$B585&lt;&gt;0,'2.报价结算清单'!I585&lt;&gt;0),"天","")</f>
        <v/>
      </c>
      <c r="M482" s="80" t="str">
        <f t="shared" si="18"/>
        <v/>
      </c>
      <c r="N482" s="78" t="str">
        <f t="shared" si="19"/>
        <v/>
      </c>
      <c r="O482" s="78" t="str">
        <f>IF(AND('2.报价结算清单'!$P585&gt;0,'2.报价结算清单'!$B585&lt;&gt;0,'2.报价结算清单'!S585&lt;&gt;0),'2.报价结算清单'!S585,"")</f>
        <v/>
      </c>
      <c r="P482" s="78" t="str">
        <f>IF(AND('2.报价结算清单'!$P585&gt;0,'2.报价结算清单'!$B585&lt;&gt;0,'2.报价结算清单'!T585&lt;&gt;0),'2.报价结算清单'!T585,"")</f>
        <v/>
      </c>
      <c r="Q482" s="78" t="str">
        <f>IF(F482="",J482,VLOOKUP(F482,框架条目清单!A:K,4,FALSE))</f>
        <v/>
      </c>
      <c r="R482" s="106" t="str">
        <f>IF($A482="","",'2.报价结算清单'!$K$183)</f>
        <v/>
      </c>
      <c r="S482" s="80" t="str">
        <f>IF($A482="","",'2.报价结算清单'!$E$183)</f>
        <v/>
      </c>
      <c r="T482" s="78" t="str">
        <f>IF(F482="","",VLOOKUP(F482,框架条目清单!A:K,7,FALSE))</f>
        <v/>
      </c>
      <c r="U482" s="78" t="str">
        <f>IF(F482="","",VLOOKUP(F482,框架条目清单!A:K,8,FALSE))</f>
        <v/>
      </c>
      <c r="V482" s="78" t="str">
        <f>IF(F482="","",VLOOKUP(F482,框架条目清单!A:K,9,FALSE))</f>
        <v/>
      </c>
    </row>
    <row r="483" spans="1:22">
      <c r="A483" s="78" t="str">
        <f>IF(AND('2.报价结算清单'!$P586&gt;0,'2.报价结算清单'!$B586&lt;&gt;0,'2.报价结算清单'!$F586&lt;&gt;0),'2.报价结算清单'!$F586,"")</f>
        <v/>
      </c>
      <c r="B483" s="78" t="str">
        <f>_xlfn.IFNA(VLOOKUP(A483,'3.框架内物料'!$A:$I,3,0),A483)</f>
        <v/>
      </c>
      <c r="C483" s="78" t="str">
        <f>IF(AND('2.报价结算清单'!$P586&gt;0,'2.报价结算清单'!$B586&lt;&gt;0,'2.报价结算清单'!C586&lt;&gt;0),'2.报价结算清单'!C586,"")</f>
        <v/>
      </c>
      <c r="D483" s="78" t="str">
        <f>IF(AND('2.报价结算清单'!$P586&gt;0,'2.报价结算清单'!$B586&lt;&gt;0,'2.报价结算清单'!D586&lt;&gt;0),'2.报价结算清单'!D586,"")</f>
        <v/>
      </c>
      <c r="E483" s="78" t="str">
        <f>IF(AND('2.报价结算清单'!$P586&gt;0,'2.报价结算清单'!$B586&lt;&gt;0,'2.报价结算清单'!E586&lt;&gt;0),'2.报价结算清单'!E586,"")</f>
        <v/>
      </c>
      <c r="F483" s="105" t="str">
        <f>_xlfn.IFNA(IF($A483="","",IF(VLOOKUP($A483,'3.框架内物料'!$A:$I,2,0)="","",VLOOKUP($A483,'3.框架内物料'!$A:$I,2,0))),"")</f>
        <v/>
      </c>
      <c r="G483" s="87" t="str">
        <f>IF(AND('2.报价结算清单'!$P586&gt;0,'2.报价结算清单'!$B586&lt;&gt;0,'2.报价结算清单'!H586&lt;&gt;0),'2.报价结算清单'!H586,"")</f>
        <v/>
      </c>
      <c r="H483" s="122" t="str">
        <f>IF(AND('2.报价结算清单'!$P586&gt;0,'2.报价结算清单'!$B586&lt;&gt;0,'2.报价结算清单'!$F586&lt;&gt;0),'2.报价结算清单'!J586,"")</f>
        <v/>
      </c>
      <c r="I483" s="105" t="str">
        <f>IF(AND('2.报价结算清单'!$P586&gt;0,'2.报价结算清单'!$B586&lt;&gt;0,'2.报价结算清单'!$F586&lt;&gt;0),'2.报价结算清单'!L586,"")</f>
        <v/>
      </c>
      <c r="J483" s="105" t="str">
        <f>IF(AND('2.报价结算清单'!$P586&gt;0,'2.报价结算清单'!$B586&lt;&gt;0,'2.报价结算清单'!I586&lt;&gt;0),'2.报价结算清单'!I586,"")</f>
        <v/>
      </c>
      <c r="K483" s="105" t="str">
        <f>IF(AND('2.报价结算清单'!$P586&gt;0,'2.报价结算清单'!$B586&lt;&gt;0,'2.报价结算清单'!$F586&lt;&gt;0),'2.报价结算清单'!N586,"")</f>
        <v/>
      </c>
      <c r="L483" s="105" t="str">
        <f>IF(AND('2.报价结算清单'!$P586&gt;0,'2.报价结算清单'!$B586&lt;&gt;0,'2.报价结算清单'!I586&lt;&gt;0),"天","")</f>
        <v/>
      </c>
      <c r="M483" s="80" t="str">
        <f t="shared" si="18"/>
        <v/>
      </c>
      <c r="N483" s="78" t="str">
        <f t="shared" si="19"/>
        <v/>
      </c>
      <c r="O483" s="78" t="str">
        <f>IF(AND('2.报价结算清单'!$P586&gt;0,'2.报价结算清单'!$B586&lt;&gt;0,'2.报价结算清单'!S586&lt;&gt;0),'2.报价结算清单'!S586,"")</f>
        <v/>
      </c>
      <c r="P483" s="78" t="str">
        <f>IF(AND('2.报价结算清单'!$P586&gt;0,'2.报价结算清单'!$B586&lt;&gt;0,'2.报价结算清单'!T586&lt;&gt;0),'2.报价结算清单'!T586,"")</f>
        <v/>
      </c>
      <c r="Q483" s="78" t="str">
        <f>IF(F483="",J483,VLOOKUP(F483,框架条目清单!A:K,4,FALSE))</f>
        <v/>
      </c>
      <c r="R483" s="106" t="str">
        <f>IF($A483="","",'2.报价结算清单'!$K$183)</f>
        <v/>
      </c>
      <c r="S483" s="80" t="str">
        <f>IF($A483="","",'2.报价结算清单'!$E$183)</f>
        <v/>
      </c>
      <c r="T483" s="78" t="str">
        <f>IF(F483="","",VLOOKUP(F483,框架条目清单!A:K,7,FALSE))</f>
        <v/>
      </c>
      <c r="U483" s="78" t="str">
        <f>IF(F483="","",VLOOKUP(F483,框架条目清单!A:K,8,FALSE))</f>
        <v/>
      </c>
      <c r="V483" s="78" t="str">
        <f>IF(F483="","",VLOOKUP(F483,框架条目清单!A:K,9,FALSE))</f>
        <v/>
      </c>
    </row>
    <row r="484" spans="1:22">
      <c r="A484" s="78" t="str">
        <f>IF(AND('2.报价结算清单'!$P587&gt;0,'2.报价结算清单'!$B587&lt;&gt;0,'2.报价结算清单'!$F587&lt;&gt;0),'2.报价结算清单'!$F587,"")</f>
        <v/>
      </c>
      <c r="B484" s="78" t="str">
        <f>_xlfn.IFNA(VLOOKUP(A484,'3.框架内物料'!$A:$I,3,0),A484)</f>
        <v/>
      </c>
      <c r="C484" s="78" t="str">
        <f>IF(AND('2.报价结算清单'!$P587&gt;0,'2.报价结算清单'!$B587&lt;&gt;0,'2.报价结算清单'!C587&lt;&gt;0),'2.报价结算清单'!C587,"")</f>
        <v/>
      </c>
      <c r="D484" s="78" t="str">
        <f>IF(AND('2.报价结算清单'!$P587&gt;0,'2.报价结算清单'!$B587&lt;&gt;0,'2.报价结算清单'!D587&lt;&gt;0),'2.报价结算清单'!D587,"")</f>
        <v/>
      </c>
      <c r="E484" s="78" t="str">
        <f>IF(AND('2.报价结算清单'!$P587&gt;0,'2.报价结算清单'!$B587&lt;&gt;0,'2.报价结算清单'!E587&lt;&gt;0),'2.报价结算清单'!E587,"")</f>
        <v/>
      </c>
      <c r="F484" s="105" t="str">
        <f>_xlfn.IFNA(IF($A484="","",IF(VLOOKUP($A484,'3.框架内物料'!$A:$I,2,0)="","",VLOOKUP($A484,'3.框架内物料'!$A:$I,2,0))),"")</f>
        <v/>
      </c>
      <c r="G484" s="87" t="str">
        <f>IF(AND('2.报价结算清单'!$P587&gt;0,'2.报价结算清单'!$B587&lt;&gt;0,'2.报价结算清单'!H587&lt;&gt;0),'2.报价结算清单'!H587,"")</f>
        <v/>
      </c>
      <c r="H484" s="122" t="str">
        <f>IF(AND('2.报价结算清单'!$P587&gt;0,'2.报价结算清单'!$B587&lt;&gt;0,'2.报价结算清单'!$F587&lt;&gt;0),'2.报价结算清单'!J587,"")</f>
        <v/>
      </c>
      <c r="I484" s="105" t="str">
        <f>IF(AND('2.报价结算清单'!$P587&gt;0,'2.报价结算清单'!$B587&lt;&gt;0,'2.报价结算清单'!$F587&lt;&gt;0),'2.报价结算清单'!L587,"")</f>
        <v/>
      </c>
      <c r="J484" s="105" t="str">
        <f>IF(AND('2.报价结算清单'!$P587&gt;0,'2.报价结算清单'!$B587&lt;&gt;0,'2.报价结算清单'!I587&lt;&gt;0),'2.报价结算清单'!I587,"")</f>
        <v/>
      </c>
      <c r="K484" s="105" t="str">
        <f>IF(AND('2.报价结算清单'!$P587&gt;0,'2.报价结算清单'!$B587&lt;&gt;0,'2.报价结算清单'!$F587&lt;&gt;0),'2.报价结算清单'!N587,"")</f>
        <v/>
      </c>
      <c r="L484" s="105" t="str">
        <f>IF(AND('2.报价结算清单'!$P587&gt;0,'2.报价结算清单'!$B587&lt;&gt;0,'2.报价结算清单'!I587&lt;&gt;0),"天","")</f>
        <v/>
      </c>
      <c r="M484" s="80" t="str">
        <f t="shared" si="18"/>
        <v/>
      </c>
      <c r="N484" s="78" t="str">
        <f t="shared" si="19"/>
        <v/>
      </c>
      <c r="O484" s="78" t="str">
        <f>IF(AND('2.报价结算清单'!$P587&gt;0,'2.报价结算清单'!$B587&lt;&gt;0,'2.报价结算清单'!S587&lt;&gt;0),'2.报价结算清单'!S587,"")</f>
        <v/>
      </c>
      <c r="P484" s="78" t="str">
        <f>IF(AND('2.报价结算清单'!$P587&gt;0,'2.报价结算清单'!$B587&lt;&gt;0,'2.报价结算清单'!T587&lt;&gt;0),'2.报价结算清单'!T587,"")</f>
        <v/>
      </c>
      <c r="Q484" s="78" t="str">
        <f>IF(F484="",J484,VLOOKUP(F484,框架条目清单!A:K,4,FALSE))</f>
        <v/>
      </c>
      <c r="R484" s="106" t="str">
        <f>IF($A484="","",'2.报价结算清单'!$K$183)</f>
        <v/>
      </c>
      <c r="S484" s="80" t="str">
        <f>IF($A484="","",'2.报价结算清单'!$E$183)</f>
        <v/>
      </c>
      <c r="T484" s="78" t="str">
        <f>IF(F484="","",VLOOKUP(F484,框架条目清单!A:K,7,FALSE))</f>
        <v/>
      </c>
      <c r="U484" s="78" t="str">
        <f>IF(F484="","",VLOOKUP(F484,框架条目清单!A:K,8,FALSE))</f>
        <v/>
      </c>
      <c r="V484" s="78" t="str">
        <f>IF(F484="","",VLOOKUP(F484,框架条目清单!A:K,9,FALSE))</f>
        <v/>
      </c>
    </row>
    <row r="485" spans="1:22">
      <c r="A485" s="78" t="str">
        <f>IF(AND('2.报价结算清单'!$P588&gt;0,'2.报价结算清单'!$B588&lt;&gt;0,'2.报价结算清单'!$F588&lt;&gt;0),'2.报价结算清单'!$F588,"")</f>
        <v/>
      </c>
      <c r="B485" s="78" t="str">
        <f>_xlfn.IFNA(VLOOKUP(A485,'3.框架内物料'!$A:$I,3,0),A485)</f>
        <v/>
      </c>
      <c r="C485" s="78" t="str">
        <f>IF(AND('2.报价结算清单'!$P588&gt;0,'2.报价结算清单'!$B588&lt;&gt;0,'2.报价结算清单'!C588&lt;&gt;0),'2.报价结算清单'!C588,"")</f>
        <v/>
      </c>
      <c r="D485" s="78" t="str">
        <f>IF(AND('2.报价结算清单'!$P588&gt;0,'2.报价结算清单'!$B588&lt;&gt;0,'2.报价结算清单'!D588&lt;&gt;0),'2.报价结算清单'!D588,"")</f>
        <v/>
      </c>
      <c r="E485" s="78" t="str">
        <f>IF(AND('2.报价结算清单'!$P588&gt;0,'2.报价结算清单'!$B588&lt;&gt;0,'2.报价结算清单'!E588&lt;&gt;0),'2.报价结算清单'!E588,"")</f>
        <v/>
      </c>
      <c r="F485" s="105" t="str">
        <f>_xlfn.IFNA(IF($A485="","",IF(VLOOKUP($A485,'3.框架内物料'!$A:$I,2,0)="","",VLOOKUP($A485,'3.框架内物料'!$A:$I,2,0))),"")</f>
        <v/>
      </c>
      <c r="G485" s="87" t="str">
        <f>IF(AND('2.报价结算清单'!$P588&gt;0,'2.报价结算清单'!$B588&lt;&gt;0,'2.报价结算清单'!H588&lt;&gt;0),'2.报价结算清单'!H588,"")</f>
        <v/>
      </c>
      <c r="H485" s="122" t="str">
        <f>IF(AND('2.报价结算清单'!$P588&gt;0,'2.报价结算清单'!$B588&lt;&gt;0,'2.报价结算清单'!$F588&lt;&gt;0),'2.报价结算清单'!J588,"")</f>
        <v/>
      </c>
      <c r="I485" s="105" t="str">
        <f>IF(AND('2.报价结算清单'!$P588&gt;0,'2.报价结算清单'!$B588&lt;&gt;0,'2.报价结算清单'!$F588&lt;&gt;0),'2.报价结算清单'!L588,"")</f>
        <v/>
      </c>
      <c r="J485" s="105" t="str">
        <f>IF(AND('2.报价结算清单'!$P588&gt;0,'2.报价结算清单'!$B588&lt;&gt;0,'2.报价结算清单'!I588&lt;&gt;0),'2.报价结算清单'!I588,"")</f>
        <v/>
      </c>
      <c r="K485" s="105" t="str">
        <f>IF(AND('2.报价结算清单'!$P588&gt;0,'2.报价结算清单'!$B588&lt;&gt;0,'2.报价结算清单'!$F588&lt;&gt;0),'2.报价结算清单'!N588,"")</f>
        <v/>
      </c>
      <c r="L485" s="105" t="str">
        <f>IF(AND('2.报价结算清单'!$P588&gt;0,'2.报价结算清单'!$B588&lt;&gt;0,'2.报价结算清单'!I588&lt;&gt;0),"天","")</f>
        <v/>
      </c>
      <c r="M485" s="80" t="str">
        <f t="shared" si="18"/>
        <v/>
      </c>
      <c r="N485" s="78" t="str">
        <f t="shared" si="19"/>
        <v/>
      </c>
      <c r="O485" s="78" t="str">
        <f>IF(AND('2.报价结算清单'!$P588&gt;0,'2.报价结算清单'!$B588&lt;&gt;0,'2.报价结算清单'!S588&lt;&gt;0),'2.报价结算清单'!S588,"")</f>
        <v/>
      </c>
      <c r="P485" s="78" t="str">
        <f>IF(AND('2.报价结算清单'!$P588&gt;0,'2.报价结算清单'!$B588&lt;&gt;0,'2.报价结算清单'!T588&lt;&gt;0),'2.报价结算清单'!T588,"")</f>
        <v/>
      </c>
      <c r="Q485" s="78" t="str">
        <f>IF(F485="",J485,VLOOKUP(F485,框架条目清单!A:K,4,FALSE))</f>
        <v/>
      </c>
      <c r="R485" s="106" t="str">
        <f>IF($A485="","",'2.报价结算清单'!$K$183)</f>
        <v/>
      </c>
      <c r="S485" s="80" t="str">
        <f>IF($A485="","",'2.报价结算清单'!$E$183)</f>
        <v/>
      </c>
      <c r="T485" s="78" t="str">
        <f>IF(F485="","",VLOOKUP(F485,框架条目清单!A:K,7,FALSE))</f>
        <v/>
      </c>
      <c r="U485" s="78" t="str">
        <f>IF(F485="","",VLOOKUP(F485,框架条目清单!A:K,8,FALSE))</f>
        <v/>
      </c>
      <c r="V485" s="78" t="str">
        <f>IF(F485="","",VLOOKUP(F485,框架条目清单!A:K,9,FALSE))</f>
        <v/>
      </c>
    </row>
    <row r="486" spans="1:22">
      <c r="A486" s="78" t="str">
        <f>IF(AND('2.报价结算清单'!$P589&gt;0,'2.报价结算清单'!$B589&lt;&gt;0,'2.报价结算清单'!$F589&lt;&gt;0),'2.报价结算清单'!$F589,"")</f>
        <v/>
      </c>
      <c r="B486" s="78" t="str">
        <f>_xlfn.IFNA(VLOOKUP(A486,'3.框架内物料'!$A:$I,3,0),A486)</f>
        <v/>
      </c>
      <c r="C486" s="78" t="str">
        <f>IF(AND('2.报价结算清单'!$P589&gt;0,'2.报价结算清单'!$B589&lt;&gt;0,'2.报价结算清单'!C589&lt;&gt;0),'2.报价结算清单'!C589,"")</f>
        <v/>
      </c>
      <c r="D486" s="78" t="str">
        <f>IF(AND('2.报价结算清单'!$P589&gt;0,'2.报价结算清单'!$B589&lt;&gt;0,'2.报价结算清单'!D589&lt;&gt;0),'2.报价结算清单'!D589,"")</f>
        <v/>
      </c>
      <c r="E486" s="78" t="str">
        <f>IF(AND('2.报价结算清单'!$P589&gt;0,'2.报价结算清单'!$B589&lt;&gt;0,'2.报价结算清单'!E589&lt;&gt;0),'2.报价结算清单'!E589,"")</f>
        <v/>
      </c>
      <c r="F486" s="105" t="str">
        <f>_xlfn.IFNA(IF($A486="","",IF(VLOOKUP($A486,'3.框架内物料'!$A:$I,2,0)="","",VLOOKUP($A486,'3.框架内物料'!$A:$I,2,0))),"")</f>
        <v/>
      </c>
      <c r="G486" s="87" t="str">
        <f>IF(AND('2.报价结算清单'!$P589&gt;0,'2.报价结算清单'!$B589&lt;&gt;0,'2.报价结算清单'!H589&lt;&gt;0),'2.报价结算清单'!H589,"")</f>
        <v/>
      </c>
      <c r="H486" s="122" t="str">
        <f>IF(AND('2.报价结算清单'!$P589&gt;0,'2.报价结算清单'!$B589&lt;&gt;0,'2.报价结算清单'!$F589&lt;&gt;0),'2.报价结算清单'!J589,"")</f>
        <v/>
      </c>
      <c r="I486" s="105" t="str">
        <f>IF(AND('2.报价结算清单'!$P589&gt;0,'2.报价结算清单'!$B589&lt;&gt;0,'2.报价结算清单'!$F589&lt;&gt;0),'2.报价结算清单'!L589,"")</f>
        <v/>
      </c>
      <c r="J486" s="105" t="str">
        <f>IF(AND('2.报价结算清单'!$P589&gt;0,'2.报价结算清单'!$B589&lt;&gt;0,'2.报价结算清单'!I589&lt;&gt;0),'2.报价结算清单'!I589,"")</f>
        <v/>
      </c>
      <c r="K486" s="105" t="str">
        <f>IF(AND('2.报价结算清单'!$P589&gt;0,'2.报价结算清单'!$B589&lt;&gt;0,'2.报价结算清单'!$F589&lt;&gt;0),'2.报价结算清单'!N589,"")</f>
        <v/>
      </c>
      <c r="L486" s="105" t="str">
        <f>IF(AND('2.报价结算清单'!$P589&gt;0,'2.报价结算清单'!$B589&lt;&gt;0,'2.报价结算清单'!I589&lt;&gt;0),"天","")</f>
        <v/>
      </c>
      <c r="M486" s="80" t="str">
        <f t="shared" si="18"/>
        <v/>
      </c>
      <c r="N486" s="78" t="str">
        <f t="shared" si="19"/>
        <v/>
      </c>
      <c r="O486" s="78" t="str">
        <f>IF(AND('2.报价结算清单'!$P589&gt;0,'2.报价结算清单'!$B589&lt;&gt;0,'2.报价结算清单'!S589&lt;&gt;0),'2.报价结算清单'!S589,"")</f>
        <v/>
      </c>
      <c r="P486" s="78" t="str">
        <f>IF(AND('2.报价结算清单'!$P589&gt;0,'2.报价结算清单'!$B589&lt;&gt;0,'2.报价结算清单'!T589&lt;&gt;0),'2.报价结算清单'!T589,"")</f>
        <v/>
      </c>
      <c r="Q486" s="78" t="str">
        <f>IF(F486="",J486,VLOOKUP(F486,框架条目清单!A:K,4,FALSE))</f>
        <v/>
      </c>
      <c r="R486" s="106" t="str">
        <f>IF($A486="","",'2.报价结算清单'!$K$183)</f>
        <v/>
      </c>
      <c r="S486" s="80" t="str">
        <f>IF($A486="","",'2.报价结算清单'!$E$183)</f>
        <v/>
      </c>
      <c r="T486" s="78" t="str">
        <f>IF(F486="","",VLOOKUP(F486,框架条目清单!A:K,7,FALSE))</f>
        <v/>
      </c>
      <c r="U486" s="78" t="str">
        <f>IF(F486="","",VLOOKUP(F486,框架条目清单!A:K,8,FALSE))</f>
        <v/>
      </c>
      <c r="V486" s="78" t="str">
        <f>IF(F486="","",VLOOKUP(F486,框架条目清单!A:K,9,FALSE))</f>
        <v/>
      </c>
    </row>
    <row r="487" spans="1:22">
      <c r="A487" s="78" t="str">
        <f>IF(AND('2.报价结算清单'!$P590&gt;0,'2.报价结算清单'!$B590&lt;&gt;0,'2.报价结算清单'!$F590&lt;&gt;0),'2.报价结算清单'!$F590,"")</f>
        <v/>
      </c>
      <c r="B487" s="78" t="str">
        <f>_xlfn.IFNA(VLOOKUP(A487,'3.框架内物料'!$A:$I,3,0),A487)</f>
        <v/>
      </c>
      <c r="C487" s="78" t="str">
        <f>IF(AND('2.报价结算清单'!$P590&gt;0,'2.报价结算清单'!$B590&lt;&gt;0,'2.报价结算清单'!C590&lt;&gt;0),'2.报价结算清单'!C590,"")</f>
        <v/>
      </c>
      <c r="D487" s="78" t="str">
        <f>IF(AND('2.报价结算清单'!$P590&gt;0,'2.报价结算清单'!$B590&lt;&gt;0,'2.报价结算清单'!D590&lt;&gt;0),'2.报价结算清单'!D590,"")</f>
        <v/>
      </c>
      <c r="E487" s="78" t="str">
        <f>IF(AND('2.报价结算清单'!$P590&gt;0,'2.报价结算清单'!$B590&lt;&gt;0,'2.报价结算清单'!E590&lt;&gt;0),'2.报价结算清单'!E590,"")</f>
        <v/>
      </c>
      <c r="F487" s="105" t="str">
        <f>_xlfn.IFNA(IF($A487="","",IF(VLOOKUP($A487,'3.框架内物料'!$A:$I,2,0)="","",VLOOKUP($A487,'3.框架内物料'!$A:$I,2,0))),"")</f>
        <v/>
      </c>
      <c r="G487" s="87" t="str">
        <f>IF(AND('2.报价结算清单'!$P590&gt;0,'2.报价结算清单'!$B590&lt;&gt;0,'2.报价结算清单'!H590&lt;&gt;0),'2.报价结算清单'!H590,"")</f>
        <v/>
      </c>
      <c r="H487" s="122" t="str">
        <f>IF(AND('2.报价结算清单'!$P590&gt;0,'2.报价结算清单'!$B590&lt;&gt;0,'2.报价结算清单'!$F590&lt;&gt;0),'2.报价结算清单'!J590,"")</f>
        <v/>
      </c>
      <c r="I487" s="105" t="str">
        <f>IF(AND('2.报价结算清单'!$P590&gt;0,'2.报价结算清单'!$B590&lt;&gt;0,'2.报价结算清单'!$F590&lt;&gt;0),'2.报价结算清单'!L590,"")</f>
        <v/>
      </c>
      <c r="J487" s="105" t="str">
        <f>IF(AND('2.报价结算清单'!$P590&gt;0,'2.报价结算清单'!$B590&lt;&gt;0,'2.报价结算清单'!I590&lt;&gt;0),'2.报价结算清单'!I590,"")</f>
        <v/>
      </c>
      <c r="K487" s="105" t="str">
        <f>IF(AND('2.报价结算清单'!$P590&gt;0,'2.报价结算清单'!$B590&lt;&gt;0,'2.报价结算清单'!$F590&lt;&gt;0),'2.报价结算清单'!N590,"")</f>
        <v/>
      </c>
      <c r="L487" s="105" t="str">
        <f>IF(AND('2.报价结算清单'!$P590&gt;0,'2.报价结算清单'!$B590&lt;&gt;0,'2.报价结算清单'!I590&lt;&gt;0),"天","")</f>
        <v/>
      </c>
      <c r="M487" s="80" t="str">
        <f t="shared" si="18"/>
        <v/>
      </c>
      <c r="N487" s="78" t="str">
        <f t="shared" si="19"/>
        <v/>
      </c>
      <c r="O487" s="78" t="str">
        <f>IF(AND('2.报价结算清单'!$P590&gt;0,'2.报价结算清单'!$B590&lt;&gt;0,'2.报价结算清单'!S590&lt;&gt;0),'2.报价结算清单'!S590,"")</f>
        <v/>
      </c>
      <c r="P487" s="78" t="str">
        <f>IF(AND('2.报价结算清单'!$P590&gt;0,'2.报价结算清单'!$B590&lt;&gt;0,'2.报价结算清单'!T590&lt;&gt;0),'2.报价结算清单'!T590,"")</f>
        <v/>
      </c>
      <c r="Q487" s="78" t="str">
        <f>IF(F487="",J487,VLOOKUP(F487,框架条目清单!A:K,4,FALSE))</f>
        <v/>
      </c>
      <c r="R487" s="106" t="str">
        <f>IF($A487="","",'2.报价结算清单'!$K$183)</f>
        <v/>
      </c>
      <c r="S487" s="80" t="str">
        <f>IF($A487="","",'2.报价结算清单'!$E$183)</f>
        <v/>
      </c>
      <c r="T487" s="78" t="str">
        <f>IF(F487="","",VLOOKUP(F487,框架条目清单!A:K,7,FALSE))</f>
        <v/>
      </c>
      <c r="U487" s="78" t="str">
        <f>IF(F487="","",VLOOKUP(F487,框架条目清单!A:K,8,FALSE))</f>
        <v/>
      </c>
      <c r="V487" s="78" t="str">
        <f>IF(F487="","",VLOOKUP(F487,框架条目清单!A:K,9,FALSE))</f>
        <v/>
      </c>
    </row>
    <row r="488" spans="1:22">
      <c r="A488" s="78" t="str">
        <f>IF(AND('2.报价结算清单'!$P591&gt;0,'2.报价结算清单'!$B591&lt;&gt;0,'2.报价结算清单'!$F591&lt;&gt;0),'2.报价结算清单'!$F591,"")</f>
        <v/>
      </c>
      <c r="B488" s="78" t="str">
        <f>_xlfn.IFNA(VLOOKUP(A488,'3.框架内物料'!$A:$I,3,0),A488)</f>
        <v/>
      </c>
      <c r="C488" s="78" t="str">
        <f>IF(AND('2.报价结算清单'!$P591&gt;0,'2.报价结算清单'!$B591&lt;&gt;0,'2.报价结算清单'!C591&lt;&gt;0),'2.报价结算清单'!C591,"")</f>
        <v/>
      </c>
      <c r="D488" s="78" t="str">
        <f>IF(AND('2.报价结算清单'!$P591&gt;0,'2.报价结算清单'!$B591&lt;&gt;0,'2.报价结算清单'!D591&lt;&gt;0),'2.报价结算清单'!D591,"")</f>
        <v/>
      </c>
      <c r="E488" s="78" t="str">
        <f>IF(AND('2.报价结算清单'!$P591&gt;0,'2.报价结算清单'!$B591&lt;&gt;0,'2.报价结算清单'!E591&lt;&gt;0),'2.报价结算清单'!E591,"")</f>
        <v/>
      </c>
      <c r="F488" s="105" t="str">
        <f>_xlfn.IFNA(IF($A488="","",IF(VLOOKUP($A488,'3.框架内物料'!$A:$I,2,0)="","",VLOOKUP($A488,'3.框架内物料'!$A:$I,2,0))),"")</f>
        <v/>
      </c>
      <c r="G488" s="87" t="str">
        <f>IF(AND('2.报价结算清单'!$P591&gt;0,'2.报价结算清单'!$B591&lt;&gt;0,'2.报价结算清单'!H591&lt;&gt;0),'2.报价结算清单'!H591,"")</f>
        <v/>
      </c>
      <c r="H488" s="122" t="str">
        <f>IF(AND('2.报价结算清单'!$P591&gt;0,'2.报价结算清单'!$B591&lt;&gt;0,'2.报价结算清单'!$F591&lt;&gt;0),'2.报价结算清单'!J591,"")</f>
        <v/>
      </c>
      <c r="I488" s="105" t="str">
        <f>IF(AND('2.报价结算清单'!$P591&gt;0,'2.报价结算清单'!$B591&lt;&gt;0,'2.报价结算清单'!$F591&lt;&gt;0),'2.报价结算清单'!L591,"")</f>
        <v/>
      </c>
      <c r="J488" s="105" t="str">
        <f>IF(AND('2.报价结算清单'!$P591&gt;0,'2.报价结算清单'!$B591&lt;&gt;0,'2.报价结算清单'!I591&lt;&gt;0),'2.报价结算清单'!I591,"")</f>
        <v/>
      </c>
      <c r="K488" s="105" t="str">
        <f>IF(AND('2.报价结算清单'!$P591&gt;0,'2.报价结算清单'!$B591&lt;&gt;0,'2.报价结算清单'!$F591&lt;&gt;0),'2.报价结算清单'!N591,"")</f>
        <v/>
      </c>
      <c r="L488" s="105" t="str">
        <f>IF(AND('2.报价结算清单'!$P591&gt;0,'2.报价结算清单'!$B591&lt;&gt;0,'2.报价结算清单'!I591&lt;&gt;0),"天","")</f>
        <v/>
      </c>
      <c r="M488" s="80" t="str">
        <f t="shared" si="18"/>
        <v/>
      </c>
      <c r="N488" s="78" t="str">
        <f t="shared" si="19"/>
        <v/>
      </c>
      <c r="O488" s="78" t="str">
        <f>IF(AND('2.报价结算清单'!$P591&gt;0,'2.报价结算清单'!$B591&lt;&gt;0,'2.报价结算清单'!S591&lt;&gt;0),'2.报价结算清单'!S591,"")</f>
        <v/>
      </c>
      <c r="P488" s="78" t="str">
        <f>IF(AND('2.报价结算清单'!$P591&gt;0,'2.报价结算清单'!$B591&lt;&gt;0,'2.报价结算清单'!T591&lt;&gt;0),'2.报价结算清单'!T591,"")</f>
        <v/>
      </c>
      <c r="Q488" s="78" t="str">
        <f>IF(F488="",J488,VLOOKUP(F488,框架条目清单!A:K,4,FALSE))</f>
        <v/>
      </c>
      <c r="R488" s="106" t="str">
        <f>IF($A488="","",'2.报价结算清单'!$K$183)</f>
        <v/>
      </c>
      <c r="S488" s="80" t="str">
        <f>IF($A488="","",'2.报价结算清单'!$E$183)</f>
        <v/>
      </c>
      <c r="T488" s="78" t="str">
        <f>IF(F488="","",VLOOKUP(F488,框架条目清单!A:K,7,FALSE))</f>
        <v/>
      </c>
      <c r="U488" s="78" t="str">
        <f>IF(F488="","",VLOOKUP(F488,框架条目清单!A:K,8,FALSE))</f>
        <v/>
      </c>
      <c r="V488" s="78" t="str">
        <f>IF(F488="","",VLOOKUP(F488,框架条目清单!A:K,9,FALSE))</f>
        <v/>
      </c>
    </row>
    <row r="489" spans="1:22">
      <c r="A489" s="78" t="str">
        <f>IF(AND('2.报价结算清单'!$P592&gt;0,'2.报价结算清单'!$B592&lt;&gt;0,'2.报价结算清单'!$F592&lt;&gt;0),'2.报价结算清单'!$F592,"")</f>
        <v/>
      </c>
      <c r="B489" s="78" t="str">
        <f>_xlfn.IFNA(VLOOKUP(A489,'3.框架内物料'!$A:$I,3,0),A489)</f>
        <v/>
      </c>
      <c r="C489" s="78" t="str">
        <f>IF(AND('2.报价结算清单'!$P592&gt;0,'2.报价结算清单'!$B592&lt;&gt;0,'2.报价结算清单'!C592&lt;&gt;0),'2.报价结算清单'!C592,"")</f>
        <v/>
      </c>
      <c r="D489" s="78" t="str">
        <f>IF(AND('2.报价结算清单'!$P592&gt;0,'2.报价结算清单'!$B592&lt;&gt;0,'2.报价结算清单'!D592&lt;&gt;0),'2.报价结算清单'!D592,"")</f>
        <v/>
      </c>
      <c r="E489" s="78" t="str">
        <f>IF(AND('2.报价结算清单'!$P592&gt;0,'2.报价结算清单'!$B592&lt;&gt;0,'2.报价结算清单'!E592&lt;&gt;0),'2.报价结算清单'!E592,"")</f>
        <v/>
      </c>
      <c r="F489" s="105" t="str">
        <f>_xlfn.IFNA(IF($A489="","",IF(VLOOKUP($A489,'3.框架内物料'!$A:$I,2,0)="","",VLOOKUP($A489,'3.框架内物料'!$A:$I,2,0))),"")</f>
        <v/>
      </c>
      <c r="G489" s="87" t="str">
        <f>IF(AND('2.报价结算清单'!$P592&gt;0,'2.报价结算清单'!$B592&lt;&gt;0,'2.报价结算清单'!H592&lt;&gt;0),'2.报价结算清单'!H592,"")</f>
        <v/>
      </c>
      <c r="H489" s="122" t="str">
        <f>IF(AND('2.报价结算清单'!$P592&gt;0,'2.报价结算清单'!$B592&lt;&gt;0,'2.报价结算清单'!$F592&lt;&gt;0),'2.报价结算清单'!J592,"")</f>
        <v/>
      </c>
      <c r="I489" s="105" t="str">
        <f>IF(AND('2.报价结算清单'!$P592&gt;0,'2.报价结算清单'!$B592&lt;&gt;0,'2.报价结算清单'!$F592&lt;&gt;0),'2.报价结算清单'!L592,"")</f>
        <v/>
      </c>
      <c r="J489" s="105" t="str">
        <f>IF(AND('2.报价结算清单'!$P592&gt;0,'2.报价结算清单'!$B592&lt;&gt;0,'2.报价结算清单'!I592&lt;&gt;0),'2.报价结算清单'!I592,"")</f>
        <v/>
      </c>
      <c r="K489" s="105" t="str">
        <f>IF(AND('2.报价结算清单'!$P592&gt;0,'2.报价结算清单'!$B592&lt;&gt;0,'2.报价结算清单'!$F592&lt;&gt;0),'2.报价结算清单'!N592,"")</f>
        <v/>
      </c>
      <c r="L489" s="105" t="str">
        <f>IF(AND('2.报价结算清单'!$P592&gt;0,'2.报价结算清单'!$B592&lt;&gt;0,'2.报价结算清单'!I592&lt;&gt;0),"天","")</f>
        <v/>
      </c>
      <c r="M489" s="80" t="str">
        <f t="shared" si="18"/>
        <v/>
      </c>
      <c r="N489" s="78" t="str">
        <f t="shared" si="19"/>
        <v/>
      </c>
      <c r="O489" s="78" t="str">
        <f>IF(AND('2.报价结算清单'!$P592&gt;0,'2.报价结算清单'!$B592&lt;&gt;0,'2.报价结算清单'!S592&lt;&gt;0),'2.报价结算清单'!S592,"")</f>
        <v/>
      </c>
      <c r="P489" s="78" t="str">
        <f>IF(AND('2.报价结算清单'!$P592&gt;0,'2.报价结算清单'!$B592&lt;&gt;0,'2.报价结算清单'!T592&lt;&gt;0),'2.报价结算清单'!T592,"")</f>
        <v/>
      </c>
      <c r="Q489" s="78" t="str">
        <f>IF(F489="",J489,VLOOKUP(F489,框架条目清单!A:K,4,FALSE))</f>
        <v/>
      </c>
      <c r="R489" s="106" t="str">
        <f>IF($A489="","",'2.报价结算清单'!$K$183)</f>
        <v/>
      </c>
      <c r="S489" s="80" t="str">
        <f>IF($A489="","",'2.报价结算清单'!$E$183)</f>
        <v/>
      </c>
      <c r="T489" s="78" t="str">
        <f>IF(F489="","",VLOOKUP(F489,框架条目清单!A:K,7,FALSE))</f>
        <v/>
      </c>
      <c r="U489" s="78" t="str">
        <f>IF(F489="","",VLOOKUP(F489,框架条目清单!A:K,8,FALSE))</f>
        <v/>
      </c>
      <c r="V489" s="78" t="str">
        <f>IF(F489="","",VLOOKUP(F489,框架条目清单!A:K,9,FALSE))</f>
        <v/>
      </c>
    </row>
    <row r="490" spans="1:22">
      <c r="A490" s="78" t="str">
        <f>IF(AND('2.报价结算清单'!$P593&gt;0,'2.报价结算清单'!$B593&lt;&gt;0,'2.报价结算清单'!$F593&lt;&gt;0),'2.报价结算清单'!$F593,"")</f>
        <v/>
      </c>
      <c r="B490" s="78" t="str">
        <f>_xlfn.IFNA(VLOOKUP(A490,'3.框架内物料'!$A:$I,3,0),A490)</f>
        <v/>
      </c>
      <c r="C490" s="78" t="str">
        <f>IF(AND('2.报价结算清单'!$P593&gt;0,'2.报价结算清单'!$B593&lt;&gt;0,'2.报价结算清单'!C593&lt;&gt;0),'2.报价结算清单'!C593,"")</f>
        <v/>
      </c>
      <c r="D490" s="78" t="str">
        <f>IF(AND('2.报价结算清单'!$P593&gt;0,'2.报价结算清单'!$B593&lt;&gt;0,'2.报价结算清单'!D593&lt;&gt;0),'2.报价结算清单'!D593,"")</f>
        <v/>
      </c>
      <c r="E490" s="78" t="str">
        <f>IF(AND('2.报价结算清单'!$P593&gt;0,'2.报价结算清单'!$B593&lt;&gt;0,'2.报价结算清单'!E593&lt;&gt;0),'2.报价结算清单'!E593,"")</f>
        <v/>
      </c>
      <c r="F490" s="105" t="str">
        <f>_xlfn.IFNA(IF($A490="","",IF(VLOOKUP($A490,'3.框架内物料'!$A:$I,2,0)="","",VLOOKUP($A490,'3.框架内物料'!$A:$I,2,0))),"")</f>
        <v/>
      </c>
      <c r="G490" s="87" t="str">
        <f>IF(AND('2.报价结算清单'!$P593&gt;0,'2.报价结算清单'!$B593&lt;&gt;0,'2.报价结算清单'!H593&lt;&gt;0),'2.报价结算清单'!H593,"")</f>
        <v/>
      </c>
      <c r="H490" s="122" t="str">
        <f>IF(AND('2.报价结算清单'!$P593&gt;0,'2.报价结算清单'!$B593&lt;&gt;0,'2.报价结算清单'!$F593&lt;&gt;0),'2.报价结算清单'!J593,"")</f>
        <v/>
      </c>
      <c r="I490" s="105" t="str">
        <f>IF(AND('2.报价结算清单'!$P593&gt;0,'2.报价结算清单'!$B593&lt;&gt;0,'2.报价结算清单'!$F593&lt;&gt;0),'2.报价结算清单'!L593,"")</f>
        <v/>
      </c>
      <c r="J490" s="105" t="str">
        <f>IF(AND('2.报价结算清单'!$P593&gt;0,'2.报价结算清单'!$B593&lt;&gt;0,'2.报价结算清单'!I593&lt;&gt;0),'2.报价结算清单'!I593,"")</f>
        <v/>
      </c>
      <c r="K490" s="105" t="str">
        <f>IF(AND('2.报价结算清单'!$P593&gt;0,'2.报价结算清单'!$B593&lt;&gt;0,'2.报价结算清单'!$F593&lt;&gt;0),'2.报价结算清单'!N593,"")</f>
        <v/>
      </c>
      <c r="L490" s="105" t="str">
        <f>IF(AND('2.报价结算清单'!$P593&gt;0,'2.报价结算清单'!$B593&lt;&gt;0,'2.报价结算清单'!I593&lt;&gt;0),"天","")</f>
        <v/>
      </c>
      <c r="M490" s="80" t="str">
        <f t="shared" si="18"/>
        <v/>
      </c>
      <c r="N490" s="78" t="str">
        <f t="shared" si="19"/>
        <v/>
      </c>
      <c r="O490" s="78" t="str">
        <f>IF(AND('2.报价结算清单'!$P593&gt;0,'2.报价结算清单'!$B593&lt;&gt;0,'2.报价结算清单'!S593&lt;&gt;0),'2.报价结算清单'!S593,"")</f>
        <v/>
      </c>
      <c r="P490" s="78" t="str">
        <f>IF(AND('2.报价结算清单'!$P593&gt;0,'2.报价结算清单'!$B593&lt;&gt;0,'2.报价结算清单'!T593&lt;&gt;0),'2.报价结算清单'!T593,"")</f>
        <v/>
      </c>
      <c r="Q490" s="78" t="str">
        <f>IF(F490="",J490,VLOOKUP(F490,框架条目清单!A:K,4,FALSE))</f>
        <v/>
      </c>
      <c r="R490" s="106" t="str">
        <f>IF($A490="","",'2.报价结算清单'!$K$183)</f>
        <v/>
      </c>
      <c r="S490" s="80" t="str">
        <f>IF($A490="","",'2.报价结算清单'!$E$183)</f>
        <v/>
      </c>
      <c r="T490" s="78" t="str">
        <f>IF(F490="","",VLOOKUP(F490,框架条目清单!A:K,7,FALSE))</f>
        <v/>
      </c>
      <c r="U490" s="78" t="str">
        <f>IF(F490="","",VLOOKUP(F490,框架条目清单!A:K,8,FALSE))</f>
        <v/>
      </c>
      <c r="V490" s="78" t="str">
        <f>IF(F490="","",VLOOKUP(F490,框架条目清单!A:K,9,FALSE))</f>
        <v/>
      </c>
    </row>
    <row r="491" spans="1:22">
      <c r="A491" s="78" t="str">
        <f>IF(AND('2.报价结算清单'!$P594&gt;0,'2.报价结算清单'!$B594&lt;&gt;0,'2.报价结算清单'!$F594&lt;&gt;0),'2.报价结算清单'!$F594,"")</f>
        <v/>
      </c>
      <c r="B491" s="78" t="str">
        <f>_xlfn.IFNA(VLOOKUP(A491,'3.框架内物料'!$A:$I,3,0),A491)</f>
        <v/>
      </c>
      <c r="C491" s="78" t="str">
        <f>IF(AND('2.报价结算清单'!$P594&gt;0,'2.报价结算清单'!$B594&lt;&gt;0,'2.报价结算清单'!C594&lt;&gt;0),'2.报价结算清单'!C594,"")</f>
        <v/>
      </c>
      <c r="D491" s="78" t="str">
        <f>IF(AND('2.报价结算清单'!$P594&gt;0,'2.报价结算清单'!$B594&lt;&gt;0,'2.报价结算清单'!D594&lt;&gt;0),'2.报价结算清单'!D594,"")</f>
        <v/>
      </c>
      <c r="E491" s="78" t="str">
        <f>IF(AND('2.报价结算清单'!$P594&gt;0,'2.报价结算清单'!$B594&lt;&gt;0,'2.报价结算清单'!E594&lt;&gt;0),'2.报价结算清单'!E594,"")</f>
        <v/>
      </c>
      <c r="F491" s="105" t="str">
        <f>_xlfn.IFNA(IF($A491="","",IF(VLOOKUP($A491,'3.框架内物料'!$A:$I,2,0)="","",VLOOKUP($A491,'3.框架内物料'!$A:$I,2,0))),"")</f>
        <v/>
      </c>
      <c r="G491" s="87" t="str">
        <f>IF(AND('2.报价结算清单'!$P594&gt;0,'2.报价结算清单'!$B594&lt;&gt;0,'2.报价结算清单'!H594&lt;&gt;0),'2.报价结算清单'!H594,"")</f>
        <v/>
      </c>
      <c r="H491" s="122" t="str">
        <f>IF(AND('2.报价结算清单'!$P594&gt;0,'2.报价结算清单'!$B594&lt;&gt;0,'2.报价结算清单'!$F594&lt;&gt;0),'2.报价结算清单'!J594,"")</f>
        <v/>
      </c>
      <c r="I491" s="105" t="str">
        <f>IF(AND('2.报价结算清单'!$P594&gt;0,'2.报价结算清单'!$B594&lt;&gt;0,'2.报价结算清单'!$F594&lt;&gt;0),'2.报价结算清单'!L594,"")</f>
        <v/>
      </c>
      <c r="J491" s="105" t="str">
        <f>IF(AND('2.报价结算清单'!$P594&gt;0,'2.报价结算清单'!$B594&lt;&gt;0,'2.报价结算清单'!I594&lt;&gt;0),'2.报价结算清单'!I594,"")</f>
        <v/>
      </c>
      <c r="K491" s="105" t="str">
        <f>IF(AND('2.报价结算清单'!$P594&gt;0,'2.报价结算清单'!$B594&lt;&gt;0,'2.报价结算清单'!$F594&lt;&gt;0),'2.报价结算清单'!N594,"")</f>
        <v/>
      </c>
      <c r="L491" s="105" t="str">
        <f>IF(AND('2.报价结算清单'!$P594&gt;0,'2.报价结算清单'!$B594&lt;&gt;0,'2.报价结算清单'!I594&lt;&gt;0),"天","")</f>
        <v/>
      </c>
      <c r="M491" s="80" t="str">
        <f t="shared" si="18"/>
        <v/>
      </c>
      <c r="N491" s="78" t="str">
        <f t="shared" si="19"/>
        <v/>
      </c>
      <c r="O491" s="78" t="str">
        <f>IF(AND('2.报价结算清单'!$P594&gt;0,'2.报价结算清单'!$B594&lt;&gt;0,'2.报价结算清单'!S594&lt;&gt;0),'2.报价结算清单'!S594,"")</f>
        <v/>
      </c>
      <c r="P491" s="78" t="str">
        <f>IF(AND('2.报价结算清单'!$P594&gt;0,'2.报价结算清单'!$B594&lt;&gt;0,'2.报价结算清单'!T594&lt;&gt;0),'2.报价结算清单'!T594,"")</f>
        <v/>
      </c>
      <c r="Q491" s="78" t="str">
        <f>IF(F491="",J491,VLOOKUP(F491,框架条目清单!A:K,4,FALSE))</f>
        <v/>
      </c>
      <c r="R491" s="106" t="str">
        <f>IF($A491="","",'2.报价结算清单'!$K$183)</f>
        <v/>
      </c>
      <c r="S491" s="80" t="str">
        <f>IF($A491="","",'2.报价结算清单'!$E$183)</f>
        <v/>
      </c>
      <c r="T491" s="78" t="str">
        <f>IF(F491="","",VLOOKUP(F491,框架条目清单!A:K,7,FALSE))</f>
        <v/>
      </c>
      <c r="U491" s="78" t="str">
        <f>IF(F491="","",VLOOKUP(F491,框架条目清单!A:K,8,FALSE))</f>
        <v/>
      </c>
      <c r="V491" s="78" t="str">
        <f>IF(F491="","",VLOOKUP(F491,框架条目清单!A:K,9,FALSE))</f>
        <v/>
      </c>
    </row>
    <row r="492" spans="1:22">
      <c r="A492" s="78" t="str">
        <f>IF(AND('2.报价结算清单'!$P595&gt;0,'2.报价结算清单'!$B595&lt;&gt;0,'2.报价结算清单'!$F595&lt;&gt;0),'2.报价结算清单'!$F595,"")</f>
        <v/>
      </c>
      <c r="B492" s="78" t="str">
        <f>_xlfn.IFNA(VLOOKUP(A492,'3.框架内物料'!$A:$I,3,0),A492)</f>
        <v/>
      </c>
      <c r="C492" s="78" t="str">
        <f>IF(AND('2.报价结算清单'!$P595&gt;0,'2.报价结算清单'!$B595&lt;&gt;0,'2.报价结算清单'!C595&lt;&gt;0),'2.报价结算清单'!C595,"")</f>
        <v/>
      </c>
      <c r="D492" s="78" t="str">
        <f>IF(AND('2.报价结算清单'!$P595&gt;0,'2.报价结算清单'!$B595&lt;&gt;0,'2.报价结算清单'!D595&lt;&gt;0),'2.报价结算清单'!D595,"")</f>
        <v/>
      </c>
      <c r="E492" s="78" t="str">
        <f>IF(AND('2.报价结算清单'!$P595&gt;0,'2.报价结算清单'!$B595&lt;&gt;0,'2.报价结算清单'!E595&lt;&gt;0),'2.报价结算清单'!E595,"")</f>
        <v/>
      </c>
      <c r="F492" s="105" t="str">
        <f>_xlfn.IFNA(IF($A492="","",IF(VLOOKUP($A492,'3.框架内物料'!$A:$I,2,0)="","",VLOOKUP($A492,'3.框架内物料'!$A:$I,2,0))),"")</f>
        <v/>
      </c>
      <c r="G492" s="87" t="str">
        <f>IF(AND('2.报价结算清单'!$P595&gt;0,'2.报价结算清单'!$B595&lt;&gt;0,'2.报价结算清单'!H595&lt;&gt;0),'2.报价结算清单'!H595,"")</f>
        <v/>
      </c>
      <c r="H492" s="122" t="str">
        <f>IF(AND('2.报价结算清单'!$P595&gt;0,'2.报价结算清单'!$B595&lt;&gt;0,'2.报价结算清单'!$F595&lt;&gt;0),'2.报价结算清单'!J595,"")</f>
        <v/>
      </c>
      <c r="I492" s="105" t="str">
        <f>IF(AND('2.报价结算清单'!$P595&gt;0,'2.报价结算清单'!$B595&lt;&gt;0,'2.报价结算清单'!$F595&lt;&gt;0),'2.报价结算清单'!L595,"")</f>
        <v/>
      </c>
      <c r="J492" s="105" t="str">
        <f>IF(AND('2.报价结算清单'!$P595&gt;0,'2.报价结算清单'!$B595&lt;&gt;0,'2.报价结算清单'!I595&lt;&gt;0),'2.报价结算清单'!I595,"")</f>
        <v/>
      </c>
      <c r="K492" s="105" t="str">
        <f>IF(AND('2.报价结算清单'!$P595&gt;0,'2.报价结算清单'!$B595&lt;&gt;0,'2.报价结算清单'!$F595&lt;&gt;0),'2.报价结算清单'!N595,"")</f>
        <v/>
      </c>
      <c r="L492" s="105" t="str">
        <f>IF(AND('2.报价结算清单'!$P595&gt;0,'2.报价结算清单'!$B595&lt;&gt;0,'2.报价结算清单'!I595&lt;&gt;0),"天","")</f>
        <v/>
      </c>
      <c r="M492" s="80" t="str">
        <f t="shared" si="18"/>
        <v/>
      </c>
      <c r="N492" s="78" t="str">
        <f t="shared" si="19"/>
        <v/>
      </c>
      <c r="O492" s="78" t="str">
        <f>IF(AND('2.报价结算清单'!$P595&gt;0,'2.报价结算清单'!$B595&lt;&gt;0,'2.报价结算清单'!S595&lt;&gt;0),'2.报价结算清单'!S595,"")</f>
        <v/>
      </c>
      <c r="P492" s="78" t="str">
        <f>IF(AND('2.报价结算清单'!$P595&gt;0,'2.报价结算清单'!$B595&lt;&gt;0,'2.报价结算清单'!T595&lt;&gt;0),'2.报价结算清单'!T595,"")</f>
        <v/>
      </c>
      <c r="Q492" s="78" t="str">
        <f>IF(F492="",J492,VLOOKUP(F492,框架条目清单!A:K,4,FALSE))</f>
        <v/>
      </c>
      <c r="R492" s="106" t="str">
        <f>IF($A492="","",'2.报价结算清单'!$K$183)</f>
        <v/>
      </c>
      <c r="S492" s="80" t="str">
        <f>IF($A492="","",'2.报价结算清单'!$E$183)</f>
        <v/>
      </c>
      <c r="T492" s="78" t="str">
        <f>IF(F492="","",VLOOKUP(F492,框架条目清单!A:K,7,FALSE))</f>
        <v/>
      </c>
      <c r="U492" s="78" t="str">
        <f>IF(F492="","",VLOOKUP(F492,框架条目清单!A:K,8,FALSE))</f>
        <v/>
      </c>
      <c r="V492" s="78" t="str">
        <f>IF(F492="","",VLOOKUP(F492,框架条目清单!A:K,9,FALSE))</f>
        <v/>
      </c>
    </row>
    <row r="493" spans="1:22">
      <c r="A493" s="78" t="str">
        <f>IF(AND('2.报价结算清单'!$P596&gt;0,'2.报价结算清单'!$B596&lt;&gt;0,'2.报价结算清单'!$F596&lt;&gt;0),'2.报价结算清单'!$F596,"")</f>
        <v/>
      </c>
      <c r="B493" s="78" t="str">
        <f>_xlfn.IFNA(VLOOKUP(A493,'3.框架内物料'!$A:$I,3,0),A493)</f>
        <v/>
      </c>
      <c r="C493" s="78" t="str">
        <f>IF(AND('2.报价结算清单'!$P596&gt;0,'2.报价结算清单'!$B596&lt;&gt;0,'2.报价结算清单'!C596&lt;&gt;0),'2.报价结算清单'!C596,"")</f>
        <v/>
      </c>
      <c r="D493" s="78" t="str">
        <f>IF(AND('2.报价结算清单'!$P596&gt;0,'2.报价结算清单'!$B596&lt;&gt;0,'2.报价结算清单'!D596&lt;&gt;0),'2.报价结算清单'!D596,"")</f>
        <v/>
      </c>
      <c r="E493" s="78" t="str">
        <f>IF(AND('2.报价结算清单'!$P596&gt;0,'2.报价结算清单'!$B596&lt;&gt;0,'2.报价结算清单'!E596&lt;&gt;0),'2.报价结算清单'!E596,"")</f>
        <v/>
      </c>
      <c r="F493" s="105" t="str">
        <f>_xlfn.IFNA(IF($A493="","",IF(VLOOKUP($A493,'3.框架内物料'!$A:$I,2,0)="","",VLOOKUP($A493,'3.框架内物料'!$A:$I,2,0))),"")</f>
        <v/>
      </c>
      <c r="G493" s="87" t="str">
        <f>IF(AND('2.报价结算清单'!$P596&gt;0,'2.报价结算清单'!$B596&lt;&gt;0,'2.报价结算清单'!H596&lt;&gt;0),'2.报价结算清单'!H596,"")</f>
        <v/>
      </c>
      <c r="H493" s="122" t="str">
        <f>IF(AND('2.报价结算清单'!$P596&gt;0,'2.报价结算清单'!$B596&lt;&gt;0,'2.报价结算清单'!$F596&lt;&gt;0),'2.报价结算清单'!J596,"")</f>
        <v/>
      </c>
      <c r="I493" s="105" t="str">
        <f>IF(AND('2.报价结算清单'!$P596&gt;0,'2.报价结算清单'!$B596&lt;&gt;0,'2.报价结算清单'!$F596&lt;&gt;0),'2.报价结算清单'!L596,"")</f>
        <v/>
      </c>
      <c r="J493" s="105" t="str">
        <f>IF(AND('2.报价结算清单'!$P596&gt;0,'2.报价结算清单'!$B596&lt;&gt;0,'2.报价结算清单'!I596&lt;&gt;0),'2.报价结算清单'!I596,"")</f>
        <v/>
      </c>
      <c r="K493" s="105" t="str">
        <f>IF(AND('2.报价结算清单'!$P596&gt;0,'2.报价结算清单'!$B596&lt;&gt;0,'2.报价结算清单'!$F596&lt;&gt;0),'2.报价结算清单'!N596,"")</f>
        <v/>
      </c>
      <c r="L493" s="105" t="str">
        <f>IF(AND('2.报价结算清单'!$P596&gt;0,'2.报价结算清单'!$B596&lt;&gt;0,'2.报价结算清单'!I596&lt;&gt;0),"天","")</f>
        <v/>
      </c>
      <c r="M493" s="80" t="str">
        <f t="shared" si="18"/>
        <v/>
      </c>
      <c r="N493" s="78" t="str">
        <f t="shared" si="19"/>
        <v/>
      </c>
      <c r="O493" s="78" t="str">
        <f>IF(AND('2.报价结算清单'!$P596&gt;0,'2.报价结算清单'!$B596&lt;&gt;0,'2.报价结算清单'!S596&lt;&gt;0),'2.报价结算清单'!S596,"")</f>
        <v/>
      </c>
      <c r="P493" s="78" t="str">
        <f>IF(AND('2.报价结算清单'!$P596&gt;0,'2.报价结算清单'!$B596&lt;&gt;0,'2.报价结算清单'!T596&lt;&gt;0),'2.报价结算清单'!T596,"")</f>
        <v/>
      </c>
      <c r="Q493" s="78" t="str">
        <f>IF(F493="",J493,VLOOKUP(F493,框架条目清单!A:K,4,FALSE))</f>
        <v/>
      </c>
      <c r="R493" s="106" t="str">
        <f>IF($A493="","",'2.报价结算清单'!$K$183)</f>
        <v/>
      </c>
      <c r="S493" s="80" t="str">
        <f>IF($A493="","",'2.报价结算清单'!$E$183)</f>
        <v/>
      </c>
      <c r="T493" s="78" t="str">
        <f>IF(F493="","",VLOOKUP(F493,框架条目清单!A:K,7,FALSE))</f>
        <v/>
      </c>
      <c r="U493" s="78" t="str">
        <f>IF(F493="","",VLOOKUP(F493,框架条目清单!A:K,8,FALSE))</f>
        <v/>
      </c>
      <c r="V493" s="78" t="str">
        <f>IF(F493="","",VLOOKUP(F493,框架条目清单!A:K,9,FALSE))</f>
        <v/>
      </c>
    </row>
    <row r="494" spans="1:22">
      <c r="A494" s="78" t="str">
        <f>IF(AND('2.报价结算清单'!$P597&gt;0,'2.报价结算清单'!$B597&lt;&gt;0,'2.报价结算清单'!$F597&lt;&gt;0),'2.报价结算清单'!$F597,"")</f>
        <v/>
      </c>
      <c r="B494" s="78" t="str">
        <f>_xlfn.IFNA(VLOOKUP(A494,'3.框架内物料'!$A:$I,3,0),A494)</f>
        <v/>
      </c>
      <c r="C494" s="78" t="str">
        <f>IF(AND('2.报价结算清单'!$P597&gt;0,'2.报价结算清单'!$B597&lt;&gt;0,'2.报价结算清单'!C597&lt;&gt;0),'2.报价结算清单'!C597,"")</f>
        <v/>
      </c>
      <c r="D494" s="78" t="str">
        <f>IF(AND('2.报价结算清单'!$P597&gt;0,'2.报价结算清单'!$B597&lt;&gt;0,'2.报价结算清单'!D597&lt;&gt;0),'2.报价结算清单'!D597,"")</f>
        <v/>
      </c>
      <c r="E494" s="78" t="str">
        <f>IF(AND('2.报价结算清单'!$P597&gt;0,'2.报价结算清单'!$B597&lt;&gt;0,'2.报价结算清单'!E597&lt;&gt;0),'2.报价结算清单'!E597,"")</f>
        <v/>
      </c>
      <c r="F494" s="105" t="str">
        <f>_xlfn.IFNA(IF($A494="","",IF(VLOOKUP($A494,'3.框架内物料'!$A:$I,2,0)="","",VLOOKUP($A494,'3.框架内物料'!$A:$I,2,0))),"")</f>
        <v/>
      </c>
      <c r="G494" s="87" t="str">
        <f>IF(AND('2.报价结算清单'!$P597&gt;0,'2.报价结算清单'!$B597&lt;&gt;0,'2.报价结算清单'!H597&lt;&gt;0),'2.报价结算清单'!H597,"")</f>
        <v/>
      </c>
      <c r="H494" s="122" t="str">
        <f>IF(AND('2.报价结算清单'!$P597&gt;0,'2.报价结算清单'!$B597&lt;&gt;0,'2.报价结算清单'!$F597&lt;&gt;0),'2.报价结算清单'!J597,"")</f>
        <v/>
      </c>
      <c r="I494" s="105" t="str">
        <f>IF(AND('2.报价结算清单'!$P597&gt;0,'2.报价结算清单'!$B597&lt;&gt;0,'2.报价结算清单'!$F597&lt;&gt;0),'2.报价结算清单'!L597,"")</f>
        <v/>
      </c>
      <c r="J494" s="105" t="str">
        <f>IF(AND('2.报价结算清单'!$P597&gt;0,'2.报价结算清单'!$B597&lt;&gt;0,'2.报价结算清单'!I597&lt;&gt;0),'2.报价结算清单'!I597,"")</f>
        <v/>
      </c>
      <c r="K494" s="105" t="str">
        <f>IF(AND('2.报价结算清单'!$P597&gt;0,'2.报价结算清单'!$B597&lt;&gt;0,'2.报价结算清单'!$F597&lt;&gt;0),'2.报价结算清单'!N597,"")</f>
        <v/>
      </c>
      <c r="L494" s="105" t="str">
        <f>IF(AND('2.报价结算清单'!$P597&gt;0,'2.报价结算清单'!$B597&lt;&gt;0,'2.报价结算清单'!I597&lt;&gt;0),"天","")</f>
        <v/>
      </c>
      <c r="M494" s="80" t="str">
        <f t="shared" si="18"/>
        <v/>
      </c>
      <c r="N494" s="78" t="str">
        <f t="shared" si="19"/>
        <v/>
      </c>
      <c r="O494" s="78" t="str">
        <f>IF(AND('2.报价结算清单'!$P597&gt;0,'2.报价结算清单'!$B597&lt;&gt;0,'2.报价结算清单'!S597&lt;&gt;0),'2.报价结算清单'!S597,"")</f>
        <v/>
      </c>
      <c r="P494" s="78" t="str">
        <f>IF(AND('2.报价结算清单'!$P597&gt;0,'2.报价结算清单'!$B597&lt;&gt;0,'2.报价结算清单'!T597&lt;&gt;0),'2.报价结算清单'!T597,"")</f>
        <v/>
      </c>
      <c r="Q494" s="78" t="str">
        <f>IF(F494="",J494,VLOOKUP(F494,框架条目清单!A:K,4,FALSE))</f>
        <v/>
      </c>
      <c r="R494" s="106" t="str">
        <f>IF($A494="","",'2.报价结算清单'!$K$183)</f>
        <v/>
      </c>
      <c r="S494" s="80" t="str">
        <f>IF($A494="","",'2.报价结算清单'!$E$183)</f>
        <v/>
      </c>
      <c r="T494" s="78" t="str">
        <f>IF(F494="","",VLOOKUP(F494,框架条目清单!A:K,7,FALSE))</f>
        <v/>
      </c>
      <c r="U494" s="78" t="str">
        <f>IF(F494="","",VLOOKUP(F494,框架条目清单!A:K,8,FALSE))</f>
        <v/>
      </c>
      <c r="V494" s="78" t="str">
        <f>IF(F494="","",VLOOKUP(F494,框架条目清单!A:K,9,FALSE))</f>
        <v/>
      </c>
    </row>
    <row r="495" spans="1:22">
      <c r="A495" s="78" t="str">
        <f>IF(AND('2.报价结算清单'!$P598&gt;0,'2.报价结算清单'!$B598&lt;&gt;0,'2.报价结算清单'!$F598&lt;&gt;0),'2.报价结算清单'!$F598,"")</f>
        <v/>
      </c>
      <c r="B495" s="78" t="str">
        <f>_xlfn.IFNA(VLOOKUP(A495,'3.框架内物料'!$A:$I,3,0),A495)</f>
        <v/>
      </c>
      <c r="C495" s="78" t="str">
        <f>IF(AND('2.报价结算清单'!$P598&gt;0,'2.报价结算清单'!$B598&lt;&gt;0,'2.报价结算清单'!C598&lt;&gt;0),'2.报价结算清单'!C598,"")</f>
        <v/>
      </c>
      <c r="D495" s="78" t="str">
        <f>IF(AND('2.报价结算清单'!$P598&gt;0,'2.报价结算清单'!$B598&lt;&gt;0,'2.报价结算清单'!D598&lt;&gt;0),'2.报价结算清单'!D598,"")</f>
        <v/>
      </c>
      <c r="E495" s="78" t="str">
        <f>IF(AND('2.报价结算清单'!$P598&gt;0,'2.报价结算清单'!$B598&lt;&gt;0,'2.报价结算清单'!E598&lt;&gt;0),'2.报价结算清单'!E598,"")</f>
        <v/>
      </c>
      <c r="F495" s="105" t="str">
        <f>_xlfn.IFNA(IF($A495="","",IF(VLOOKUP($A495,'3.框架内物料'!$A:$I,2,0)="","",VLOOKUP($A495,'3.框架内物料'!$A:$I,2,0))),"")</f>
        <v/>
      </c>
      <c r="G495" s="87" t="str">
        <f>IF(AND('2.报价结算清单'!$P598&gt;0,'2.报价结算清单'!$B598&lt;&gt;0,'2.报价结算清单'!H598&lt;&gt;0),'2.报价结算清单'!H598,"")</f>
        <v/>
      </c>
      <c r="H495" s="122" t="str">
        <f>IF(AND('2.报价结算清单'!$P598&gt;0,'2.报价结算清单'!$B598&lt;&gt;0,'2.报价结算清单'!$F598&lt;&gt;0),'2.报价结算清单'!J598,"")</f>
        <v/>
      </c>
      <c r="I495" s="105" t="str">
        <f>IF(AND('2.报价结算清单'!$P598&gt;0,'2.报价结算清单'!$B598&lt;&gt;0,'2.报价结算清单'!$F598&lt;&gt;0),'2.报价结算清单'!L598,"")</f>
        <v/>
      </c>
      <c r="J495" s="105" t="str">
        <f>IF(AND('2.报价结算清单'!$P598&gt;0,'2.报价结算清单'!$B598&lt;&gt;0,'2.报价结算清单'!I598&lt;&gt;0),'2.报价结算清单'!I598,"")</f>
        <v/>
      </c>
      <c r="K495" s="105" t="str">
        <f>IF(AND('2.报价结算清单'!$P598&gt;0,'2.报价结算清单'!$B598&lt;&gt;0,'2.报价结算清单'!$F598&lt;&gt;0),'2.报价结算清单'!N598,"")</f>
        <v/>
      </c>
      <c r="L495" s="105" t="str">
        <f>IF(AND('2.报价结算清单'!$P598&gt;0,'2.报价结算清单'!$B598&lt;&gt;0,'2.报价结算清单'!I598&lt;&gt;0),"天","")</f>
        <v/>
      </c>
      <c r="M495" s="80" t="str">
        <f t="shared" si="18"/>
        <v/>
      </c>
      <c r="N495" s="78" t="str">
        <f t="shared" si="19"/>
        <v/>
      </c>
      <c r="O495" s="78" t="str">
        <f>IF(AND('2.报价结算清单'!$P598&gt;0,'2.报价结算清单'!$B598&lt;&gt;0,'2.报价结算清单'!S598&lt;&gt;0),'2.报价结算清单'!S598,"")</f>
        <v/>
      </c>
      <c r="P495" s="78" t="str">
        <f>IF(AND('2.报价结算清单'!$P598&gt;0,'2.报价结算清单'!$B598&lt;&gt;0,'2.报价结算清单'!T598&lt;&gt;0),'2.报价结算清单'!T598,"")</f>
        <v/>
      </c>
      <c r="Q495" s="78" t="str">
        <f>IF(F495="",J495,VLOOKUP(F495,框架条目清单!A:K,4,FALSE))</f>
        <v/>
      </c>
      <c r="R495" s="106" t="str">
        <f>IF($A495="","",'2.报价结算清单'!$K$183)</f>
        <v/>
      </c>
      <c r="S495" s="80" t="str">
        <f>IF($A495="","",'2.报价结算清单'!$E$183)</f>
        <v/>
      </c>
      <c r="T495" s="78" t="str">
        <f>IF(F495="","",VLOOKUP(F495,框架条目清单!A:K,7,FALSE))</f>
        <v/>
      </c>
      <c r="U495" s="78" t="str">
        <f>IF(F495="","",VLOOKUP(F495,框架条目清单!A:K,8,FALSE))</f>
        <v/>
      </c>
      <c r="V495" s="78" t="str">
        <f>IF(F495="","",VLOOKUP(F495,框架条目清单!A:K,9,FALSE))</f>
        <v/>
      </c>
    </row>
    <row r="496" spans="1:22">
      <c r="A496" s="78" t="str">
        <f>IF(AND('2.报价结算清单'!$P599&gt;0,'2.报价结算清单'!$B599&lt;&gt;0,'2.报价结算清单'!$F599&lt;&gt;0),'2.报价结算清单'!$F599,"")</f>
        <v/>
      </c>
      <c r="B496" s="78" t="str">
        <f>_xlfn.IFNA(VLOOKUP(A496,'3.框架内物料'!$A:$I,3,0),A496)</f>
        <v/>
      </c>
      <c r="C496" s="78" t="str">
        <f>IF(AND('2.报价结算清单'!$P599&gt;0,'2.报价结算清单'!$B599&lt;&gt;0,'2.报价结算清单'!C599&lt;&gt;0),'2.报价结算清单'!C599,"")</f>
        <v/>
      </c>
      <c r="D496" s="78" t="str">
        <f>IF(AND('2.报价结算清单'!$P599&gt;0,'2.报价结算清单'!$B599&lt;&gt;0,'2.报价结算清单'!D599&lt;&gt;0),'2.报价结算清单'!D599,"")</f>
        <v/>
      </c>
      <c r="E496" s="78" t="str">
        <f>IF(AND('2.报价结算清单'!$P599&gt;0,'2.报价结算清单'!$B599&lt;&gt;0,'2.报价结算清单'!E599&lt;&gt;0),'2.报价结算清单'!E599,"")</f>
        <v/>
      </c>
      <c r="F496" s="105" t="str">
        <f>_xlfn.IFNA(IF($A496="","",IF(VLOOKUP($A496,'3.框架内物料'!$A:$I,2,0)="","",VLOOKUP($A496,'3.框架内物料'!$A:$I,2,0))),"")</f>
        <v/>
      </c>
      <c r="G496" s="87" t="str">
        <f>IF(AND('2.报价结算清单'!$P599&gt;0,'2.报价结算清单'!$B599&lt;&gt;0,'2.报价结算清单'!H599&lt;&gt;0),'2.报价结算清单'!H599,"")</f>
        <v/>
      </c>
      <c r="H496" s="122" t="str">
        <f>IF(AND('2.报价结算清单'!$P599&gt;0,'2.报价结算清单'!$B599&lt;&gt;0,'2.报价结算清单'!$F599&lt;&gt;0),'2.报价结算清单'!J599,"")</f>
        <v/>
      </c>
      <c r="I496" s="105" t="str">
        <f>IF(AND('2.报价结算清单'!$P599&gt;0,'2.报价结算清单'!$B599&lt;&gt;0,'2.报价结算清单'!$F599&lt;&gt;0),'2.报价结算清单'!L599,"")</f>
        <v/>
      </c>
      <c r="J496" s="105" t="str">
        <f>IF(AND('2.报价结算清单'!$P599&gt;0,'2.报价结算清单'!$B599&lt;&gt;0,'2.报价结算清单'!I599&lt;&gt;0),'2.报价结算清单'!I599,"")</f>
        <v/>
      </c>
      <c r="K496" s="105" t="str">
        <f>IF(AND('2.报价结算清单'!$P599&gt;0,'2.报价结算清单'!$B599&lt;&gt;0,'2.报价结算清单'!$F599&lt;&gt;0),'2.报价结算清单'!N599,"")</f>
        <v/>
      </c>
      <c r="L496" s="105" t="str">
        <f>IF(AND('2.报价结算清单'!$P599&gt;0,'2.报价结算清单'!$B599&lt;&gt;0,'2.报价结算清单'!I599&lt;&gt;0),"天","")</f>
        <v/>
      </c>
      <c r="M496" s="80" t="str">
        <f t="shared" si="18"/>
        <v/>
      </c>
      <c r="N496" s="78" t="str">
        <f t="shared" si="19"/>
        <v/>
      </c>
      <c r="O496" s="78" t="str">
        <f>IF(AND('2.报价结算清单'!$P599&gt;0,'2.报价结算清单'!$B599&lt;&gt;0,'2.报价结算清单'!S599&lt;&gt;0),'2.报价结算清单'!S599,"")</f>
        <v/>
      </c>
      <c r="P496" s="78" t="str">
        <f>IF(AND('2.报价结算清单'!$P599&gt;0,'2.报价结算清单'!$B599&lt;&gt;0,'2.报价结算清单'!T599&lt;&gt;0),'2.报价结算清单'!T599,"")</f>
        <v/>
      </c>
      <c r="Q496" s="78" t="str">
        <f>IF(F496="",J496,VLOOKUP(F496,框架条目清单!A:K,4,FALSE))</f>
        <v/>
      </c>
      <c r="R496" s="106" t="str">
        <f>IF($A496="","",'2.报价结算清单'!$K$183)</f>
        <v/>
      </c>
      <c r="S496" s="80" t="str">
        <f>IF($A496="","",'2.报价结算清单'!$E$183)</f>
        <v/>
      </c>
      <c r="T496" s="78" t="str">
        <f>IF(F496="","",VLOOKUP(F496,框架条目清单!A:K,7,FALSE))</f>
        <v/>
      </c>
      <c r="U496" s="78" t="str">
        <f>IF(F496="","",VLOOKUP(F496,框架条目清单!A:K,8,FALSE))</f>
        <v/>
      </c>
      <c r="V496" s="78" t="str">
        <f>IF(F496="","",VLOOKUP(F496,框架条目清单!A:K,9,FALSE))</f>
        <v/>
      </c>
    </row>
    <row r="497" spans="1:22">
      <c r="A497" s="78" t="str">
        <f>IF(AND('2.报价结算清单'!$P600&gt;0,'2.报价结算清单'!$B600&lt;&gt;0,'2.报价结算清单'!$F600&lt;&gt;0),'2.报价结算清单'!$F600,"")</f>
        <v/>
      </c>
      <c r="B497" s="78" t="str">
        <f>_xlfn.IFNA(VLOOKUP(A497,'3.框架内物料'!$A:$I,3,0),A497)</f>
        <v/>
      </c>
      <c r="C497" s="78" t="str">
        <f>IF(AND('2.报价结算清单'!$P600&gt;0,'2.报价结算清单'!$B600&lt;&gt;0,'2.报价结算清单'!C600&lt;&gt;0),'2.报价结算清单'!C600,"")</f>
        <v/>
      </c>
      <c r="D497" s="78" t="str">
        <f>IF(AND('2.报价结算清单'!$P600&gt;0,'2.报价结算清单'!$B600&lt;&gt;0,'2.报价结算清单'!D600&lt;&gt;0),'2.报价结算清单'!D600,"")</f>
        <v/>
      </c>
      <c r="E497" s="78" t="str">
        <f>IF(AND('2.报价结算清单'!$P600&gt;0,'2.报价结算清单'!$B600&lt;&gt;0,'2.报价结算清单'!E600&lt;&gt;0),'2.报价结算清单'!E600,"")</f>
        <v/>
      </c>
      <c r="F497" s="105" t="str">
        <f>_xlfn.IFNA(IF($A497="","",IF(VLOOKUP($A497,'3.框架内物料'!$A:$I,2,0)="","",VLOOKUP($A497,'3.框架内物料'!$A:$I,2,0))),"")</f>
        <v/>
      </c>
      <c r="G497" s="87" t="str">
        <f>IF(AND('2.报价结算清单'!$P600&gt;0,'2.报价结算清单'!$B600&lt;&gt;0,'2.报价结算清单'!H600&lt;&gt;0),'2.报价结算清单'!H600,"")</f>
        <v/>
      </c>
      <c r="H497" s="122" t="str">
        <f>IF(AND('2.报价结算清单'!$P600&gt;0,'2.报价结算清单'!$B600&lt;&gt;0,'2.报价结算清单'!$F600&lt;&gt;0),'2.报价结算清单'!J600,"")</f>
        <v/>
      </c>
      <c r="I497" s="105" t="str">
        <f>IF(AND('2.报价结算清单'!$P600&gt;0,'2.报价结算清单'!$B600&lt;&gt;0,'2.报价结算清单'!$F600&lt;&gt;0),'2.报价结算清单'!L600,"")</f>
        <v/>
      </c>
      <c r="J497" s="105" t="str">
        <f>IF(AND('2.报价结算清单'!$P600&gt;0,'2.报价结算清单'!$B600&lt;&gt;0,'2.报价结算清单'!I600&lt;&gt;0),'2.报价结算清单'!I600,"")</f>
        <v/>
      </c>
      <c r="K497" s="105" t="str">
        <f>IF(AND('2.报价结算清单'!$P600&gt;0,'2.报价结算清单'!$B600&lt;&gt;0,'2.报价结算清单'!$F600&lt;&gt;0),'2.报价结算清单'!N600,"")</f>
        <v/>
      </c>
      <c r="L497" s="105" t="str">
        <f>IF(AND('2.报价结算清单'!$P600&gt;0,'2.报价结算清单'!$B600&lt;&gt;0,'2.报价结算清单'!I600&lt;&gt;0),"天","")</f>
        <v/>
      </c>
      <c r="M497" s="80" t="str">
        <f t="shared" si="18"/>
        <v/>
      </c>
      <c r="N497" s="78" t="str">
        <f t="shared" si="19"/>
        <v/>
      </c>
      <c r="O497" s="78" t="str">
        <f>IF(AND('2.报价结算清单'!$P600&gt;0,'2.报价结算清单'!$B600&lt;&gt;0,'2.报价结算清单'!S600&lt;&gt;0),'2.报价结算清单'!S600,"")</f>
        <v/>
      </c>
      <c r="P497" s="78" t="str">
        <f>IF(AND('2.报价结算清单'!$P600&gt;0,'2.报价结算清单'!$B600&lt;&gt;0,'2.报价结算清单'!T600&lt;&gt;0),'2.报价结算清单'!T600,"")</f>
        <v/>
      </c>
      <c r="Q497" s="78" t="str">
        <f>IF(F497="",J497,VLOOKUP(F497,框架条目清单!A:K,4,FALSE))</f>
        <v/>
      </c>
      <c r="R497" s="106" t="str">
        <f>IF($A497="","",'2.报价结算清单'!$K$183)</f>
        <v/>
      </c>
      <c r="S497" s="80" t="str">
        <f>IF($A497="","",'2.报价结算清单'!$E$183)</f>
        <v/>
      </c>
      <c r="T497" s="78" t="str">
        <f>IF(F497="","",VLOOKUP(F497,框架条目清单!A:K,7,FALSE))</f>
        <v/>
      </c>
      <c r="U497" s="78" t="str">
        <f>IF(F497="","",VLOOKUP(F497,框架条目清单!A:K,8,FALSE))</f>
        <v/>
      </c>
      <c r="V497" s="78" t="str">
        <f>IF(F497="","",VLOOKUP(F497,框架条目清单!A:K,9,FALSE))</f>
        <v/>
      </c>
    </row>
    <row r="498" spans="1:22">
      <c r="A498" s="78" t="str">
        <f>IF(AND('2.报价结算清单'!$P601&gt;0,'2.报价结算清单'!$B601&lt;&gt;0,'2.报价结算清单'!$F601&lt;&gt;0),'2.报价结算清单'!$F601,"")</f>
        <v/>
      </c>
      <c r="B498" s="78" t="str">
        <f>_xlfn.IFNA(VLOOKUP(A498,'3.框架内物料'!$A:$I,3,0),A498)</f>
        <v/>
      </c>
      <c r="C498" s="78" t="str">
        <f>IF(AND('2.报价结算清单'!$P601&gt;0,'2.报价结算清单'!$B601&lt;&gt;0,'2.报价结算清单'!C601&lt;&gt;0),'2.报价结算清单'!C601,"")</f>
        <v/>
      </c>
      <c r="D498" s="78" t="str">
        <f>IF(AND('2.报价结算清单'!$P601&gt;0,'2.报价结算清单'!$B601&lt;&gt;0,'2.报价结算清单'!D601&lt;&gt;0),'2.报价结算清单'!D601,"")</f>
        <v/>
      </c>
      <c r="E498" s="78" t="str">
        <f>IF(AND('2.报价结算清单'!$P601&gt;0,'2.报价结算清单'!$B601&lt;&gt;0,'2.报价结算清单'!E601&lt;&gt;0),'2.报价结算清单'!E601,"")</f>
        <v/>
      </c>
      <c r="F498" s="105" t="str">
        <f>_xlfn.IFNA(IF($A498="","",IF(VLOOKUP($A498,'3.框架内物料'!$A:$I,2,0)="","",VLOOKUP($A498,'3.框架内物料'!$A:$I,2,0))),"")</f>
        <v/>
      </c>
      <c r="G498" s="87" t="str">
        <f>IF(AND('2.报价结算清单'!$P601&gt;0,'2.报价结算清单'!$B601&lt;&gt;0,'2.报价结算清单'!H601&lt;&gt;0),'2.报价结算清单'!H601,"")</f>
        <v/>
      </c>
      <c r="H498" s="122" t="str">
        <f>IF(AND('2.报价结算清单'!$P601&gt;0,'2.报价结算清单'!$B601&lt;&gt;0,'2.报价结算清单'!$F601&lt;&gt;0),'2.报价结算清单'!J601,"")</f>
        <v/>
      </c>
      <c r="I498" s="105" t="str">
        <f>IF(AND('2.报价结算清单'!$P601&gt;0,'2.报价结算清单'!$B601&lt;&gt;0,'2.报价结算清单'!$F601&lt;&gt;0),'2.报价结算清单'!L601,"")</f>
        <v/>
      </c>
      <c r="J498" s="105" t="str">
        <f>IF(AND('2.报价结算清单'!$P601&gt;0,'2.报价结算清单'!$B601&lt;&gt;0,'2.报价结算清单'!I601&lt;&gt;0),'2.报价结算清单'!I601,"")</f>
        <v/>
      </c>
      <c r="K498" s="105" t="str">
        <f>IF(AND('2.报价结算清单'!$P601&gt;0,'2.报价结算清单'!$B601&lt;&gt;0,'2.报价结算清单'!$F601&lt;&gt;0),'2.报价结算清单'!N601,"")</f>
        <v/>
      </c>
      <c r="L498" s="105" t="str">
        <f>IF(AND('2.报价结算清单'!$P601&gt;0,'2.报价结算清单'!$B601&lt;&gt;0,'2.报价结算清单'!I601&lt;&gt;0),"天","")</f>
        <v/>
      </c>
      <c r="M498" s="80" t="str">
        <f t="shared" si="18"/>
        <v/>
      </c>
      <c r="N498" s="78" t="str">
        <f t="shared" si="19"/>
        <v/>
      </c>
      <c r="O498" s="78" t="str">
        <f>IF(AND('2.报价结算清单'!$P601&gt;0,'2.报价结算清单'!$B601&lt;&gt;0,'2.报价结算清单'!S601&lt;&gt;0),'2.报价结算清单'!S601,"")</f>
        <v/>
      </c>
      <c r="P498" s="78" t="str">
        <f>IF(AND('2.报价结算清单'!$P601&gt;0,'2.报价结算清单'!$B601&lt;&gt;0,'2.报价结算清单'!T601&lt;&gt;0),'2.报价结算清单'!T601,"")</f>
        <v/>
      </c>
      <c r="Q498" s="78" t="str">
        <f>IF(F498="",J498,VLOOKUP(F498,框架条目清单!A:K,4,FALSE))</f>
        <v/>
      </c>
      <c r="R498" s="106" t="str">
        <f>IF($A498="","",'2.报价结算清单'!$K$183)</f>
        <v/>
      </c>
      <c r="S498" s="80" t="str">
        <f>IF($A498="","",'2.报价结算清单'!$E$183)</f>
        <v/>
      </c>
      <c r="T498" s="78" t="str">
        <f>IF(F498="","",VLOOKUP(F498,框架条目清单!A:K,7,FALSE))</f>
        <v/>
      </c>
      <c r="U498" s="78" t="str">
        <f>IF(F498="","",VLOOKUP(F498,框架条目清单!A:K,8,FALSE))</f>
        <v/>
      </c>
      <c r="V498" s="78" t="str">
        <f>IF(F498="","",VLOOKUP(F498,框架条目清单!A:K,9,FALSE))</f>
        <v/>
      </c>
    </row>
    <row r="499" spans="1:22">
      <c r="A499" s="78" t="str">
        <f>IF(AND('2.报价结算清单'!$P602&gt;0,'2.报价结算清单'!$B602&lt;&gt;0,'2.报价结算清单'!$F602&lt;&gt;0),'2.报价结算清单'!$F602,"")</f>
        <v/>
      </c>
      <c r="B499" s="78" t="str">
        <f>_xlfn.IFNA(VLOOKUP(A499,'3.框架内物料'!$A:$I,3,0),A499)</f>
        <v/>
      </c>
      <c r="C499" s="78" t="str">
        <f>IF(AND('2.报价结算清单'!$P602&gt;0,'2.报价结算清单'!$B602&lt;&gt;0,'2.报价结算清单'!C602&lt;&gt;0),'2.报价结算清单'!C602,"")</f>
        <v/>
      </c>
      <c r="D499" s="78" t="str">
        <f>IF(AND('2.报价结算清单'!$P602&gt;0,'2.报价结算清单'!$B602&lt;&gt;0,'2.报价结算清单'!D602&lt;&gt;0),'2.报价结算清单'!D602,"")</f>
        <v/>
      </c>
      <c r="E499" s="78" t="str">
        <f>IF(AND('2.报价结算清单'!$P602&gt;0,'2.报价结算清单'!$B602&lt;&gt;0,'2.报价结算清单'!E602&lt;&gt;0),'2.报价结算清单'!E602,"")</f>
        <v/>
      </c>
      <c r="F499" s="105" t="str">
        <f>_xlfn.IFNA(IF($A499="","",IF(VLOOKUP($A499,'3.框架内物料'!$A:$I,2,0)="","",VLOOKUP($A499,'3.框架内物料'!$A:$I,2,0))),"")</f>
        <v/>
      </c>
      <c r="G499" s="87" t="str">
        <f>IF(AND('2.报价结算清单'!$P602&gt;0,'2.报价结算清单'!$B602&lt;&gt;0,'2.报价结算清单'!H602&lt;&gt;0),'2.报价结算清单'!H602,"")</f>
        <v/>
      </c>
      <c r="H499" s="122" t="str">
        <f>IF(AND('2.报价结算清单'!$P602&gt;0,'2.报价结算清单'!$B602&lt;&gt;0,'2.报价结算清单'!$F602&lt;&gt;0),'2.报价结算清单'!J602,"")</f>
        <v/>
      </c>
      <c r="I499" s="105" t="str">
        <f>IF(AND('2.报价结算清单'!$P602&gt;0,'2.报价结算清单'!$B602&lt;&gt;0,'2.报价结算清单'!$F602&lt;&gt;0),'2.报价结算清单'!L602,"")</f>
        <v/>
      </c>
      <c r="J499" s="105" t="str">
        <f>IF(AND('2.报价结算清单'!$P602&gt;0,'2.报价结算清单'!$B602&lt;&gt;0,'2.报价结算清单'!I602&lt;&gt;0),'2.报价结算清单'!I602,"")</f>
        <v/>
      </c>
      <c r="K499" s="105" t="str">
        <f>IF(AND('2.报价结算清单'!$P602&gt;0,'2.报价结算清单'!$B602&lt;&gt;0,'2.报价结算清单'!$F602&lt;&gt;0),'2.报价结算清单'!N602,"")</f>
        <v/>
      </c>
      <c r="L499" s="105" t="str">
        <f>IF(AND('2.报价结算清单'!$P602&gt;0,'2.报价结算清单'!$B602&lt;&gt;0,'2.报价结算清单'!I602&lt;&gt;0),"天","")</f>
        <v/>
      </c>
      <c r="M499" s="80" t="str">
        <f t="shared" si="18"/>
        <v/>
      </c>
      <c r="N499" s="78" t="str">
        <f t="shared" si="19"/>
        <v/>
      </c>
      <c r="O499" s="78" t="str">
        <f>IF(AND('2.报价结算清单'!$P602&gt;0,'2.报价结算清单'!$B602&lt;&gt;0,'2.报价结算清单'!S602&lt;&gt;0),'2.报价结算清单'!S602,"")</f>
        <v/>
      </c>
      <c r="P499" s="78" t="str">
        <f>IF(AND('2.报价结算清单'!$P602&gt;0,'2.报价结算清单'!$B602&lt;&gt;0,'2.报价结算清单'!T602&lt;&gt;0),'2.报价结算清单'!T602,"")</f>
        <v/>
      </c>
      <c r="Q499" s="78" t="str">
        <f>IF(F499="",J499,VLOOKUP(F499,框架条目清单!A:K,4,FALSE))</f>
        <v/>
      </c>
      <c r="R499" s="106" t="str">
        <f>IF($A499="","",'2.报价结算清单'!$K$183)</f>
        <v/>
      </c>
      <c r="S499" s="80" t="str">
        <f>IF($A499="","",'2.报价结算清单'!$E$183)</f>
        <v/>
      </c>
      <c r="T499" s="78" t="str">
        <f>IF(F499="","",VLOOKUP(F499,框架条目清单!A:K,7,FALSE))</f>
        <v/>
      </c>
      <c r="U499" s="78" t="str">
        <f>IF(F499="","",VLOOKUP(F499,框架条目清单!A:K,8,FALSE))</f>
        <v/>
      </c>
      <c r="V499" s="78" t="str">
        <f>IF(F499="","",VLOOKUP(F499,框架条目清单!A:K,9,FALSE))</f>
        <v/>
      </c>
    </row>
    <row r="500" spans="1:22">
      <c r="A500" s="78" t="str">
        <f>IF(AND('2.报价结算清单'!$P603&gt;0,'2.报价结算清单'!$B603&lt;&gt;0,'2.报价结算清单'!$F603&lt;&gt;0),'2.报价结算清单'!$F603,"")</f>
        <v/>
      </c>
      <c r="B500" s="78" t="str">
        <f>_xlfn.IFNA(VLOOKUP(A500,'3.框架内物料'!$A:$I,3,0),A500)</f>
        <v/>
      </c>
      <c r="C500" s="78" t="str">
        <f>IF(AND('2.报价结算清单'!$P603&gt;0,'2.报价结算清单'!$B603&lt;&gt;0,'2.报价结算清单'!C603&lt;&gt;0),'2.报价结算清单'!C603,"")</f>
        <v/>
      </c>
      <c r="D500" s="78" t="str">
        <f>IF(AND('2.报价结算清单'!$P603&gt;0,'2.报价结算清单'!$B603&lt;&gt;0,'2.报价结算清单'!D603&lt;&gt;0),'2.报价结算清单'!D603,"")</f>
        <v/>
      </c>
      <c r="E500" s="78" t="str">
        <f>IF(AND('2.报价结算清单'!$P603&gt;0,'2.报价结算清单'!$B603&lt;&gt;0,'2.报价结算清单'!E603&lt;&gt;0),'2.报价结算清单'!E603,"")</f>
        <v/>
      </c>
      <c r="F500" s="105" t="str">
        <f>_xlfn.IFNA(IF($A500="","",IF(VLOOKUP($A500,'3.框架内物料'!$A:$I,2,0)="","",VLOOKUP($A500,'3.框架内物料'!$A:$I,2,0))),"")</f>
        <v/>
      </c>
      <c r="G500" s="87" t="str">
        <f>IF(AND('2.报价结算清单'!$P603&gt;0,'2.报价结算清单'!$B603&lt;&gt;0,'2.报价结算清单'!H603&lt;&gt;0),'2.报价结算清单'!H603,"")</f>
        <v/>
      </c>
      <c r="H500" s="122" t="str">
        <f>IF(AND('2.报价结算清单'!$P603&gt;0,'2.报价结算清单'!$B603&lt;&gt;0,'2.报价结算清单'!$F603&lt;&gt;0),'2.报价结算清单'!J603,"")</f>
        <v/>
      </c>
      <c r="I500" s="105" t="str">
        <f>IF(AND('2.报价结算清单'!$P603&gt;0,'2.报价结算清单'!$B603&lt;&gt;0,'2.报价结算清单'!$F603&lt;&gt;0),'2.报价结算清单'!L603,"")</f>
        <v/>
      </c>
      <c r="J500" s="105" t="str">
        <f>IF(AND('2.报价结算清单'!$P603&gt;0,'2.报价结算清单'!$B603&lt;&gt;0,'2.报价结算清单'!I603&lt;&gt;0),'2.报价结算清单'!I603,"")</f>
        <v/>
      </c>
      <c r="K500" s="105" t="str">
        <f>IF(AND('2.报价结算清单'!$P603&gt;0,'2.报价结算清单'!$B603&lt;&gt;0,'2.报价结算清单'!$F603&lt;&gt;0),'2.报价结算清单'!N603,"")</f>
        <v/>
      </c>
      <c r="L500" s="105" t="str">
        <f>IF(AND('2.报价结算清单'!$P603&gt;0,'2.报价结算清单'!$B603&lt;&gt;0,'2.报价结算清单'!I603&lt;&gt;0),"天","")</f>
        <v/>
      </c>
      <c r="M500" s="80" t="str">
        <f t="shared" si="18"/>
        <v/>
      </c>
      <c r="N500" s="78" t="str">
        <f t="shared" si="19"/>
        <v/>
      </c>
      <c r="O500" s="78" t="str">
        <f>IF(AND('2.报价结算清单'!$P603&gt;0,'2.报价结算清单'!$B603&lt;&gt;0,'2.报价结算清单'!S603&lt;&gt;0),'2.报价结算清单'!S603,"")</f>
        <v/>
      </c>
      <c r="P500" s="78" t="str">
        <f>IF(AND('2.报价结算清单'!$P603&gt;0,'2.报价结算清单'!$B603&lt;&gt;0,'2.报价结算清单'!T603&lt;&gt;0),'2.报价结算清单'!T603,"")</f>
        <v/>
      </c>
      <c r="Q500" s="78" t="str">
        <f>IF(F500="",J500,VLOOKUP(F500,框架条目清单!A:K,4,FALSE))</f>
        <v/>
      </c>
      <c r="R500" s="106" t="str">
        <f>IF($A500="","",'2.报价结算清单'!$K$183)</f>
        <v/>
      </c>
      <c r="S500" s="80" t="str">
        <f>IF($A500="","",'2.报价结算清单'!$E$183)</f>
        <v/>
      </c>
      <c r="T500" s="78" t="str">
        <f>IF(F500="","",VLOOKUP(F500,框架条目清单!A:K,7,FALSE))</f>
        <v/>
      </c>
      <c r="U500" s="78" t="str">
        <f>IF(F500="","",VLOOKUP(F500,框架条目清单!A:K,8,FALSE))</f>
        <v/>
      </c>
      <c r="V500" s="78" t="str">
        <f>IF(F500="","",VLOOKUP(F500,框架条目清单!A:K,9,FALSE))</f>
        <v/>
      </c>
    </row>
  </sheetData>
  <sheetProtection formatCells="0" insertHyperlinks="0" autoFilter="0"/>
  <phoneticPr fontId="9" type="noConversion"/>
  <dataValidations count="3">
    <dataValidation type="list" allowBlank="1" showErrorMessage="1" sqref="M2:M500" xr:uid="{20D1F503-9FB4-FD48-986D-F75D58D8F7BA}">
      <formula1>"框架内,框架外,据实结算"</formula1>
    </dataValidation>
    <dataValidation type="list" allowBlank="1" showErrorMessage="1" sqref="R2:R500" xr:uid="{EC69C749-DC37-BD4E-ABDE-F70768205185}">
      <formula1>"0.0%,1.0%,2.0%,3.0%,5.0%,6.0%,7.0%,7.5%,8.0%,9.0%,10.0%,11.0%,12.0%,13.0%,13.5%,14.0%,15.0%,16.0%,17.0%,18.0%,19.0%,20.0%,21.0%,22.0%,22.5%,23.0%,25.0%,27.0%,30.0%"</formula1>
    </dataValidation>
    <dataValidation type="list" allowBlank="1" showErrorMessage="1" sqref="S2:S500" xr:uid="{FC45CBF8-A6DA-EE42-ACC9-1E968FDF03AF}">
      <formula1>"CNY,USD,JPY,HKD"</formula1>
    </dataValidation>
  </dataValidations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>
    <tabColor theme="1" tint="0.499984740745262"/>
    <outlinePr summaryBelow="0" summaryRight="0"/>
  </sheetPr>
  <dimension ref="A1:AB201"/>
  <sheetViews>
    <sheetView workbookViewId="0">
      <selection activeCell="B32" sqref="B32"/>
    </sheetView>
  </sheetViews>
  <sheetFormatPr defaultColWidth="11.625" defaultRowHeight="12.75"/>
  <cols>
    <col min="1" max="1" width="4.125" style="87" customWidth="1"/>
    <col min="2" max="2" width="16.625" style="87" customWidth="1"/>
    <col min="3" max="5" width="8" style="87" bestFit="1" customWidth="1"/>
    <col min="6" max="6" width="39.625" style="87" bestFit="1" customWidth="1"/>
    <col min="7" max="7" width="11.625" style="87"/>
    <col min="8" max="8" width="14.125" style="87" customWidth="1"/>
    <col min="9" max="9" width="22.5" style="87" customWidth="1"/>
    <col min="10" max="10" width="34.125" style="87" customWidth="1"/>
    <col min="11" max="11" width="11.625" style="87"/>
    <col min="12" max="12" width="11.625" style="93"/>
    <col min="13" max="13" width="11.625" style="93" customWidth="1"/>
    <col min="14" max="14" width="31.625" style="87" customWidth="1"/>
    <col min="15" max="15" width="11.625" style="93" customWidth="1"/>
    <col min="16" max="17" width="15" style="87" customWidth="1"/>
    <col min="18" max="18" width="10.875" style="78" customWidth="1"/>
    <col min="19" max="19" width="8.375" style="93" customWidth="1"/>
    <col min="20" max="20" width="36.625" style="87" customWidth="1"/>
    <col min="21" max="22" width="12.5" style="87" customWidth="1"/>
    <col min="23" max="23" width="12.5" style="94" customWidth="1"/>
    <col min="24" max="24" width="11.625" style="87"/>
    <col min="25" max="25" width="14.125" style="87" customWidth="1"/>
    <col min="26" max="26" width="22.5" style="87" customWidth="1"/>
    <col min="27" max="27" width="34.125" style="87" customWidth="1"/>
    <col min="28" max="28" width="34.125" style="78" customWidth="1"/>
    <col min="29" max="16384" width="11.625" style="78"/>
  </cols>
  <sheetData>
    <row r="1" spans="1:28" s="104" customFormat="1">
      <c r="A1" s="95" t="s">
        <v>9</v>
      </c>
      <c r="B1" s="95" t="s">
        <v>687</v>
      </c>
      <c r="C1" s="95" t="s">
        <v>688</v>
      </c>
      <c r="D1" s="95" t="s">
        <v>10</v>
      </c>
      <c r="E1" s="95" t="s">
        <v>11</v>
      </c>
      <c r="F1" s="96" t="s">
        <v>689</v>
      </c>
      <c r="G1" s="108" t="s">
        <v>690</v>
      </c>
      <c r="H1" s="108" t="s">
        <v>691</v>
      </c>
      <c r="I1" s="108" t="s">
        <v>692</v>
      </c>
      <c r="J1" s="108" t="s">
        <v>693</v>
      </c>
      <c r="K1" s="108" t="s">
        <v>694</v>
      </c>
      <c r="L1" s="97" t="s">
        <v>695</v>
      </c>
      <c r="M1" s="98" t="s">
        <v>696</v>
      </c>
      <c r="N1" s="99" t="s">
        <v>697</v>
      </c>
      <c r="O1" s="98" t="s">
        <v>698</v>
      </c>
      <c r="P1" s="99" t="s">
        <v>699</v>
      </c>
      <c r="Q1" s="97" t="s">
        <v>781</v>
      </c>
      <c r="R1" s="95" t="s">
        <v>701</v>
      </c>
      <c r="S1" s="95" t="s">
        <v>702</v>
      </c>
      <c r="T1" s="95" t="s">
        <v>703</v>
      </c>
      <c r="U1" s="95" t="s">
        <v>704</v>
      </c>
      <c r="V1" s="101" t="s">
        <v>705</v>
      </c>
      <c r="W1" s="102" t="s">
        <v>706</v>
      </c>
      <c r="X1" s="98" t="s">
        <v>707</v>
      </c>
      <c r="Y1" s="103" t="s">
        <v>708</v>
      </c>
      <c r="Z1" s="103" t="s">
        <v>709</v>
      </c>
      <c r="AA1" s="103" t="s">
        <v>710</v>
      </c>
      <c r="AB1" s="103" t="s">
        <v>711</v>
      </c>
    </row>
    <row r="2" spans="1:28">
      <c r="A2" s="109" t="s">
        <v>782</v>
      </c>
      <c r="B2" s="109" t="s">
        <v>782</v>
      </c>
      <c r="C2" s="109" t="s">
        <v>782</v>
      </c>
      <c r="D2" s="109" t="s">
        <v>782</v>
      </c>
      <c r="E2" s="109" t="s">
        <v>782</v>
      </c>
      <c r="F2" s="109" t="s">
        <v>782</v>
      </c>
      <c r="G2" s="109" t="s">
        <v>782</v>
      </c>
      <c r="H2" s="109" t="s">
        <v>782</v>
      </c>
      <c r="I2" s="109" t="s">
        <v>782</v>
      </c>
      <c r="J2" s="109"/>
      <c r="K2" s="109" t="s">
        <v>782</v>
      </c>
      <c r="L2" s="110" t="s">
        <v>782</v>
      </c>
      <c r="M2" s="110" t="s">
        <v>782</v>
      </c>
      <c r="N2" s="109" t="s">
        <v>782</v>
      </c>
      <c r="O2" s="110" t="s">
        <v>782</v>
      </c>
      <c r="P2" s="109" t="s">
        <v>782</v>
      </c>
      <c r="Q2" s="109" t="s">
        <v>782</v>
      </c>
      <c r="R2" s="78" t="str">
        <f>IFERROR(IF(L2*M2*O2=0,"",L2*M2*O2),"")</f>
        <v/>
      </c>
      <c r="S2" s="110" t="s">
        <v>782</v>
      </c>
      <c r="T2" s="109" t="s">
        <v>782</v>
      </c>
      <c r="U2" s="109" t="s">
        <v>782</v>
      </c>
      <c r="V2" s="109" t="s">
        <v>782</v>
      </c>
      <c r="W2" s="111" t="s">
        <v>782</v>
      </c>
      <c r="X2" s="109" t="s">
        <v>782</v>
      </c>
      <c r="Y2" s="109" t="s">
        <v>782</v>
      </c>
      <c r="Z2" s="109" t="s">
        <v>782</v>
      </c>
      <c r="AA2" s="109" t="s">
        <v>782</v>
      </c>
    </row>
    <row r="3" spans="1:28">
      <c r="B3" s="92"/>
      <c r="G3" s="92"/>
      <c r="R3" s="78" t="str">
        <f t="shared" ref="R3:R66" si="0">IFERROR(IF(L3*M3*O3=0,"",L3*M3*O3),"")</f>
        <v/>
      </c>
    </row>
    <row r="4" spans="1:28">
      <c r="B4" s="92"/>
      <c r="G4" s="92"/>
      <c r="R4" s="78" t="str">
        <f t="shared" si="0"/>
        <v/>
      </c>
    </row>
    <row r="5" spans="1:28">
      <c r="B5" s="92"/>
      <c r="E5" s="92"/>
      <c r="G5" s="92"/>
      <c r="R5" s="78" t="str">
        <f t="shared" si="0"/>
        <v/>
      </c>
    </row>
    <row r="6" spans="1:28">
      <c r="B6" s="92"/>
      <c r="R6" s="78" t="str">
        <f t="shared" si="0"/>
        <v/>
      </c>
    </row>
    <row r="7" spans="1:28">
      <c r="B7" s="92"/>
      <c r="R7" s="78" t="str">
        <f t="shared" si="0"/>
        <v/>
      </c>
    </row>
    <row r="8" spans="1:28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112"/>
      <c r="M8" s="112"/>
      <c r="N8" s="92"/>
      <c r="O8" s="112"/>
      <c r="P8" s="92"/>
      <c r="Q8" s="92"/>
      <c r="R8" s="78" t="str">
        <f t="shared" si="0"/>
        <v/>
      </c>
      <c r="S8" s="112"/>
      <c r="T8" s="92"/>
    </row>
    <row r="9" spans="1:28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112"/>
      <c r="M9" s="112"/>
      <c r="N9" s="92"/>
      <c r="O9" s="112"/>
      <c r="P9" s="92"/>
      <c r="Q9" s="92"/>
      <c r="R9" s="78" t="str">
        <f t="shared" si="0"/>
        <v/>
      </c>
      <c r="S9" s="112"/>
      <c r="T9" s="92"/>
    </row>
    <row r="10" spans="1:28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112"/>
      <c r="M10" s="112"/>
      <c r="N10" s="92"/>
      <c r="O10" s="112"/>
      <c r="P10" s="92"/>
      <c r="Q10" s="92"/>
      <c r="R10" s="78" t="str">
        <f t="shared" si="0"/>
        <v/>
      </c>
      <c r="S10" s="112"/>
      <c r="T10" s="92"/>
    </row>
    <row r="11" spans="1:28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112"/>
      <c r="M11" s="112"/>
      <c r="N11" s="92"/>
      <c r="O11" s="112"/>
      <c r="P11" s="92"/>
      <c r="Q11" s="92"/>
      <c r="R11" s="78" t="str">
        <f t="shared" si="0"/>
        <v/>
      </c>
      <c r="S11" s="112"/>
      <c r="T11" s="92"/>
    </row>
    <row r="12" spans="1:28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112"/>
      <c r="M12" s="112"/>
      <c r="N12" s="92"/>
      <c r="O12" s="112"/>
      <c r="P12" s="92"/>
      <c r="Q12" s="92"/>
      <c r="R12" s="78" t="str">
        <f t="shared" si="0"/>
        <v/>
      </c>
      <c r="S12" s="112"/>
      <c r="T12" s="92"/>
    </row>
    <row r="13" spans="1:28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112"/>
      <c r="M13" s="112"/>
      <c r="N13" s="92"/>
      <c r="O13" s="112"/>
      <c r="P13" s="92"/>
      <c r="Q13" s="92"/>
      <c r="R13" s="78" t="str">
        <f t="shared" si="0"/>
        <v/>
      </c>
      <c r="S13" s="112"/>
      <c r="T13" s="92"/>
    </row>
    <row r="14" spans="1:28">
      <c r="R14" s="78" t="str">
        <f t="shared" si="0"/>
        <v/>
      </c>
    </row>
    <row r="15" spans="1:28">
      <c r="R15" s="78" t="str">
        <f t="shared" si="0"/>
        <v/>
      </c>
    </row>
    <row r="16" spans="1:28">
      <c r="R16" s="78" t="str">
        <f t="shared" si="0"/>
        <v/>
      </c>
    </row>
    <row r="17" spans="18:18">
      <c r="R17" s="78" t="str">
        <f t="shared" si="0"/>
        <v/>
      </c>
    </row>
    <row r="18" spans="18:18">
      <c r="R18" s="78" t="str">
        <f t="shared" si="0"/>
        <v/>
      </c>
    </row>
    <row r="19" spans="18:18">
      <c r="R19" s="78" t="str">
        <f t="shared" si="0"/>
        <v/>
      </c>
    </row>
    <row r="20" spans="18:18">
      <c r="R20" s="78" t="str">
        <f t="shared" si="0"/>
        <v/>
      </c>
    </row>
    <row r="21" spans="18:18">
      <c r="R21" s="78" t="str">
        <f t="shared" si="0"/>
        <v/>
      </c>
    </row>
    <row r="22" spans="18:18">
      <c r="R22" s="78" t="str">
        <f t="shared" si="0"/>
        <v/>
      </c>
    </row>
    <row r="23" spans="18:18">
      <c r="R23" s="78" t="str">
        <f t="shared" si="0"/>
        <v/>
      </c>
    </row>
    <row r="24" spans="18:18">
      <c r="R24" s="78" t="str">
        <f t="shared" si="0"/>
        <v/>
      </c>
    </row>
    <row r="25" spans="18:18">
      <c r="R25" s="78" t="str">
        <f t="shared" si="0"/>
        <v/>
      </c>
    </row>
    <row r="26" spans="18:18">
      <c r="R26" s="78" t="str">
        <f t="shared" si="0"/>
        <v/>
      </c>
    </row>
    <row r="27" spans="18:18">
      <c r="R27" s="78" t="str">
        <f t="shared" si="0"/>
        <v/>
      </c>
    </row>
    <row r="28" spans="18:18">
      <c r="R28" s="78" t="str">
        <f t="shared" si="0"/>
        <v/>
      </c>
    </row>
    <row r="29" spans="18:18">
      <c r="R29" s="78" t="str">
        <f t="shared" si="0"/>
        <v/>
      </c>
    </row>
    <row r="30" spans="18:18">
      <c r="R30" s="78" t="str">
        <f t="shared" si="0"/>
        <v/>
      </c>
    </row>
    <row r="31" spans="18:18">
      <c r="R31" s="78" t="str">
        <f t="shared" si="0"/>
        <v/>
      </c>
    </row>
    <row r="32" spans="18:18">
      <c r="R32" s="78" t="str">
        <f t="shared" si="0"/>
        <v/>
      </c>
    </row>
    <row r="33" spans="18:18">
      <c r="R33" s="78" t="str">
        <f t="shared" si="0"/>
        <v/>
      </c>
    </row>
    <row r="34" spans="18:18">
      <c r="R34" s="78" t="str">
        <f t="shared" si="0"/>
        <v/>
      </c>
    </row>
    <row r="35" spans="18:18">
      <c r="R35" s="78" t="str">
        <f t="shared" si="0"/>
        <v/>
      </c>
    </row>
    <row r="36" spans="18:18">
      <c r="R36" s="78" t="str">
        <f t="shared" si="0"/>
        <v/>
      </c>
    </row>
    <row r="37" spans="18:18">
      <c r="R37" s="78" t="str">
        <f t="shared" si="0"/>
        <v/>
      </c>
    </row>
    <row r="38" spans="18:18">
      <c r="R38" s="78" t="str">
        <f t="shared" si="0"/>
        <v/>
      </c>
    </row>
    <row r="39" spans="18:18">
      <c r="R39" s="78" t="str">
        <f t="shared" si="0"/>
        <v/>
      </c>
    </row>
    <row r="40" spans="18:18">
      <c r="R40" s="78" t="str">
        <f t="shared" si="0"/>
        <v/>
      </c>
    </row>
    <row r="41" spans="18:18">
      <c r="R41" s="78" t="str">
        <f t="shared" si="0"/>
        <v/>
      </c>
    </row>
    <row r="42" spans="18:18">
      <c r="R42" s="78" t="str">
        <f t="shared" si="0"/>
        <v/>
      </c>
    </row>
    <row r="43" spans="18:18">
      <c r="R43" s="78" t="str">
        <f t="shared" si="0"/>
        <v/>
      </c>
    </row>
    <row r="44" spans="18:18">
      <c r="R44" s="78" t="str">
        <f t="shared" si="0"/>
        <v/>
      </c>
    </row>
    <row r="45" spans="18:18">
      <c r="R45" s="78" t="str">
        <f t="shared" si="0"/>
        <v/>
      </c>
    </row>
    <row r="46" spans="18:18">
      <c r="R46" s="78" t="str">
        <f t="shared" si="0"/>
        <v/>
      </c>
    </row>
    <row r="47" spans="18:18">
      <c r="R47" s="78" t="str">
        <f t="shared" si="0"/>
        <v/>
      </c>
    </row>
    <row r="48" spans="18:18">
      <c r="R48" s="78" t="str">
        <f t="shared" si="0"/>
        <v/>
      </c>
    </row>
    <row r="49" spans="18:18">
      <c r="R49" s="78" t="str">
        <f t="shared" si="0"/>
        <v/>
      </c>
    </row>
    <row r="50" spans="18:18">
      <c r="R50" s="78" t="str">
        <f t="shared" si="0"/>
        <v/>
      </c>
    </row>
    <row r="51" spans="18:18">
      <c r="R51" s="78" t="str">
        <f t="shared" si="0"/>
        <v/>
      </c>
    </row>
    <row r="52" spans="18:18">
      <c r="R52" s="78" t="str">
        <f t="shared" si="0"/>
        <v/>
      </c>
    </row>
    <row r="53" spans="18:18">
      <c r="R53" s="78" t="str">
        <f t="shared" si="0"/>
        <v/>
      </c>
    </row>
    <row r="54" spans="18:18">
      <c r="R54" s="78" t="str">
        <f t="shared" si="0"/>
        <v/>
      </c>
    </row>
    <row r="55" spans="18:18">
      <c r="R55" s="78" t="str">
        <f t="shared" si="0"/>
        <v/>
      </c>
    </row>
    <row r="56" spans="18:18">
      <c r="R56" s="78" t="str">
        <f t="shared" si="0"/>
        <v/>
      </c>
    </row>
    <row r="57" spans="18:18">
      <c r="R57" s="78" t="str">
        <f t="shared" si="0"/>
        <v/>
      </c>
    </row>
    <row r="58" spans="18:18">
      <c r="R58" s="78" t="str">
        <f t="shared" si="0"/>
        <v/>
      </c>
    </row>
    <row r="59" spans="18:18">
      <c r="R59" s="78" t="str">
        <f t="shared" si="0"/>
        <v/>
      </c>
    </row>
    <row r="60" spans="18:18">
      <c r="R60" s="78" t="str">
        <f t="shared" si="0"/>
        <v/>
      </c>
    </row>
    <row r="61" spans="18:18">
      <c r="R61" s="78" t="str">
        <f t="shared" si="0"/>
        <v/>
      </c>
    </row>
    <row r="62" spans="18:18">
      <c r="R62" s="78" t="str">
        <f t="shared" si="0"/>
        <v/>
      </c>
    </row>
    <row r="63" spans="18:18">
      <c r="R63" s="78" t="str">
        <f t="shared" si="0"/>
        <v/>
      </c>
    </row>
    <row r="64" spans="18:18">
      <c r="R64" s="78" t="str">
        <f t="shared" si="0"/>
        <v/>
      </c>
    </row>
    <row r="65" spans="18:18">
      <c r="R65" s="78" t="str">
        <f t="shared" si="0"/>
        <v/>
      </c>
    </row>
    <row r="66" spans="18:18">
      <c r="R66" s="78" t="str">
        <f t="shared" si="0"/>
        <v/>
      </c>
    </row>
    <row r="67" spans="18:18">
      <c r="R67" s="78" t="str">
        <f t="shared" ref="R67:R130" si="1">IFERROR(IF(L67*M67*O67=0,"",L67*M67*O67),"")</f>
        <v/>
      </c>
    </row>
    <row r="68" spans="18:18">
      <c r="R68" s="78" t="str">
        <f t="shared" si="1"/>
        <v/>
      </c>
    </row>
    <row r="69" spans="18:18">
      <c r="R69" s="78" t="str">
        <f t="shared" si="1"/>
        <v/>
      </c>
    </row>
    <row r="70" spans="18:18">
      <c r="R70" s="78" t="str">
        <f t="shared" si="1"/>
        <v/>
      </c>
    </row>
    <row r="71" spans="18:18">
      <c r="R71" s="78" t="str">
        <f t="shared" si="1"/>
        <v/>
      </c>
    </row>
    <row r="72" spans="18:18">
      <c r="R72" s="78" t="str">
        <f t="shared" si="1"/>
        <v/>
      </c>
    </row>
    <row r="73" spans="18:18">
      <c r="R73" s="78" t="str">
        <f t="shared" si="1"/>
        <v/>
      </c>
    </row>
    <row r="74" spans="18:18">
      <c r="R74" s="78" t="str">
        <f t="shared" si="1"/>
        <v/>
      </c>
    </row>
    <row r="75" spans="18:18">
      <c r="R75" s="78" t="str">
        <f t="shared" si="1"/>
        <v/>
      </c>
    </row>
    <row r="76" spans="18:18">
      <c r="R76" s="78" t="str">
        <f t="shared" si="1"/>
        <v/>
      </c>
    </row>
    <row r="77" spans="18:18">
      <c r="R77" s="78" t="str">
        <f t="shared" si="1"/>
        <v/>
      </c>
    </row>
    <row r="78" spans="18:18">
      <c r="R78" s="78" t="str">
        <f t="shared" si="1"/>
        <v/>
      </c>
    </row>
    <row r="79" spans="18:18">
      <c r="R79" s="78" t="str">
        <f t="shared" si="1"/>
        <v/>
      </c>
    </row>
    <row r="80" spans="18:18">
      <c r="R80" s="78" t="str">
        <f t="shared" si="1"/>
        <v/>
      </c>
    </row>
    <row r="81" spans="18:18">
      <c r="R81" s="78" t="str">
        <f t="shared" si="1"/>
        <v/>
      </c>
    </row>
    <row r="82" spans="18:18">
      <c r="R82" s="78" t="str">
        <f t="shared" si="1"/>
        <v/>
      </c>
    </row>
    <row r="83" spans="18:18">
      <c r="R83" s="78" t="str">
        <f t="shared" si="1"/>
        <v/>
      </c>
    </row>
    <row r="84" spans="18:18">
      <c r="R84" s="78" t="str">
        <f t="shared" si="1"/>
        <v/>
      </c>
    </row>
    <row r="85" spans="18:18">
      <c r="R85" s="78" t="str">
        <f t="shared" si="1"/>
        <v/>
      </c>
    </row>
    <row r="86" spans="18:18">
      <c r="R86" s="78" t="str">
        <f t="shared" si="1"/>
        <v/>
      </c>
    </row>
    <row r="87" spans="18:18">
      <c r="R87" s="78" t="str">
        <f t="shared" si="1"/>
        <v/>
      </c>
    </row>
    <row r="88" spans="18:18">
      <c r="R88" s="78" t="str">
        <f t="shared" si="1"/>
        <v/>
      </c>
    </row>
    <row r="89" spans="18:18">
      <c r="R89" s="78" t="str">
        <f t="shared" si="1"/>
        <v/>
      </c>
    </row>
    <row r="90" spans="18:18">
      <c r="R90" s="78" t="str">
        <f t="shared" si="1"/>
        <v/>
      </c>
    </row>
    <row r="91" spans="18:18">
      <c r="R91" s="78" t="str">
        <f t="shared" si="1"/>
        <v/>
      </c>
    </row>
    <row r="92" spans="18:18">
      <c r="R92" s="78" t="str">
        <f t="shared" si="1"/>
        <v/>
      </c>
    </row>
    <row r="93" spans="18:18">
      <c r="R93" s="78" t="str">
        <f t="shared" si="1"/>
        <v/>
      </c>
    </row>
    <row r="94" spans="18:18">
      <c r="R94" s="78" t="str">
        <f t="shared" si="1"/>
        <v/>
      </c>
    </row>
    <row r="95" spans="18:18">
      <c r="R95" s="78" t="str">
        <f t="shared" si="1"/>
        <v/>
      </c>
    </row>
    <row r="96" spans="18:18">
      <c r="R96" s="78" t="str">
        <f t="shared" si="1"/>
        <v/>
      </c>
    </row>
    <row r="97" spans="18:18">
      <c r="R97" s="78" t="str">
        <f t="shared" si="1"/>
        <v/>
      </c>
    </row>
    <row r="98" spans="18:18">
      <c r="R98" s="78" t="str">
        <f t="shared" si="1"/>
        <v/>
      </c>
    </row>
    <row r="99" spans="18:18">
      <c r="R99" s="78" t="str">
        <f t="shared" si="1"/>
        <v/>
      </c>
    </row>
    <row r="100" spans="18:18">
      <c r="R100" s="78" t="str">
        <f t="shared" si="1"/>
        <v/>
      </c>
    </row>
    <row r="101" spans="18:18">
      <c r="R101" s="78" t="str">
        <f t="shared" si="1"/>
        <v/>
      </c>
    </row>
    <row r="102" spans="18:18">
      <c r="R102" s="78" t="str">
        <f t="shared" si="1"/>
        <v/>
      </c>
    </row>
    <row r="103" spans="18:18">
      <c r="R103" s="78" t="str">
        <f t="shared" si="1"/>
        <v/>
      </c>
    </row>
    <row r="104" spans="18:18">
      <c r="R104" s="78" t="str">
        <f t="shared" si="1"/>
        <v/>
      </c>
    </row>
    <row r="105" spans="18:18">
      <c r="R105" s="78" t="str">
        <f t="shared" si="1"/>
        <v/>
      </c>
    </row>
    <row r="106" spans="18:18">
      <c r="R106" s="78" t="str">
        <f t="shared" si="1"/>
        <v/>
      </c>
    </row>
    <row r="107" spans="18:18">
      <c r="R107" s="78" t="str">
        <f t="shared" si="1"/>
        <v/>
      </c>
    </row>
    <row r="108" spans="18:18">
      <c r="R108" s="78" t="str">
        <f t="shared" si="1"/>
        <v/>
      </c>
    </row>
    <row r="109" spans="18:18">
      <c r="R109" s="78" t="str">
        <f t="shared" si="1"/>
        <v/>
      </c>
    </row>
    <row r="110" spans="18:18">
      <c r="R110" s="78" t="str">
        <f t="shared" si="1"/>
        <v/>
      </c>
    </row>
    <row r="111" spans="18:18">
      <c r="R111" s="78" t="str">
        <f t="shared" si="1"/>
        <v/>
      </c>
    </row>
    <row r="112" spans="18:18">
      <c r="R112" s="78" t="str">
        <f t="shared" si="1"/>
        <v/>
      </c>
    </row>
    <row r="113" spans="18:18">
      <c r="R113" s="78" t="str">
        <f t="shared" si="1"/>
        <v/>
      </c>
    </row>
    <row r="114" spans="18:18">
      <c r="R114" s="78" t="str">
        <f t="shared" si="1"/>
        <v/>
      </c>
    </row>
    <row r="115" spans="18:18">
      <c r="R115" s="78" t="str">
        <f t="shared" si="1"/>
        <v/>
      </c>
    </row>
    <row r="116" spans="18:18">
      <c r="R116" s="78" t="str">
        <f t="shared" si="1"/>
        <v/>
      </c>
    </row>
    <row r="117" spans="18:18">
      <c r="R117" s="78" t="str">
        <f t="shared" si="1"/>
        <v/>
      </c>
    </row>
    <row r="118" spans="18:18">
      <c r="R118" s="78" t="str">
        <f t="shared" si="1"/>
        <v/>
      </c>
    </row>
    <row r="119" spans="18:18">
      <c r="R119" s="78" t="str">
        <f t="shared" si="1"/>
        <v/>
      </c>
    </row>
    <row r="120" spans="18:18">
      <c r="R120" s="78" t="str">
        <f t="shared" si="1"/>
        <v/>
      </c>
    </row>
    <row r="121" spans="18:18">
      <c r="R121" s="78" t="str">
        <f t="shared" si="1"/>
        <v/>
      </c>
    </row>
    <row r="122" spans="18:18">
      <c r="R122" s="78" t="str">
        <f t="shared" si="1"/>
        <v/>
      </c>
    </row>
    <row r="123" spans="18:18">
      <c r="R123" s="78" t="str">
        <f t="shared" si="1"/>
        <v/>
      </c>
    </row>
    <row r="124" spans="18:18">
      <c r="R124" s="78" t="str">
        <f t="shared" si="1"/>
        <v/>
      </c>
    </row>
    <row r="125" spans="18:18">
      <c r="R125" s="78" t="str">
        <f t="shared" si="1"/>
        <v/>
      </c>
    </row>
    <row r="126" spans="18:18">
      <c r="R126" s="78" t="str">
        <f t="shared" si="1"/>
        <v/>
      </c>
    </row>
    <row r="127" spans="18:18">
      <c r="R127" s="78" t="str">
        <f t="shared" si="1"/>
        <v/>
      </c>
    </row>
    <row r="128" spans="18:18">
      <c r="R128" s="78" t="str">
        <f t="shared" si="1"/>
        <v/>
      </c>
    </row>
    <row r="129" spans="18:18">
      <c r="R129" s="78" t="str">
        <f t="shared" si="1"/>
        <v/>
      </c>
    </row>
    <row r="130" spans="18:18">
      <c r="R130" s="78" t="str">
        <f t="shared" si="1"/>
        <v/>
      </c>
    </row>
    <row r="131" spans="18:18">
      <c r="R131" s="78" t="str">
        <f t="shared" ref="R131:R194" si="2">IFERROR(IF(L131*M131*O131=0,"",L131*M131*O131),"")</f>
        <v/>
      </c>
    </row>
    <row r="132" spans="18:18">
      <c r="R132" s="78" t="str">
        <f t="shared" si="2"/>
        <v/>
      </c>
    </row>
    <row r="133" spans="18:18">
      <c r="R133" s="78" t="str">
        <f t="shared" si="2"/>
        <v/>
      </c>
    </row>
    <row r="134" spans="18:18">
      <c r="R134" s="78" t="str">
        <f t="shared" si="2"/>
        <v/>
      </c>
    </row>
    <row r="135" spans="18:18">
      <c r="R135" s="78" t="str">
        <f t="shared" si="2"/>
        <v/>
      </c>
    </row>
    <row r="136" spans="18:18">
      <c r="R136" s="78" t="str">
        <f t="shared" si="2"/>
        <v/>
      </c>
    </row>
    <row r="137" spans="18:18">
      <c r="R137" s="78" t="str">
        <f t="shared" si="2"/>
        <v/>
      </c>
    </row>
    <row r="138" spans="18:18">
      <c r="R138" s="78" t="str">
        <f t="shared" si="2"/>
        <v/>
      </c>
    </row>
    <row r="139" spans="18:18">
      <c r="R139" s="78" t="str">
        <f t="shared" si="2"/>
        <v/>
      </c>
    </row>
    <row r="140" spans="18:18">
      <c r="R140" s="78" t="str">
        <f t="shared" si="2"/>
        <v/>
      </c>
    </row>
    <row r="141" spans="18:18">
      <c r="R141" s="78" t="str">
        <f t="shared" si="2"/>
        <v/>
      </c>
    </row>
    <row r="142" spans="18:18">
      <c r="R142" s="78" t="str">
        <f t="shared" si="2"/>
        <v/>
      </c>
    </row>
    <row r="143" spans="18:18">
      <c r="R143" s="78" t="str">
        <f t="shared" si="2"/>
        <v/>
      </c>
    </row>
    <row r="144" spans="18:18">
      <c r="R144" s="78" t="str">
        <f t="shared" si="2"/>
        <v/>
      </c>
    </row>
    <row r="145" spans="18:18">
      <c r="R145" s="78" t="str">
        <f t="shared" si="2"/>
        <v/>
      </c>
    </row>
    <row r="146" spans="18:18">
      <c r="R146" s="78" t="str">
        <f t="shared" si="2"/>
        <v/>
      </c>
    </row>
    <row r="147" spans="18:18">
      <c r="R147" s="78" t="str">
        <f t="shared" si="2"/>
        <v/>
      </c>
    </row>
    <row r="148" spans="18:18">
      <c r="R148" s="78" t="str">
        <f t="shared" si="2"/>
        <v/>
      </c>
    </row>
    <row r="149" spans="18:18">
      <c r="R149" s="78" t="str">
        <f t="shared" si="2"/>
        <v/>
      </c>
    </row>
    <row r="150" spans="18:18">
      <c r="R150" s="78" t="str">
        <f t="shared" si="2"/>
        <v/>
      </c>
    </row>
    <row r="151" spans="18:18">
      <c r="R151" s="78" t="str">
        <f t="shared" si="2"/>
        <v/>
      </c>
    </row>
    <row r="152" spans="18:18">
      <c r="R152" s="78" t="str">
        <f t="shared" si="2"/>
        <v/>
      </c>
    </row>
    <row r="153" spans="18:18">
      <c r="R153" s="78" t="str">
        <f t="shared" si="2"/>
        <v/>
      </c>
    </row>
    <row r="154" spans="18:18">
      <c r="R154" s="78" t="str">
        <f t="shared" si="2"/>
        <v/>
      </c>
    </row>
    <row r="155" spans="18:18">
      <c r="R155" s="78" t="str">
        <f t="shared" si="2"/>
        <v/>
      </c>
    </row>
    <row r="156" spans="18:18">
      <c r="R156" s="78" t="str">
        <f t="shared" si="2"/>
        <v/>
      </c>
    </row>
    <row r="157" spans="18:18">
      <c r="R157" s="78" t="str">
        <f t="shared" si="2"/>
        <v/>
      </c>
    </row>
    <row r="158" spans="18:18">
      <c r="R158" s="78" t="str">
        <f t="shared" si="2"/>
        <v/>
      </c>
    </row>
    <row r="159" spans="18:18">
      <c r="R159" s="78" t="str">
        <f t="shared" si="2"/>
        <v/>
      </c>
    </row>
    <row r="160" spans="18:18">
      <c r="R160" s="78" t="str">
        <f t="shared" si="2"/>
        <v/>
      </c>
    </row>
    <row r="161" spans="18:18">
      <c r="R161" s="78" t="str">
        <f t="shared" si="2"/>
        <v/>
      </c>
    </row>
    <row r="162" spans="18:18">
      <c r="R162" s="78" t="str">
        <f t="shared" si="2"/>
        <v/>
      </c>
    </row>
    <row r="163" spans="18:18">
      <c r="R163" s="78" t="str">
        <f t="shared" si="2"/>
        <v/>
      </c>
    </row>
    <row r="164" spans="18:18">
      <c r="R164" s="78" t="str">
        <f t="shared" si="2"/>
        <v/>
      </c>
    </row>
    <row r="165" spans="18:18">
      <c r="R165" s="78" t="str">
        <f t="shared" si="2"/>
        <v/>
      </c>
    </row>
    <row r="166" spans="18:18">
      <c r="R166" s="78" t="str">
        <f t="shared" si="2"/>
        <v/>
      </c>
    </row>
    <row r="167" spans="18:18">
      <c r="R167" s="78" t="str">
        <f t="shared" si="2"/>
        <v/>
      </c>
    </row>
    <row r="168" spans="18:18">
      <c r="R168" s="78" t="str">
        <f t="shared" si="2"/>
        <v/>
      </c>
    </row>
    <row r="169" spans="18:18">
      <c r="R169" s="78" t="str">
        <f t="shared" si="2"/>
        <v/>
      </c>
    </row>
    <row r="170" spans="18:18">
      <c r="R170" s="78" t="str">
        <f t="shared" si="2"/>
        <v/>
      </c>
    </row>
    <row r="171" spans="18:18">
      <c r="R171" s="78" t="str">
        <f t="shared" si="2"/>
        <v/>
      </c>
    </row>
    <row r="172" spans="18:18">
      <c r="R172" s="78" t="str">
        <f t="shared" si="2"/>
        <v/>
      </c>
    </row>
    <row r="173" spans="18:18">
      <c r="R173" s="78" t="str">
        <f t="shared" si="2"/>
        <v/>
      </c>
    </row>
    <row r="174" spans="18:18">
      <c r="R174" s="78" t="str">
        <f t="shared" si="2"/>
        <v/>
      </c>
    </row>
    <row r="175" spans="18:18">
      <c r="R175" s="78" t="str">
        <f t="shared" si="2"/>
        <v/>
      </c>
    </row>
    <row r="176" spans="18:18">
      <c r="R176" s="78" t="str">
        <f t="shared" si="2"/>
        <v/>
      </c>
    </row>
    <row r="177" spans="18:18">
      <c r="R177" s="78" t="str">
        <f t="shared" si="2"/>
        <v/>
      </c>
    </row>
    <row r="178" spans="18:18">
      <c r="R178" s="78" t="str">
        <f t="shared" si="2"/>
        <v/>
      </c>
    </row>
    <row r="179" spans="18:18">
      <c r="R179" s="78" t="str">
        <f t="shared" si="2"/>
        <v/>
      </c>
    </row>
    <row r="180" spans="18:18">
      <c r="R180" s="78" t="str">
        <f t="shared" si="2"/>
        <v/>
      </c>
    </row>
    <row r="181" spans="18:18">
      <c r="R181" s="78" t="str">
        <f t="shared" si="2"/>
        <v/>
      </c>
    </row>
    <row r="182" spans="18:18">
      <c r="R182" s="78" t="str">
        <f t="shared" si="2"/>
        <v/>
      </c>
    </row>
    <row r="183" spans="18:18">
      <c r="R183" s="78" t="str">
        <f t="shared" si="2"/>
        <v/>
      </c>
    </row>
    <row r="184" spans="18:18">
      <c r="R184" s="78" t="str">
        <f t="shared" si="2"/>
        <v/>
      </c>
    </row>
    <row r="185" spans="18:18">
      <c r="R185" s="78" t="str">
        <f t="shared" si="2"/>
        <v/>
      </c>
    </row>
    <row r="186" spans="18:18">
      <c r="R186" s="78" t="str">
        <f t="shared" si="2"/>
        <v/>
      </c>
    </row>
    <row r="187" spans="18:18">
      <c r="R187" s="78" t="str">
        <f t="shared" si="2"/>
        <v/>
      </c>
    </row>
    <row r="188" spans="18:18">
      <c r="R188" s="78" t="str">
        <f t="shared" si="2"/>
        <v/>
      </c>
    </row>
    <row r="189" spans="18:18">
      <c r="R189" s="78" t="str">
        <f t="shared" si="2"/>
        <v/>
      </c>
    </row>
    <row r="190" spans="18:18">
      <c r="R190" s="78" t="str">
        <f t="shared" si="2"/>
        <v/>
      </c>
    </row>
    <row r="191" spans="18:18">
      <c r="R191" s="78" t="str">
        <f t="shared" si="2"/>
        <v/>
      </c>
    </row>
    <row r="192" spans="18:18">
      <c r="R192" s="78" t="str">
        <f t="shared" si="2"/>
        <v/>
      </c>
    </row>
    <row r="193" spans="18:18">
      <c r="R193" s="78" t="str">
        <f t="shared" si="2"/>
        <v/>
      </c>
    </row>
    <row r="194" spans="18:18">
      <c r="R194" s="78" t="str">
        <f t="shared" si="2"/>
        <v/>
      </c>
    </row>
    <row r="195" spans="18:18">
      <c r="R195" s="78" t="str">
        <f t="shared" ref="R195:R201" si="3">IFERROR(IF(L195*M195*O195=0,"",L195*M195*O195),"")</f>
        <v/>
      </c>
    </row>
    <row r="196" spans="18:18">
      <c r="R196" s="78" t="str">
        <f t="shared" si="3"/>
        <v/>
      </c>
    </row>
    <row r="197" spans="18:18">
      <c r="R197" s="78" t="str">
        <f t="shared" si="3"/>
        <v/>
      </c>
    </row>
    <row r="198" spans="18:18">
      <c r="R198" s="78" t="str">
        <f t="shared" si="3"/>
        <v/>
      </c>
    </row>
    <row r="199" spans="18:18">
      <c r="R199" s="78" t="str">
        <f t="shared" si="3"/>
        <v/>
      </c>
    </row>
    <row r="200" spans="18:18">
      <c r="R200" s="78" t="str">
        <f t="shared" si="3"/>
        <v/>
      </c>
    </row>
    <row r="201" spans="18:18">
      <c r="R201" s="78" t="str">
        <f t="shared" si="3"/>
        <v/>
      </c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>
    <tabColor rgb="FFFFFF00"/>
  </sheetPr>
  <dimension ref="A1:H23"/>
  <sheetViews>
    <sheetView topLeftCell="A7" zoomScale="140" zoomScaleNormal="140" workbookViewId="0">
      <selection activeCell="F35" sqref="F35"/>
    </sheetView>
  </sheetViews>
  <sheetFormatPr defaultColWidth="11" defaultRowHeight="14.25"/>
  <cols>
    <col min="1" max="1" width="15.875" bestFit="1" customWidth="1"/>
    <col min="2" max="2" width="12.5" customWidth="1"/>
    <col min="3" max="3" width="13.5" customWidth="1"/>
    <col min="4" max="4" width="12.875" customWidth="1"/>
    <col min="5" max="5" width="11.625" bestFit="1" customWidth="1"/>
    <col min="6" max="6" width="11" bestFit="1" customWidth="1"/>
    <col min="7" max="7" width="12.125" customWidth="1"/>
    <col min="8" max="8" width="14.125" bestFit="1" customWidth="1"/>
  </cols>
  <sheetData>
    <row r="1" spans="1:8" ht="21">
      <c r="A1" s="227" t="s">
        <v>0</v>
      </c>
      <c r="B1" s="228"/>
      <c r="C1" s="228"/>
      <c r="D1" s="228"/>
      <c r="E1" s="228"/>
      <c r="F1" s="228"/>
      <c r="G1" s="228"/>
      <c r="H1" s="229"/>
    </row>
    <row r="2" spans="1:8">
      <c r="A2" s="22" t="s">
        <v>1</v>
      </c>
      <c r="B2" s="29"/>
      <c r="C2" s="30" t="s">
        <v>2</v>
      </c>
      <c r="D2" s="230"/>
      <c r="E2" s="231"/>
      <c r="F2" s="231"/>
      <c r="G2" s="232" t="s">
        <v>605</v>
      </c>
      <c r="H2" s="233"/>
    </row>
    <row r="3" spans="1:8">
      <c r="A3" s="21" t="s">
        <v>3</v>
      </c>
      <c r="B3" s="32"/>
      <c r="C3" s="33" t="s">
        <v>4</v>
      </c>
      <c r="D3" s="230"/>
      <c r="E3" s="231"/>
      <c r="F3" s="231"/>
      <c r="G3" s="234"/>
      <c r="H3" s="235"/>
    </row>
    <row r="4" spans="1:8">
      <c r="A4" s="21" t="s">
        <v>531</v>
      </c>
      <c r="B4" s="29"/>
      <c r="C4" s="8" t="s">
        <v>5</v>
      </c>
      <c r="D4" s="31"/>
      <c r="E4" s="33" t="s">
        <v>6</v>
      </c>
      <c r="F4" s="29"/>
      <c r="G4" s="140"/>
      <c r="H4" s="141" t="s">
        <v>480</v>
      </c>
    </row>
    <row r="5" spans="1:8">
      <c r="A5" s="21" t="s">
        <v>532</v>
      </c>
      <c r="B5" s="29"/>
      <c r="C5" s="8" t="s">
        <v>5</v>
      </c>
      <c r="D5" s="31"/>
      <c r="E5" s="33" t="s">
        <v>6</v>
      </c>
      <c r="F5" s="29"/>
      <c r="G5" s="142"/>
      <c r="H5" s="141" t="s">
        <v>481</v>
      </c>
    </row>
    <row r="6" spans="1:8">
      <c r="A6" s="21" t="s">
        <v>7</v>
      </c>
      <c r="B6" s="236"/>
      <c r="C6" s="237"/>
      <c r="D6" s="237"/>
      <c r="E6" s="237"/>
      <c r="F6" s="237"/>
      <c r="G6" s="143"/>
      <c r="H6" s="141" t="s">
        <v>482</v>
      </c>
    </row>
    <row r="7" spans="1:8">
      <c r="A7" s="21" t="s">
        <v>8</v>
      </c>
      <c r="B7" s="29"/>
      <c r="C7" s="8" t="s">
        <v>5</v>
      </c>
      <c r="D7" s="31"/>
      <c r="E7" s="33" t="s">
        <v>6</v>
      </c>
      <c r="F7" s="34"/>
      <c r="G7" s="144"/>
      <c r="H7" s="141" t="s">
        <v>483</v>
      </c>
    </row>
    <row r="8" spans="1:8" ht="18">
      <c r="A8" s="226" t="s">
        <v>606</v>
      </c>
      <c r="B8" s="226"/>
      <c r="C8" s="226"/>
      <c r="D8" s="226"/>
      <c r="E8" s="226"/>
      <c r="F8" s="226"/>
      <c r="G8" s="226"/>
      <c r="H8" s="226"/>
    </row>
    <row r="9" spans="1:8">
      <c r="A9" s="126" t="s">
        <v>484</v>
      </c>
      <c r="B9" s="126" t="s">
        <v>11</v>
      </c>
      <c r="C9" s="132" t="s">
        <v>651</v>
      </c>
      <c r="D9" s="132" t="s">
        <v>607</v>
      </c>
      <c r="E9" s="133" t="s">
        <v>17</v>
      </c>
      <c r="F9" s="133" t="s">
        <v>608</v>
      </c>
      <c r="G9" s="132" t="s">
        <v>18</v>
      </c>
      <c r="H9" s="9" t="s">
        <v>609</v>
      </c>
    </row>
    <row r="10" spans="1:8">
      <c r="A10" s="145">
        <v>1</v>
      </c>
      <c r="B10" s="146" t="s">
        <v>585</v>
      </c>
      <c r="C10" s="27">
        <f>_xlfn.IFNA('2.报价结算清单'!P47,"")</f>
        <v>310765.24799999996</v>
      </c>
      <c r="D10" s="24">
        <f t="shared" ref="D10:D20" si="0">IFERROR(_xlfn.IFNA(C10/$C$22,""),"")</f>
        <v>3.5153721746178541E-2</v>
      </c>
      <c r="E10" s="27">
        <f>'2.报价结算清单'!Q47</f>
        <v>0</v>
      </c>
      <c r="F10" s="24" t="str">
        <f>IFERROR(_xlfn.IFNA(E10/$E$22,""),"")</f>
        <v/>
      </c>
      <c r="G10" s="27">
        <f>IFERROR(E10-C10,"")</f>
        <v>-310765.24799999996</v>
      </c>
      <c r="H10" s="23"/>
    </row>
    <row r="11" spans="1:8">
      <c r="A11" s="145">
        <v>2</v>
      </c>
      <c r="B11" s="146" t="s">
        <v>586</v>
      </c>
      <c r="C11" s="27">
        <f>_xlfn.IFNA('2.报价结算清单'!P55,"")</f>
        <v>0</v>
      </c>
      <c r="D11" s="24">
        <f t="shared" si="0"/>
        <v>0</v>
      </c>
      <c r="E11" s="27">
        <f>'2.报价结算清单'!Q55</f>
        <v>0</v>
      </c>
      <c r="F11" s="24" t="str">
        <f t="shared" ref="F11:F20" si="1">IFERROR(_xlfn.IFNA(E11/$E$22,""),"")</f>
        <v/>
      </c>
      <c r="G11" s="27">
        <f t="shared" ref="G11:G20" si="2">IFERROR(E11-C11,"")</f>
        <v>0</v>
      </c>
      <c r="H11" s="23"/>
    </row>
    <row r="12" spans="1:8">
      <c r="A12" s="145">
        <v>3</v>
      </c>
      <c r="B12" s="146" t="s">
        <v>565</v>
      </c>
      <c r="C12" s="27">
        <f>_xlfn.IFNA('2.报价结算清单'!P66,"")</f>
        <v>325739.42</v>
      </c>
      <c r="D12" s="24">
        <f t="shared" si="0"/>
        <v>3.6847598005686877E-2</v>
      </c>
      <c r="E12" s="27">
        <f>'2.报价结算清单'!Q66</f>
        <v>0</v>
      </c>
      <c r="F12" s="24" t="str">
        <f t="shared" si="1"/>
        <v/>
      </c>
      <c r="G12" s="27">
        <f t="shared" si="2"/>
        <v>-325739.42</v>
      </c>
      <c r="H12" s="23"/>
    </row>
    <row r="13" spans="1:8">
      <c r="A13" s="145">
        <v>4</v>
      </c>
      <c r="B13" s="146" t="s">
        <v>650</v>
      </c>
      <c r="C13" s="27">
        <f>_xlfn.IFNA('2.报价结算清单'!P72,"")</f>
        <v>219102</v>
      </c>
      <c r="D13" s="24">
        <f t="shared" si="0"/>
        <v>2.4784787847421125E-2</v>
      </c>
      <c r="E13" s="27">
        <f>'2.报价结算清单'!Q72</f>
        <v>0</v>
      </c>
      <c r="F13" s="24" t="str">
        <f t="shared" si="1"/>
        <v/>
      </c>
      <c r="G13" s="27">
        <f t="shared" si="2"/>
        <v>-219102</v>
      </c>
      <c r="H13" s="23"/>
    </row>
    <row r="14" spans="1:8">
      <c r="A14" s="145">
        <v>5</v>
      </c>
      <c r="B14" s="146" t="s">
        <v>637</v>
      </c>
      <c r="C14" s="27">
        <f>_xlfn.IFNA('2.报价结算清单'!P78,"")</f>
        <v>0</v>
      </c>
      <c r="D14" s="24">
        <f t="shared" si="0"/>
        <v>0</v>
      </c>
      <c r="E14" s="27">
        <f>'2.报价结算清单'!Q78</f>
        <v>0</v>
      </c>
      <c r="F14" s="24" t="str">
        <f t="shared" si="1"/>
        <v/>
      </c>
      <c r="G14" s="27">
        <f t="shared" si="2"/>
        <v>0</v>
      </c>
      <c r="H14" s="23"/>
    </row>
    <row r="15" spans="1:8">
      <c r="A15" s="145">
        <v>6</v>
      </c>
      <c r="B15" s="146" t="s">
        <v>546</v>
      </c>
      <c r="C15" s="27">
        <f>_xlfn.IFNA('2.报价结算清单'!P141,"")</f>
        <v>7040088.8799999999</v>
      </c>
      <c r="D15" s="24">
        <f t="shared" si="0"/>
        <v>0.79637387754465316</v>
      </c>
      <c r="E15" s="27">
        <f>'2.报价结算清单'!Q141</f>
        <v>0</v>
      </c>
      <c r="F15" s="24" t="str">
        <f t="shared" si="1"/>
        <v/>
      </c>
      <c r="G15" s="27">
        <f t="shared" si="2"/>
        <v>-7040088.8799999999</v>
      </c>
      <c r="H15" s="23"/>
    </row>
    <row r="16" spans="1:8">
      <c r="A16" s="145">
        <v>7</v>
      </c>
      <c r="B16" s="146" t="s">
        <v>541</v>
      </c>
      <c r="C16" s="27">
        <f>_xlfn.IFNA('2.报价结算清单'!P159,"")</f>
        <v>282400.40000000002</v>
      </c>
      <c r="D16" s="24">
        <f t="shared" si="0"/>
        <v>3.1945094075028366E-2</v>
      </c>
      <c r="E16" s="27">
        <f>'2.报价结算清单'!Q159</f>
        <v>0</v>
      </c>
      <c r="F16" s="24" t="str">
        <f t="shared" si="1"/>
        <v/>
      </c>
      <c r="G16" s="27">
        <f t="shared" si="2"/>
        <v>-282400.40000000002</v>
      </c>
      <c r="H16" s="23"/>
    </row>
    <row r="17" spans="1:8">
      <c r="A17" s="145">
        <v>8</v>
      </c>
      <c r="B17" s="146" t="s">
        <v>519</v>
      </c>
      <c r="C17" s="27">
        <f>_xlfn.IFNA('2.报价结算清单'!P165,"")</f>
        <v>140000</v>
      </c>
      <c r="D17" s="24">
        <f t="shared" si="0"/>
        <v>1.5836780579999075E-2</v>
      </c>
      <c r="E17" s="27">
        <f>'2.报价结算清单'!Q165</f>
        <v>0</v>
      </c>
      <c r="F17" s="24" t="str">
        <f t="shared" si="1"/>
        <v/>
      </c>
      <c r="G17" s="27">
        <f t="shared" si="2"/>
        <v>-140000</v>
      </c>
      <c r="H17" s="23"/>
    </row>
    <row r="18" spans="1:8">
      <c r="A18" s="145">
        <v>9</v>
      </c>
      <c r="B18" s="146" t="s">
        <v>542</v>
      </c>
      <c r="C18" s="27">
        <f>_xlfn.IFNA('2.报价结算清单'!P169,"")</f>
        <v>0</v>
      </c>
      <c r="D18" s="24">
        <f t="shared" si="0"/>
        <v>0</v>
      </c>
      <c r="E18" s="27">
        <f>'2.报价结算清单'!Q169</f>
        <v>0</v>
      </c>
      <c r="F18" s="24" t="str">
        <f t="shared" si="1"/>
        <v/>
      </c>
      <c r="G18" s="27">
        <f t="shared" si="2"/>
        <v>0</v>
      </c>
      <c r="H18" s="23"/>
    </row>
    <row r="19" spans="1:8">
      <c r="A19" s="145">
        <v>10</v>
      </c>
      <c r="B19" s="146" t="s">
        <v>540</v>
      </c>
      <c r="C19" s="27">
        <f>_xlfn.IFNA('2.报价结算清单'!P173,"")</f>
        <v>0</v>
      </c>
      <c r="D19" s="24">
        <f t="shared" si="0"/>
        <v>0</v>
      </c>
      <c r="E19" s="27">
        <f>'2.报价结算清单'!Q173</f>
        <v>0</v>
      </c>
      <c r="F19" s="24" t="str">
        <f t="shared" si="1"/>
        <v/>
      </c>
      <c r="G19" s="27">
        <f t="shared" si="2"/>
        <v>0</v>
      </c>
      <c r="H19" s="23"/>
    </row>
    <row r="20" spans="1:8" ht="15.95" customHeight="1">
      <c r="A20" s="145">
        <v>11</v>
      </c>
      <c r="B20" s="146" t="s">
        <v>547</v>
      </c>
      <c r="C20" s="27">
        <f>_xlfn.IFNA('2.报价结算清单'!P182,"")</f>
        <v>522084.62359999993</v>
      </c>
      <c r="D20" s="24">
        <f t="shared" si="0"/>
        <v>5.9058140201032901E-2</v>
      </c>
      <c r="E20" s="27">
        <f>'2.报价结算清单'!Q182</f>
        <v>0</v>
      </c>
      <c r="F20" s="24" t="str">
        <f t="shared" si="1"/>
        <v/>
      </c>
      <c r="G20" s="27">
        <f t="shared" si="2"/>
        <v>-522084.62359999993</v>
      </c>
      <c r="H20" s="23"/>
    </row>
    <row r="21" spans="1:8">
      <c r="A21" s="242" t="s">
        <v>676</v>
      </c>
      <c r="B21" s="243"/>
      <c r="C21" s="47">
        <f>_xlfn.IFNA('2.报价结算清单'!$K$183,"")</f>
        <v>0.06</v>
      </c>
      <c r="D21" s="244"/>
      <c r="E21" s="245"/>
      <c r="F21" s="245"/>
      <c r="G21" s="245"/>
      <c r="H21" s="246"/>
    </row>
    <row r="22" spans="1:8">
      <c r="A22" s="242" t="s">
        <v>21</v>
      </c>
      <c r="B22" s="242"/>
      <c r="C22" s="28">
        <f>'2.报价结算清单'!P183</f>
        <v>8840180.5715999994</v>
      </c>
      <c r="D22" s="24" t="str">
        <f>IFERROR(_xlfn.IFNA(C22/$C$23,""),"")</f>
        <v/>
      </c>
      <c r="E22" s="27">
        <f>'2.报价结算清单'!Q183</f>
        <v>0</v>
      </c>
      <c r="F22" s="24" t="str">
        <f>IFERROR(_xlfn.IFNA(E22/$E$23,""),"")</f>
        <v/>
      </c>
      <c r="G22" s="27">
        <f>IFERROR(E22-C22,"")</f>
        <v>-8840180.5715999994</v>
      </c>
      <c r="H22" s="23"/>
    </row>
    <row r="23" spans="1:8">
      <c r="A23" s="238" t="s">
        <v>610</v>
      </c>
      <c r="B23" s="238"/>
      <c r="C23" s="239"/>
      <c r="D23" s="239"/>
      <c r="E23" s="240"/>
      <c r="F23" s="241"/>
      <c r="G23" s="25">
        <f>IFERROR(E23-C23,"")</f>
        <v>0</v>
      </c>
      <c r="H23" s="26"/>
    </row>
  </sheetData>
  <sheetProtection algorithmName="SHA-512" hashValue="4KI/Ji4FVBTLnfmLDxjUKS9/I8rE4REOv7+ibZ+Yyp4MylRdvlI3S6WGP5X+/MV9vlmhGF401LuYbDN8ZscsLg==" saltValue="mCljTst7H79ziFawEPcIOA==" spinCount="100000" sheet="1" objects="1" scenarios="1" formatCells="0" formatColumns="0" formatRows="0" insertRows="0"/>
  <mergeCells count="12">
    <mergeCell ref="A23:B23"/>
    <mergeCell ref="C23:D23"/>
    <mergeCell ref="E23:F23"/>
    <mergeCell ref="A21:B21"/>
    <mergeCell ref="A22:B22"/>
    <mergeCell ref="D21:H21"/>
    <mergeCell ref="A8:H8"/>
    <mergeCell ref="A1:H1"/>
    <mergeCell ref="D2:F2"/>
    <mergeCell ref="G2:H3"/>
    <mergeCell ref="D3:F3"/>
    <mergeCell ref="B6:F6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190"/>
  <sheetViews>
    <sheetView tabSelected="1" zoomScale="85" zoomScaleNormal="85" workbookViewId="0">
      <pane xSplit="1" ySplit="6" topLeftCell="E26" activePane="bottomRight" state="frozen"/>
      <selection activeCell="G9" sqref="A9:G20"/>
      <selection pane="topRight" activeCell="G9" sqref="A9:G20"/>
      <selection pane="bottomLeft" activeCell="G9" sqref="A9:G20"/>
      <selection pane="bottomRight" activeCell="B137" sqref="A137:XFD137"/>
    </sheetView>
  </sheetViews>
  <sheetFormatPr defaultColWidth="9" defaultRowHeight="14.25" outlineLevelCol="1"/>
  <cols>
    <col min="1" max="1" width="15" style="7" customWidth="1"/>
    <col min="2" max="2" width="5" style="7" customWidth="1"/>
    <col min="3" max="3" width="8.875" style="119" customWidth="1"/>
    <col min="4" max="4" width="9.875" style="15" customWidth="1"/>
    <col min="5" max="5" width="25" style="119" customWidth="1"/>
    <col min="6" max="6" width="14.375" style="7" bestFit="1" customWidth="1"/>
    <col min="7" max="7" width="20.625" style="7" bestFit="1" customWidth="1"/>
    <col min="8" max="8" width="44.125" style="36" customWidth="1"/>
    <col min="9" max="9" width="8" style="15" bestFit="1" customWidth="1"/>
    <col min="10" max="10" width="10.5" style="65" customWidth="1"/>
    <col min="11" max="11" width="10.5" style="67" customWidth="1" outlineLevel="1"/>
    <col min="12" max="12" width="16.5" style="71" customWidth="1"/>
    <col min="13" max="13" width="7.625" style="71" customWidth="1" outlineLevel="1"/>
    <col min="14" max="14" width="8" style="71" bestFit="1" customWidth="1"/>
    <col min="15" max="15" width="7.5" style="71" customWidth="1" outlineLevel="1"/>
    <col min="16" max="16" width="13.5" style="18" bestFit="1" customWidth="1"/>
    <col min="17" max="17" width="13" style="18" bestFit="1" customWidth="1" outlineLevel="1"/>
    <col min="18" max="18" width="14" style="15" bestFit="1" customWidth="1"/>
    <col min="19" max="19" width="27.125" style="7" customWidth="1"/>
    <col min="20" max="20" width="14.125" style="7" bestFit="1" customWidth="1"/>
    <col min="21" max="22" width="9" style="7"/>
    <col min="23" max="23" width="9.875" style="7" bestFit="1" customWidth="1"/>
    <col min="24" max="16384" width="9" style="7"/>
  </cols>
  <sheetData>
    <row r="1" spans="1:20" ht="30.95" hidden="1" customHeight="1">
      <c r="A1" s="263" t="s">
        <v>1298</v>
      </c>
      <c r="B1" s="264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6"/>
      <c r="S1" s="258" t="s">
        <v>674</v>
      </c>
      <c r="T1" s="259"/>
    </row>
    <row r="2" spans="1:20" ht="30.95" hidden="1" customHeight="1">
      <c r="A2" s="267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9"/>
      <c r="S2" s="1"/>
      <c r="T2" s="6" t="s">
        <v>480</v>
      </c>
    </row>
    <row r="3" spans="1:20" ht="30.95" hidden="1" customHeight="1">
      <c r="A3" s="267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9"/>
      <c r="S3" s="2"/>
      <c r="T3" s="6" t="s">
        <v>481</v>
      </c>
    </row>
    <row r="4" spans="1:20" ht="30.95" hidden="1" customHeight="1">
      <c r="A4" s="267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9"/>
      <c r="S4" s="3"/>
      <c r="T4" s="6" t="s">
        <v>482</v>
      </c>
    </row>
    <row r="5" spans="1:20" ht="30.95" hidden="1" customHeight="1">
      <c r="A5" s="270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2"/>
      <c r="S5" s="4"/>
      <c r="T5" s="6" t="s">
        <v>483</v>
      </c>
    </row>
    <row r="6" spans="1:20" ht="28.5">
      <c r="A6" s="126" t="s">
        <v>713</v>
      </c>
      <c r="B6" s="126" t="s">
        <v>712</v>
      </c>
      <c r="C6" s="126" t="s">
        <v>46</v>
      </c>
      <c r="D6" s="126" t="s">
        <v>10</v>
      </c>
      <c r="E6" s="177" t="s">
        <v>11</v>
      </c>
      <c r="F6" s="127" t="s">
        <v>654</v>
      </c>
      <c r="G6" s="147" t="s">
        <v>1231</v>
      </c>
      <c r="H6" s="126" t="s">
        <v>721</v>
      </c>
      <c r="I6" s="126" t="s">
        <v>12</v>
      </c>
      <c r="J6" s="183" t="s">
        <v>678</v>
      </c>
      <c r="K6" s="129" t="s">
        <v>679</v>
      </c>
      <c r="L6" s="130" t="s">
        <v>13</v>
      </c>
      <c r="M6" s="131" t="s">
        <v>14</v>
      </c>
      <c r="N6" s="130" t="s">
        <v>15</v>
      </c>
      <c r="O6" s="131" t="s">
        <v>16</v>
      </c>
      <c r="P6" s="132" t="s">
        <v>680</v>
      </c>
      <c r="Q6" s="133" t="s">
        <v>681</v>
      </c>
      <c r="R6" s="132" t="s">
        <v>18</v>
      </c>
      <c r="S6" s="132" t="s">
        <v>633</v>
      </c>
      <c r="T6" s="134" t="s">
        <v>19</v>
      </c>
    </row>
    <row r="7" spans="1:20" s="44" customFormat="1" ht="47.25" customHeight="1">
      <c r="A7" s="260" t="s">
        <v>1224</v>
      </c>
      <c r="B7" s="5">
        <v>1</v>
      </c>
      <c r="C7" s="155" t="s">
        <v>1473</v>
      </c>
      <c r="D7" s="10" t="s">
        <v>1474</v>
      </c>
      <c r="E7" s="114" t="s">
        <v>1475</v>
      </c>
      <c r="F7" s="40" t="s">
        <v>683</v>
      </c>
      <c r="G7" s="52" t="str">
        <f>_xlfn.IFNA(IF(VLOOKUP($F7,'3.框架内物料'!$A:$E,2,0)=0,"请勿填写",VLOOKUP($F7,'3.框架内物料'!$A:$E,2,0)),"")</f>
        <v/>
      </c>
      <c r="H7" s="10" t="s">
        <v>1480</v>
      </c>
      <c r="I7" s="161" t="s">
        <v>1482</v>
      </c>
      <c r="J7" s="184">
        <v>10.6</v>
      </c>
      <c r="K7" s="64"/>
      <c r="L7" s="11">
        <v>280</v>
      </c>
      <c r="M7" s="11"/>
      <c r="N7" s="10">
        <v>1</v>
      </c>
      <c r="O7" s="69"/>
      <c r="P7" s="46">
        <f>IFERROR(N7*L7*J7,0)</f>
        <v>2968</v>
      </c>
      <c r="Q7" s="46"/>
      <c r="R7" s="135">
        <f>Q7-P7</f>
        <v>-2968</v>
      </c>
      <c r="S7" s="5"/>
      <c r="T7" s="5">
        <v>2</v>
      </c>
    </row>
    <row r="8" spans="1:20" s="44" customFormat="1" ht="47.25" customHeight="1">
      <c r="A8" s="261"/>
      <c r="B8" s="5">
        <v>2</v>
      </c>
      <c r="C8" s="155" t="s">
        <v>1473</v>
      </c>
      <c r="D8" s="10" t="s">
        <v>1474</v>
      </c>
      <c r="E8" s="114" t="s">
        <v>1476</v>
      </c>
      <c r="F8" s="40" t="s">
        <v>683</v>
      </c>
      <c r="G8" s="52" t="str">
        <f>_xlfn.IFNA(IF(VLOOKUP($F8,'3.框架内物料'!$A:$E,2,0)=0,"请勿填写",VLOOKUP($F8,'3.框架内物料'!$A:$E,2,0)),"")</f>
        <v/>
      </c>
      <c r="H8" s="10" t="s">
        <v>1651</v>
      </c>
      <c r="I8" s="161" t="s">
        <v>1482</v>
      </c>
      <c r="J8" s="184">
        <f>30*1.06</f>
        <v>31.8</v>
      </c>
      <c r="K8" s="64"/>
      <c r="L8" s="11">
        <v>280</v>
      </c>
      <c r="M8" s="11"/>
      <c r="N8" s="10">
        <v>1</v>
      </c>
      <c r="O8" s="69"/>
      <c r="P8" s="46">
        <f t="shared" ref="P8:P45" si="0">IFERROR(N8*L8*J8,0)</f>
        <v>8904</v>
      </c>
      <c r="Q8" s="46"/>
      <c r="R8" s="135">
        <f t="shared" ref="R8:R46" si="1">Q8-P8</f>
        <v>-8904</v>
      </c>
      <c r="S8" s="5"/>
      <c r="T8" s="5">
        <v>3</v>
      </c>
    </row>
    <row r="9" spans="1:20" s="44" customFormat="1" ht="47.25" customHeight="1">
      <c r="A9" s="261"/>
      <c r="B9" s="5">
        <v>3</v>
      </c>
      <c r="C9" s="155" t="s">
        <v>1473</v>
      </c>
      <c r="D9" s="10" t="s">
        <v>1474</v>
      </c>
      <c r="E9" s="114" t="s">
        <v>1477</v>
      </c>
      <c r="F9" s="40" t="s">
        <v>683</v>
      </c>
      <c r="G9" s="52"/>
      <c r="H9" s="10" t="s">
        <v>1477</v>
      </c>
      <c r="I9" s="161" t="s">
        <v>1482</v>
      </c>
      <c r="J9" s="184">
        <f>59*1.06</f>
        <v>62.540000000000006</v>
      </c>
      <c r="K9" s="64"/>
      <c r="L9" s="11">
        <v>280</v>
      </c>
      <c r="M9" s="11"/>
      <c r="N9" s="10">
        <v>1</v>
      </c>
      <c r="O9" s="69"/>
      <c r="P9" s="46">
        <f t="shared" si="0"/>
        <v>17511.2</v>
      </c>
      <c r="Q9" s="46"/>
      <c r="R9" s="135">
        <f t="shared" si="1"/>
        <v>-17511.2</v>
      </c>
      <c r="S9" s="5"/>
      <c r="T9" s="5">
        <v>4</v>
      </c>
    </row>
    <row r="10" spans="1:20" s="44" customFormat="1" ht="47.25" customHeight="1">
      <c r="A10" s="261"/>
      <c r="B10" s="5">
        <v>4</v>
      </c>
      <c r="C10" s="155" t="s">
        <v>1473</v>
      </c>
      <c r="D10" s="10" t="s">
        <v>1474</v>
      </c>
      <c r="E10" s="114" t="s">
        <v>1478</v>
      </c>
      <c r="F10" s="40" t="s">
        <v>683</v>
      </c>
      <c r="G10" s="52"/>
      <c r="H10" s="10" t="s">
        <v>1481</v>
      </c>
      <c r="I10" s="161" t="s">
        <v>1482</v>
      </c>
      <c r="J10" s="184">
        <f>35*1.06</f>
        <v>37.1</v>
      </c>
      <c r="K10" s="64"/>
      <c r="L10" s="11">
        <v>280</v>
      </c>
      <c r="M10" s="11"/>
      <c r="N10" s="10">
        <v>1</v>
      </c>
      <c r="O10" s="69"/>
      <c r="P10" s="46">
        <f t="shared" si="0"/>
        <v>10388</v>
      </c>
      <c r="Q10" s="46"/>
      <c r="R10" s="135">
        <f t="shared" si="1"/>
        <v>-10388</v>
      </c>
      <c r="S10" s="5"/>
      <c r="T10" s="5">
        <v>5</v>
      </c>
    </row>
    <row r="11" spans="1:20" s="219" customFormat="1" ht="47.25" customHeight="1">
      <c r="A11" s="261"/>
      <c r="B11" s="208">
        <v>5</v>
      </c>
      <c r="C11" s="209" t="s">
        <v>1473</v>
      </c>
      <c r="D11" s="210" t="s">
        <v>1474</v>
      </c>
      <c r="E11" s="221" t="s">
        <v>1479</v>
      </c>
      <c r="F11" s="212" t="s">
        <v>683</v>
      </c>
      <c r="G11" s="213"/>
      <c r="H11" s="210" t="s">
        <v>1703</v>
      </c>
      <c r="I11" s="210" t="s">
        <v>1482</v>
      </c>
      <c r="J11" s="214">
        <f>48*1.06</f>
        <v>50.88</v>
      </c>
      <c r="K11" s="222"/>
      <c r="L11" s="210">
        <v>280</v>
      </c>
      <c r="M11" s="210"/>
      <c r="N11" s="210">
        <v>1</v>
      </c>
      <c r="O11" s="216"/>
      <c r="P11" s="217">
        <f t="shared" si="0"/>
        <v>14246.400000000001</v>
      </c>
      <c r="Q11" s="217"/>
      <c r="R11" s="218">
        <f t="shared" si="1"/>
        <v>-14246.400000000001</v>
      </c>
      <c r="S11" s="208"/>
      <c r="T11" s="208">
        <v>6</v>
      </c>
    </row>
    <row r="12" spans="1:20" s="44" customFormat="1" ht="47.25" customHeight="1">
      <c r="A12" s="261"/>
      <c r="B12" s="5">
        <v>6</v>
      </c>
      <c r="C12" s="155" t="s">
        <v>1473</v>
      </c>
      <c r="D12" s="10" t="s">
        <v>1483</v>
      </c>
      <c r="E12" s="114" t="s">
        <v>1483</v>
      </c>
      <c r="F12" s="37" t="s">
        <v>49</v>
      </c>
      <c r="G12" s="52"/>
      <c r="H12" s="35" t="str">
        <f>_xlfn.IFNA(VLOOKUP($F12,'3.框架内物料'!$A:$E,4,0),"")</f>
        <v>搭建制作-制作-常规背景结构-木质背板-木制背景版+写真喷绘 （高度3m下）单面</v>
      </c>
      <c r="I12" s="160" t="str">
        <f>_xlfn.IFNA(VLOOKUP($F12,'3.框架内物料'!$A:$E,5,0),"")</f>
        <v>平米</v>
      </c>
      <c r="J12" s="171">
        <f>_xlfn.IFNA(VLOOKUP($F12,'3.框架内物料'!$A:$F,6,0),"")</f>
        <v>247.45</v>
      </c>
      <c r="K12" s="64"/>
      <c r="L12" s="11">
        <v>12</v>
      </c>
      <c r="M12" s="11"/>
      <c r="N12" s="10">
        <v>4</v>
      </c>
      <c r="O12" s="69"/>
      <c r="P12" s="46">
        <f t="shared" si="0"/>
        <v>11877.599999999999</v>
      </c>
      <c r="Q12" s="46"/>
      <c r="R12" s="135">
        <f t="shared" si="1"/>
        <v>-11877.599999999999</v>
      </c>
      <c r="S12" s="5"/>
      <c r="T12" s="5">
        <v>7</v>
      </c>
    </row>
    <row r="13" spans="1:20" s="44" customFormat="1" ht="15" customHeight="1">
      <c r="A13" s="261"/>
      <c r="B13" s="5">
        <v>7</v>
      </c>
      <c r="C13" s="155" t="s">
        <v>1473</v>
      </c>
      <c r="D13" s="10" t="s">
        <v>1483</v>
      </c>
      <c r="E13" s="114" t="s">
        <v>1483</v>
      </c>
      <c r="F13" s="37" t="s">
        <v>49</v>
      </c>
      <c r="G13" s="52"/>
      <c r="H13" s="35" t="str">
        <f>_xlfn.IFNA(VLOOKUP($F13,'3.框架内物料'!$A:$E,4,0),"")</f>
        <v>搭建制作-制作-常规背景结构-木质背板-木制背景版+写真喷绘 （高度3m下）单面</v>
      </c>
      <c r="I13" s="160" t="str">
        <f>_xlfn.IFNA(VLOOKUP($F13,'3.框架内物料'!$A:$E,5,0),"")</f>
        <v>平米</v>
      </c>
      <c r="J13" s="171">
        <f>_xlfn.IFNA(VLOOKUP($F13,'3.框架内物料'!$A:$F,6,0),"")</f>
        <v>247.45</v>
      </c>
      <c r="K13" s="64"/>
      <c r="L13" s="11">
        <v>32</v>
      </c>
      <c r="M13" s="68"/>
      <c r="N13" s="10">
        <v>1</v>
      </c>
      <c r="O13" s="69"/>
      <c r="P13" s="46">
        <f t="shared" si="0"/>
        <v>7918.4</v>
      </c>
      <c r="Q13" s="46"/>
      <c r="R13" s="135">
        <f t="shared" si="1"/>
        <v>-7918.4</v>
      </c>
      <c r="S13" s="5"/>
      <c r="T13" s="5"/>
    </row>
    <row r="14" spans="1:20" s="44" customFormat="1" ht="15" customHeight="1">
      <c r="A14" s="261"/>
      <c r="B14" s="5">
        <v>8</v>
      </c>
      <c r="C14" s="155" t="s">
        <v>1473</v>
      </c>
      <c r="D14" s="10" t="s">
        <v>1647</v>
      </c>
      <c r="E14" s="114" t="s">
        <v>1647</v>
      </c>
      <c r="F14" s="37" t="s">
        <v>190</v>
      </c>
      <c r="G14" s="52"/>
      <c r="H14" s="35" t="str">
        <f>_xlfn.IFNA(VLOOKUP($F14,'3.框架内物料'!$A:$E,4,0),"")</f>
        <v>搭建制作-制作-灯箱字-亚克力吸塑立体字-含led550贴片，含损耗，高度60cm以内</v>
      </c>
      <c r="I14" s="160" t="str">
        <f>_xlfn.IFNA(VLOOKUP($F14,'3.框架内物料'!$A:$E,5,0),"")</f>
        <v>延米</v>
      </c>
      <c r="J14" s="171">
        <f>_xlfn.IFNA(VLOOKUP($F14,'3.框架内物料'!$A:$F,6,0),"")</f>
        <v>636</v>
      </c>
      <c r="K14" s="64"/>
      <c r="L14" s="11">
        <v>12</v>
      </c>
      <c r="M14" s="68"/>
      <c r="N14" s="10">
        <v>2</v>
      </c>
      <c r="O14" s="69"/>
      <c r="P14" s="46">
        <f t="shared" si="0"/>
        <v>15264</v>
      </c>
      <c r="Q14" s="46"/>
      <c r="R14" s="135">
        <f t="shared" si="1"/>
        <v>-15264</v>
      </c>
      <c r="S14" s="5"/>
      <c r="T14" s="5"/>
    </row>
    <row r="15" spans="1:20" s="44" customFormat="1" ht="15" customHeight="1">
      <c r="A15" s="261"/>
      <c r="B15" s="5">
        <v>9</v>
      </c>
      <c r="C15" s="155" t="s">
        <v>1473</v>
      </c>
      <c r="D15" s="10" t="s">
        <v>1483</v>
      </c>
      <c r="E15" s="114" t="s">
        <v>1646</v>
      </c>
      <c r="F15" s="37" t="s">
        <v>163</v>
      </c>
      <c r="G15" s="52"/>
      <c r="H15" s="35" t="str">
        <f>_xlfn.IFNA(VLOOKUP($F15,'3.框架内物料'!$A:$E,4,0),"")</f>
        <v>搭建制作-制作-立体雕刻字-雪弗板字-15mm</v>
      </c>
      <c r="I15" s="160" t="str">
        <f>_xlfn.IFNA(VLOOKUP($F15,'3.框架内物料'!$A:$E,5,0),"")</f>
        <v>延米</v>
      </c>
      <c r="J15" s="171">
        <f>_xlfn.IFNA(VLOOKUP($F15,'3.框架内物料'!$A:$F,6,0),"")</f>
        <v>116.6</v>
      </c>
      <c r="K15" s="64"/>
      <c r="L15" s="11">
        <v>5</v>
      </c>
      <c r="M15" s="68"/>
      <c r="N15" s="10">
        <v>2</v>
      </c>
      <c r="O15" s="69"/>
      <c r="P15" s="46">
        <f t="shared" si="0"/>
        <v>1166</v>
      </c>
      <c r="Q15" s="46"/>
      <c r="R15" s="135">
        <f t="shared" si="1"/>
        <v>-1166</v>
      </c>
      <c r="S15" s="5"/>
      <c r="T15" s="5"/>
    </row>
    <row r="16" spans="1:20" s="219" customFormat="1" ht="39.75" customHeight="1">
      <c r="A16" s="261"/>
      <c r="B16" s="208">
        <v>10</v>
      </c>
      <c r="C16" s="209" t="s">
        <v>1473</v>
      </c>
      <c r="D16" s="210" t="s">
        <v>1484</v>
      </c>
      <c r="E16" s="221" t="s">
        <v>1484</v>
      </c>
      <c r="F16" s="212" t="s">
        <v>683</v>
      </c>
      <c r="G16" s="213"/>
      <c r="H16" s="213" t="s">
        <v>1696</v>
      </c>
      <c r="I16" s="210" t="s">
        <v>1299</v>
      </c>
      <c r="J16" s="214">
        <v>10388</v>
      </c>
      <c r="K16" s="210"/>
      <c r="L16" s="210">
        <v>1</v>
      </c>
      <c r="M16" s="210"/>
      <c r="N16" s="210">
        <v>1</v>
      </c>
      <c r="O16" s="216"/>
      <c r="P16" s="217">
        <f t="shared" si="0"/>
        <v>10388</v>
      </c>
      <c r="Q16" s="217"/>
      <c r="R16" s="218">
        <f t="shared" si="1"/>
        <v>-10388</v>
      </c>
      <c r="S16" s="208"/>
      <c r="T16" s="208"/>
    </row>
    <row r="17" spans="1:20" s="44" customFormat="1" ht="15" customHeight="1">
      <c r="A17" s="261"/>
      <c r="B17" s="5">
        <v>11</v>
      </c>
      <c r="C17" s="155" t="s">
        <v>1473</v>
      </c>
      <c r="D17" s="10" t="s">
        <v>1484</v>
      </c>
      <c r="E17" s="114" t="s">
        <v>1648</v>
      </c>
      <c r="F17" s="37" t="s">
        <v>88</v>
      </c>
      <c r="G17" s="52"/>
      <c r="H17" s="161" t="str">
        <f>_xlfn.IFNA(VLOOKUP($F17,'3.框架内物料'!$A:$E,4,0),"")</f>
        <v>搭建制作-制作-装饰材料-亚克力-国产 10mm</v>
      </c>
      <c r="I17" s="161" t="str">
        <f>_xlfn.IFNA(VLOOKUP($F17,'3.框架内物料'!$A:$G,5,0),"")</f>
        <v>平米</v>
      </c>
      <c r="J17" s="171">
        <f>_xlfn.IFNA(VLOOKUP($F17,'3.框架内物料'!$A:$G,6,0),"")</f>
        <v>222.6</v>
      </c>
      <c r="K17" s="10"/>
      <c r="L17" s="11">
        <v>40</v>
      </c>
      <c r="M17" s="11"/>
      <c r="N17" s="10">
        <v>2</v>
      </c>
      <c r="O17" s="69"/>
      <c r="P17" s="46">
        <f t="shared" si="0"/>
        <v>17808</v>
      </c>
      <c r="Q17" s="46"/>
      <c r="R17" s="135">
        <f t="shared" si="1"/>
        <v>-17808</v>
      </c>
      <c r="S17" s="5"/>
      <c r="T17" s="5"/>
    </row>
    <row r="18" spans="1:20" s="44" customFormat="1" ht="15" customHeight="1">
      <c r="A18" s="261"/>
      <c r="B18" s="5">
        <v>12</v>
      </c>
      <c r="C18" s="155" t="s">
        <v>1473</v>
      </c>
      <c r="D18" s="10" t="s">
        <v>1493</v>
      </c>
      <c r="E18" s="114" t="s">
        <v>1493</v>
      </c>
      <c r="F18" s="163" t="s">
        <v>1492</v>
      </c>
      <c r="G18" s="52"/>
      <c r="H18" s="161" t="str">
        <f>_xlfn.IFNA(VLOOKUP($F18,'3.框架内物料'!$A:$E,4,0),"")</f>
        <v>搭建制作-制作-异形展柜-木制烤漆-高度2.4米内，含抽屉、开门</v>
      </c>
      <c r="I18" s="161" t="str">
        <f>_xlfn.IFNA(VLOOKUP($F18,'3.框架内物料'!$A:$E,5,0),"")</f>
        <v>延米</v>
      </c>
      <c r="J18" s="184">
        <f>_xlfn.IFNA(VLOOKUP($F18,'3.框架内物料'!$A:$F,6,0),"")</f>
        <v>2650</v>
      </c>
      <c r="K18" s="10"/>
      <c r="L18" s="11">
        <v>8</v>
      </c>
      <c r="M18" s="11"/>
      <c r="N18" s="10">
        <v>2</v>
      </c>
      <c r="O18" s="69"/>
      <c r="P18" s="46">
        <f t="shared" si="0"/>
        <v>42400</v>
      </c>
      <c r="Q18" s="46"/>
      <c r="R18" s="135">
        <f t="shared" si="1"/>
        <v>-42400</v>
      </c>
      <c r="S18" s="5"/>
      <c r="T18" s="5"/>
    </row>
    <row r="19" spans="1:20" s="44" customFormat="1" ht="15" customHeight="1">
      <c r="A19" s="261"/>
      <c r="B19" s="5">
        <v>13</v>
      </c>
      <c r="C19" s="155" t="s">
        <v>1473</v>
      </c>
      <c r="D19" s="10" t="s">
        <v>1643</v>
      </c>
      <c r="E19" s="114" t="s">
        <v>1644</v>
      </c>
      <c r="F19" s="163" t="s">
        <v>1642</v>
      </c>
      <c r="G19" s="52"/>
      <c r="H19" s="161" t="str">
        <f>_xlfn.IFNA(VLOOKUP($F19,'3.框架内物料'!$A:$E,4,0),"")</f>
        <v>搭建制作-制作-立体雕刻字-喷漆立体字--</v>
      </c>
      <c r="I19" s="161" t="str">
        <f>_xlfn.IFNA(VLOOKUP($F19,'3.框架内物料'!$A:$E,5,0),"")</f>
        <v>延米</v>
      </c>
      <c r="J19" s="184">
        <f>_xlfn.IFNA(VLOOKUP($F19,'3.框架内物料'!$A:$F,6,0),"")</f>
        <v>979.44</v>
      </c>
      <c r="K19" s="10"/>
      <c r="L19" s="11">
        <v>4</v>
      </c>
      <c r="M19" s="11"/>
      <c r="N19" s="10">
        <v>1</v>
      </c>
      <c r="O19" s="69"/>
      <c r="P19" s="46">
        <f t="shared" si="0"/>
        <v>3917.76</v>
      </c>
      <c r="Q19" s="46"/>
      <c r="R19" s="135">
        <f t="shared" si="1"/>
        <v>-3917.76</v>
      </c>
      <c r="S19" s="5"/>
      <c r="T19" s="5"/>
    </row>
    <row r="20" spans="1:20" s="44" customFormat="1" ht="15" customHeight="1">
      <c r="A20" s="261"/>
      <c r="B20" s="5">
        <v>14</v>
      </c>
      <c r="C20" s="155" t="s">
        <v>1473</v>
      </c>
      <c r="D20" s="10" t="s">
        <v>1643</v>
      </c>
      <c r="E20" s="114" t="s">
        <v>1644</v>
      </c>
      <c r="F20" s="163" t="s">
        <v>173</v>
      </c>
      <c r="G20" s="52"/>
      <c r="H20" s="161" t="str">
        <f>_xlfn.IFNA(VLOOKUP($F20,'3.框架内物料'!$A:$E,4,0),"")</f>
        <v>搭建制作-制作-立体雕刻字-喷漆立体字+底座--</v>
      </c>
      <c r="I20" s="161" t="str">
        <f>_xlfn.IFNA(VLOOKUP($F20,'3.框架内物料'!$A:$E,5,0),"")</f>
        <v>延米</v>
      </c>
      <c r="J20" s="184">
        <f>_xlfn.IFNA(VLOOKUP($F20,'3.框架内物料'!$A:$F,6,0),"")</f>
        <v>816.2</v>
      </c>
      <c r="K20" s="10"/>
      <c r="L20" s="11">
        <v>4</v>
      </c>
      <c r="M20" s="11"/>
      <c r="N20" s="10">
        <v>1</v>
      </c>
      <c r="O20" s="69"/>
      <c r="P20" s="46">
        <f t="shared" si="0"/>
        <v>3264.8</v>
      </c>
      <c r="Q20" s="46"/>
      <c r="R20" s="135">
        <f t="shared" si="1"/>
        <v>-3264.8</v>
      </c>
      <c r="S20" s="5"/>
      <c r="T20" s="5"/>
    </row>
    <row r="21" spans="1:20" s="219" customFormat="1" ht="74.25" customHeight="1">
      <c r="A21" s="261"/>
      <c r="B21" s="208">
        <v>15</v>
      </c>
      <c r="C21" s="209" t="s">
        <v>1473</v>
      </c>
      <c r="D21" s="210" t="s">
        <v>1643</v>
      </c>
      <c r="E21" s="221" t="s">
        <v>1645</v>
      </c>
      <c r="F21" s="212" t="s">
        <v>683</v>
      </c>
      <c r="G21" s="213"/>
      <c r="H21" s="213" t="s">
        <v>1698</v>
      </c>
      <c r="I21" s="213" t="s">
        <v>1299</v>
      </c>
      <c r="J21" s="220">
        <v>31800</v>
      </c>
      <c r="K21" s="210"/>
      <c r="L21" s="210">
        <v>1</v>
      </c>
      <c r="M21" s="210"/>
      <c r="N21" s="210">
        <v>1</v>
      </c>
      <c r="O21" s="216"/>
      <c r="P21" s="217">
        <f t="shared" si="0"/>
        <v>31800</v>
      </c>
      <c r="Q21" s="217"/>
      <c r="R21" s="218">
        <f t="shared" si="1"/>
        <v>-31800</v>
      </c>
      <c r="S21" s="208"/>
      <c r="T21" s="208"/>
    </row>
    <row r="22" spans="1:20" s="44" customFormat="1">
      <c r="A22" s="261"/>
      <c r="B22" s="5">
        <v>16</v>
      </c>
      <c r="C22" s="155" t="s">
        <v>1473</v>
      </c>
      <c r="D22" s="10" t="s">
        <v>1491</v>
      </c>
      <c r="E22" s="114" t="s">
        <v>1491</v>
      </c>
      <c r="F22" s="163" t="s">
        <v>87</v>
      </c>
      <c r="G22" s="52"/>
      <c r="H22" s="161" t="str">
        <f>_xlfn.IFNA(VLOOKUP($F22,'3.框架内物料'!$A:$E,4,0),"")</f>
        <v>搭建制作-制作-装饰材料-亚克力-国产 5mm</v>
      </c>
      <c r="I22" s="161" t="str">
        <f>_xlfn.IFNA(VLOOKUP($F22,'3.框架内物料'!$A:$E,5,0),"")</f>
        <v>平米</v>
      </c>
      <c r="J22" s="184">
        <f>_xlfn.IFNA(VLOOKUP($F22,'3.框架内物料'!$A:$F,6,0),"")</f>
        <v>173.33</v>
      </c>
      <c r="K22" s="10"/>
      <c r="L22" s="11">
        <v>6</v>
      </c>
      <c r="M22" s="11"/>
      <c r="N22" s="10">
        <v>4</v>
      </c>
      <c r="O22" s="69"/>
      <c r="P22" s="46">
        <f t="shared" si="0"/>
        <v>4159.92</v>
      </c>
      <c r="Q22" s="46"/>
      <c r="R22" s="135">
        <f t="shared" si="1"/>
        <v>-4159.92</v>
      </c>
      <c r="S22" s="5"/>
      <c r="T22" s="5"/>
    </row>
    <row r="23" spans="1:20" s="44" customFormat="1" ht="15" customHeight="1">
      <c r="A23" s="261"/>
      <c r="B23" s="5">
        <v>17</v>
      </c>
      <c r="C23" s="155" t="s">
        <v>1473</v>
      </c>
      <c r="D23" s="5" t="s">
        <v>1490</v>
      </c>
      <c r="E23" s="117" t="s">
        <v>1490</v>
      </c>
      <c r="F23" s="163" t="s">
        <v>1487</v>
      </c>
      <c r="G23" s="52"/>
      <c r="H23" s="161" t="str">
        <f>_xlfn.IFNA(VLOOKUP($F23,'3.框架内物料'!$A:$E,4,0),"")</f>
        <v>搭建制作-印刷-单页-A4彩色单面250克铜板纸-数量(501-5000)</v>
      </c>
      <c r="I23" s="161" t="str">
        <f>_xlfn.IFNA(VLOOKUP($F23,'3.框架内物料'!$A:$E,5,0),"")</f>
        <v>张</v>
      </c>
      <c r="J23" s="184">
        <f>_xlfn.IFNA(VLOOKUP($F23,'3.框架内物料'!$A:$F,6,0),"")</f>
        <v>1.5</v>
      </c>
      <c r="K23" s="10"/>
      <c r="L23" s="11">
        <v>10</v>
      </c>
      <c r="M23" s="11"/>
      <c r="N23" s="10">
        <v>1</v>
      </c>
      <c r="O23" s="69"/>
      <c r="P23" s="46">
        <f t="shared" si="0"/>
        <v>15</v>
      </c>
      <c r="Q23" s="46"/>
      <c r="R23" s="135">
        <f t="shared" si="1"/>
        <v>-15</v>
      </c>
      <c r="S23" s="5"/>
      <c r="T23" s="5"/>
    </row>
    <row r="24" spans="1:20" s="44" customFormat="1">
      <c r="A24" s="261"/>
      <c r="B24" s="5">
        <v>18</v>
      </c>
      <c r="C24" s="155" t="s">
        <v>1473</v>
      </c>
      <c r="D24" s="5" t="s">
        <v>1489</v>
      </c>
      <c r="E24" s="117" t="s">
        <v>1489</v>
      </c>
      <c r="F24" s="163" t="s">
        <v>1487</v>
      </c>
      <c r="G24" s="52"/>
      <c r="H24" s="161" t="str">
        <f>_xlfn.IFNA(VLOOKUP($F24,'3.框架内物料'!$A:$E,4,0),"")</f>
        <v>搭建制作-印刷-单页-A4彩色单面250克铜板纸-数量(501-5000)</v>
      </c>
      <c r="I24" s="161" t="str">
        <f>_xlfn.IFNA(VLOOKUP($F24,'3.框架内物料'!$A:$E,5,0),"")</f>
        <v>张</v>
      </c>
      <c r="J24" s="184">
        <f>_xlfn.IFNA(VLOOKUP($F24,'3.框架内物料'!$A:$F,6,0),"")</f>
        <v>1.5</v>
      </c>
      <c r="K24" s="64"/>
      <c r="L24" s="11">
        <v>280</v>
      </c>
      <c r="M24" s="68"/>
      <c r="N24" s="10">
        <v>1</v>
      </c>
      <c r="O24" s="69"/>
      <c r="P24" s="46">
        <f t="shared" si="0"/>
        <v>420</v>
      </c>
      <c r="Q24" s="46"/>
      <c r="R24" s="135">
        <f t="shared" si="1"/>
        <v>-420</v>
      </c>
      <c r="S24" s="5"/>
      <c r="T24" s="5"/>
    </row>
    <row r="25" spans="1:20" s="44" customFormat="1">
      <c r="A25" s="261"/>
      <c r="B25" s="5">
        <v>19</v>
      </c>
      <c r="C25" s="155" t="s">
        <v>1473</v>
      </c>
      <c r="D25" s="5" t="s">
        <v>1488</v>
      </c>
      <c r="E25" s="117" t="s">
        <v>1488</v>
      </c>
      <c r="F25" s="163" t="s">
        <v>1487</v>
      </c>
      <c r="G25" s="52"/>
      <c r="H25" s="161" t="str">
        <f>_xlfn.IFNA(VLOOKUP($F25,'3.框架内物料'!$A:$E,4,0),"")</f>
        <v>搭建制作-印刷-单页-A4彩色单面250克铜板纸-数量(501-5000)</v>
      </c>
      <c r="I25" s="161" t="str">
        <f>_xlfn.IFNA(VLOOKUP($F25,'3.框架内物料'!$A:$E,5,0),"")</f>
        <v>张</v>
      </c>
      <c r="J25" s="184">
        <f>_xlfn.IFNA(VLOOKUP($F25,'3.框架内物料'!$A:$F,6,0),"")</f>
        <v>1.5</v>
      </c>
      <c r="K25" s="64"/>
      <c r="L25" s="11">
        <v>1700</v>
      </c>
      <c r="M25" s="68"/>
      <c r="N25" s="10">
        <v>1</v>
      </c>
      <c r="O25" s="69"/>
      <c r="P25" s="46">
        <f t="shared" si="0"/>
        <v>2550</v>
      </c>
      <c r="Q25" s="46"/>
      <c r="R25" s="135">
        <f t="shared" si="1"/>
        <v>-2550</v>
      </c>
      <c r="S25" s="5"/>
      <c r="T25" s="5"/>
    </row>
    <row r="26" spans="1:20" s="44" customFormat="1" ht="28.5">
      <c r="A26" s="261"/>
      <c r="B26" s="5">
        <v>20</v>
      </c>
      <c r="C26" s="155" t="s">
        <v>1473</v>
      </c>
      <c r="D26" s="10" t="s">
        <v>1486</v>
      </c>
      <c r="E26" s="114" t="s">
        <v>1486</v>
      </c>
      <c r="F26" s="163" t="s">
        <v>1485</v>
      </c>
      <c r="G26" s="52"/>
      <c r="H26" s="161" t="str">
        <f>_xlfn.IFNA(VLOOKUP($F26,'3.框架内物料'!$A:$E,4,0),"")</f>
        <v>搭建制作-制作-指引-木质T型-0.8m X 2m，含双面写真、钢板配重</v>
      </c>
      <c r="I26" s="161" t="str">
        <f>_xlfn.IFNA(VLOOKUP($F26,'3.框架内物料'!$A:$E,5,0),"")</f>
        <v>个</v>
      </c>
      <c r="J26" s="184">
        <f>_xlfn.IFNA(VLOOKUP($F26,'3.框架内物料'!$A:$F,6,0),"")</f>
        <v>742</v>
      </c>
      <c r="K26" s="64"/>
      <c r="L26" s="11">
        <v>10</v>
      </c>
      <c r="M26" s="11"/>
      <c r="N26" s="10">
        <v>1</v>
      </c>
      <c r="O26" s="69"/>
      <c r="P26" s="46">
        <f t="shared" si="0"/>
        <v>7420</v>
      </c>
      <c r="Q26" s="46"/>
      <c r="R26" s="135">
        <f t="shared" si="1"/>
        <v>-7420</v>
      </c>
      <c r="S26" s="5"/>
      <c r="T26" s="5"/>
    </row>
    <row r="27" spans="1:20" s="44" customFormat="1" ht="42.75">
      <c r="A27" s="261"/>
      <c r="B27" s="5">
        <v>21</v>
      </c>
      <c r="C27" s="155" t="s">
        <v>1473</v>
      </c>
      <c r="D27" s="10" t="s">
        <v>1494</v>
      </c>
      <c r="E27" s="114" t="s">
        <v>1494</v>
      </c>
      <c r="F27" s="163" t="s">
        <v>1497</v>
      </c>
      <c r="G27" s="52"/>
      <c r="H27" s="161" t="str">
        <f>_xlfn.IFNA(VLOOKUP($F27,'3.框架内物料'!$A:$E,4,0),"")</f>
        <v>搭建制作-制作-指引-注水道旗-高度5米，加强铝合金旗杆，5级以上抗风性，双面画面旗帜布120cmx380cm（含30升以上升注水量配重支撑）</v>
      </c>
      <c r="I27" s="161" t="str">
        <f>_xlfn.IFNA(VLOOKUP($F27,'3.框架内物料'!$A:$E,5,0),"")</f>
        <v>个</v>
      </c>
      <c r="J27" s="184">
        <f>_xlfn.IFNA(VLOOKUP($F27,'3.框架内物料'!$A:$F,6,0),"")</f>
        <v>424</v>
      </c>
      <c r="K27" s="64"/>
      <c r="L27" s="11">
        <v>12</v>
      </c>
      <c r="M27" s="11"/>
      <c r="N27" s="10">
        <v>1</v>
      </c>
      <c r="O27" s="69"/>
      <c r="P27" s="46">
        <f t="shared" si="0"/>
        <v>5088</v>
      </c>
      <c r="Q27" s="46"/>
      <c r="R27" s="135">
        <f t="shared" si="1"/>
        <v>-5088</v>
      </c>
      <c r="S27" s="5"/>
      <c r="T27" s="5"/>
    </row>
    <row r="28" spans="1:20" s="44" customFormat="1" ht="15" customHeight="1">
      <c r="A28" s="261"/>
      <c r="B28" s="5">
        <v>16</v>
      </c>
      <c r="C28" s="155" t="s">
        <v>1473</v>
      </c>
      <c r="D28" s="10" t="s">
        <v>1495</v>
      </c>
      <c r="E28" s="114" t="s">
        <v>1495</v>
      </c>
      <c r="F28" s="163" t="s">
        <v>1496</v>
      </c>
      <c r="G28" s="52"/>
      <c r="H28" s="161" t="str">
        <f>_xlfn.IFNA(VLOOKUP($F28,'3.框架内物料'!$A:$E,4,0),"")</f>
        <v>搭建制作-制作-指引-金属H架-铁质，A2大小，含画面</v>
      </c>
      <c r="I28" s="161" t="str">
        <f>_xlfn.IFNA(VLOOKUP($F28,'3.框架内物料'!$A:$E,5,0),"")</f>
        <v>个</v>
      </c>
      <c r="J28" s="184">
        <f>_xlfn.IFNA(VLOOKUP($F28,'3.框架内物料'!$A:$F,6,0),"")</f>
        <v>53</v>
      </c>
      <c r="K28" s="64"/>
      <c r="L28" s="11">
        <v>15</v>
      </c>
      <c r="M28" s="11"/>
      <c r="N28" s="10">
        <v>1</v>
      </c>
      <c r="O28" s="69"/>
      <c r="P28" s="46">
        <f t="shared" si="0"/>
        <v>795</v>
      </c>
      <c r="Q28" s="46"/>
      <c r="R28" s="135">
        <f t="shared" si="1"/>
        <v>-795</v>
      </c>
      <c r="S28" s="5"/>
      <c r="T28" s="5"/>
    </row>
    <row r="29" spans="1:20" s="219" customFormat="1" ht="35.25" customHeight="1">
      <c r="A29" s="261"/>
      <c r="B29" s="208">
        <v>17</v>
      </c>
      <c r="C29" s="209" t="s">
        <v>1473</v>
      </c>
      <c r="D29" s="210" t="s">
        <v>1504</v>
      </c>
      <c r="E29" s="223" t="s">
        <v>1498</v>
      </c>
      <c r="F29" s="212" t="s">
        <v>683</v>
      </c>
      <c r="G29" s="213"/>
      <c r="H29" s="213" t="s">
        <v>1701</v>
      </c>
      <c r="I29" s="210" t="s">
        <v>1299</v>
      </c>
      <c r="J29" s="220">
        <f>35*1.06</f>
        <v>37.1</v>
      </c>
      <c r="K29" s="210"/>
      <c r="L29" s="210">
        <v>400</v>
      </c>
      <c r="M29" s="216"/>
      <c r="N29" s="210">
        <v>1</v>
      </c>
      <c r="O29" s="216"/>
      <c r="P29" s="217">
        <f t="shared" si="0"/>
        <v>14840</v>
      </c>
      <c r="Q29" s="217"/>
      <c r="R29" s="218">
        <f t="shared" si="1"/>
        <v>-14840</v>
      </c>
      <c r="S29" s="208"/>
      <c r="T29" s="208"/>
    </row>
    <row r="30" spans="1:20" s="44" customFormat="1" ht="35.25" customHeight="1">
      <c r="A30" s="261"/>
      <c r="B30" s="5">
        <v>18</v>
      </c>
      <c r="C30" s="155" t="s">
        <v>1473</v>
      </c>
      <c r="D30" s="10" t="s">
        <v>1504</v>
      </c>
      <c r="E30" s="170" t="s">
        <v>1499</v>
      </c>
      <c r="F30" s="40" t="s">
        <v>683</v>
      </c>
      <c r="G30" s="52"/>
      <c r="H30" s="161" t="s">
        <v>1499</v>
      </c>
      <c r="I30" s="10" t="s">
        <v>1505</v>
      </c>
      <c r="J30" s="184">
        <f>8*1.06</f>
        <v>8.48</v>
      </c>
      <c r="K30" s="10"/>
      <c r="L30" s="11">
        <v>400</v>
      </c>
      <c r="M30" s="68"/>
      <c r="N30" s="10">
        <v>1</v>
      </c>
      <c r="O30" s="69"/>
      <c r="P30" s="46">
        <f t="shared" si="0"/>
        <v>3392</v>
      </c>
      <c r="Q30" s="46"/>
      <c r="R30" s="135">
        <f t="shared" si="1"/>
        <v>-3392</v>
      </c>
      <c r="S30" s="5"/>
      <c r="T30" s="5"/>
    </row>
    <row r="31" spans="1:20" s="219" customFormat="1" ht="35.25" customHeight="1">
      <c r="A31" s="261"/>
      <c r="B31" s="208">
        <v>21</v>
      </c>
      <c r="C31" s="209" t="s">
        <v>1473</v>
      </c>
      <c r="D31" s="210" t="s">
        <v>1504</v>
      </c>
      <c r="E31" s="223" t="s">
        <v>1500</v>
      </c>
      <c r="F31" s="212" t="s">
        <v>683</v>
      </c>
      <c r="G31" s="213"/>
      <c r="H31" s="213" t="s">
        <v>1697</v>
      </c>
      <c r="I31" s="210" t="s">
        <v>1505</v>
      </c>
      <c r="J31" s="220">
        <v>61.48</v>
      </c>
      <c r="K31" s="210"/>
      <c r="L31" s="210">
        <v>280</v>
      </c>
      <c r="M31" s="216"/>
      <c r="N31" s="210">
        <v>1</v>
      </c>
      <c r="O31" s="216"/>
      <c r="P31" s="217">
        <f t="shared" si="0"/>
        <v>17214.399999999998</v>
      </c>
      <c r="Q31" s="217"/>
      <c r="R31" s="218">
        <f t="shared" si="1"/>
        <v>-17214.399999999998</v>
      </c>
      <c r="S31" s="208"/>
      <c r="T31" s="208"/>
    </row>
    <row r="32" spans="1:20" s="44" customFormat="1" ht="35.25" customHeight="1">
      <c r="A32" s="261"/>
      <c r="B32" s="5">
        <v>22</v>
      </c>
      <c r="C32" s="155" t="s">
        <v>1473</v>
      </c>
      <c r="D32" s="10" t="s">
        <v>1504</v>
      </c>
      <c r="E32" s="170" t="s">
        <v>1501</v>
      </c>
      <c r="F32" s="40" t="s">
        <v>683</v>
      </c>
      <c r="G32" s="52"/>
      <c r="H32" s="161" t="s">
        <v>1501</v>
      </c>
      <c r="I32" s="10" t="s">
        <v>1505</v>
      </c>
      <c r="J32" s="184">
        <f>25*1.06</f>
        <v>26.5</v>
      </c>
      <c r="K32" s="10"/>
      <c r="L32" s="11">
        <v>280</v>
      </c>
      <c r="M32" s="68"/>
      <c r="N32" s="10">
        <v>1</v>
      </c>
      <c r="O32" s="69"/>
      <c r="P32" s="46">
        <f t="shared" si="0"/>
        <v>7420</v>
      </c>
      <c r="Q32" s="46"/>
      <c r="R32" s="135">
        <f t="shared" si="1"/>
        <v>-7420</v>
      </c>
      <c r="S32" s="5"/>
      <c r="T32" s="5"/>
    </row>
    <row r="33" spans="1:20" s="44" customFormat="1" ht="35.25" customHeight="1">
      <c r="A33" s="261"/>
      <c r="B33" s="5">
        <v>23</v>
      </c>
      <c r="C33" s="155" t="s">
        <v>1473</v>
      </c>
      <c r="D33" s="10" t="s">
        <v>1504</v>
      </c>
      <c r="E33" s="170" t="s">
        <v>1502</v>
      </c>
      <c r="F33" s="40" t="s">
        <v>683</v>
      </c>
      <c r="G33" s="52"/>
      <c r="H33" s="161" t="s">
        <v>1502</v>
      </c>
      <c r="I33" s="10" t="s">
        <v>1505</v>
      </c>
      <c r="J33" s="184">
        <f>2*1.06</f>
        <v>2.12</v>
      </c>
      <c r="K33" s="10"/>
      <c r="L33" s="11">
        <v>800</v>
      </c>
      <c r="M33" s="68"/>
      <c r="N33" s="10">
        <v>1</v>
      </c>
      <c r="O33" s="69"/>
      <c r="P33" s="46">
        <f t="shared" si="0"/>
        <v>1696</v>
      </c>
      <c r="Q33" s="46"/>
      <c r="R33" s="135">
        <f t="shared" si="1"/>
        <v>-1696</v>
      </c>
      <c r="S33" s="5"/>
      <c r="T33" s="5"/>
    </row>
    <row r="34" spans="1:20" s="219" customFormat="1" ht="38.25" customHeight="1">
      <c r="A34" s="261"/>
      <c r="B34" s="208">
        <v>24</v>
      </c>
      <c r="C34" s="209" t="s">
        <v>1473</v>
      </c>
      <c r="D34" s="210" t="s">
        <v>1504</v>
      </c>
      <c r="E34" s="223" t="s">
        <v>1629</v>
      </c>
      <c r="F34" s="212" t="s">
        <v>683</v>
      </c>
      <c r="G34" s="213"/>
      <c r="H34" s="213" t="s">
        <v>1629</v>
      </c>
      <c r="I34" s="210" t="s">
        <v>1505</v>
      </c>
      <c r="J34" s="220">
        <f>32*1.06</f>
        <v>33.92</v>
      </c>
      <c r="K34" s="210"/>
      <c r="L34" s="210">
        <v>280</v>
      </c>
      <c r="M34" s="216"/>
      <c r="N34" s="210">
        <v>1</v>
      </c>
      <c r="O34" s="216"/>
      <c r="P34" s="217">
        <f t="shared" si="0"/>
        <v>9497.6</v>
      </c>
      <c r="Q34" s="217"/>
      <c r="R34" s="218">
        <f t="shared" si="1"/>
        <v>-9497.6</v>
      </c>
      <c r="S34" s="208"/>
      <c r="T34" s="208"/>
    </row>
    <row r="35" spans="1:20" s="219" customFormat="1" ht="35.25" customHeight="1">
      <c r="A35" s="261"/>
      <c r="B35" s="208">
        <v>25</v>
      </c>
      <c r="C35" s="209" t="s">
        <v>1473</v>
      </c>
      <c r="D35" s="210" t="s">
        <v>1504</v>
      </c>
      <c r="E35" s="223" t="s">
        <v>1503</v>
      </c>
      <c r="F35" s="212" t="s">
        <v>683</v>
      </c>
      <c r="G35" s="213"/>
      <c r="H35" s="213" t="s">
        <v>1700</v>
      </c>
      <c r="I35" s="210" t="s">
        <v>1299</v>
      </c>
      <c r="J35" s="214">
        <v>318</v>
      </c>
      <c r="K35" s="210"/>
      <c r="L35" s="210">
        <v>15</v>
      </c>
      <c r="M35" s="216"/>
      <c r="N35" s="210">
        <v>1</v>
      </c>
      <c r="O35" s="216"/>
      <c r="P35" s="217">
        <f t="shared" si="0"/>
        <v>4770</v>
      </c>
      <c r="Q35" s="217"/>
      <c r="R35" s="218">
        <f t="shared" si="1"/>
        <v>-4770</v>
      </c>
      <c r="S35" s="208"/>
      <c r="T35" s="208"/>
    </row>
    <row r="36" spans="1:20" s="44" customFormat="1" ht="35.25" customHeight="1">
      <c r="A36" s="261"/>
      <c r="B36" s="5">
        <v>26</v>
      </c>
      <c r="C36" s="155" t="s">
        <v>1506</v>
      </c>
      <c r="D36" s="10" t="s">
        <v>1506</v>
      </c>
      <c r="E36" s="178" t="s">
        <v>1507</v>
      </c>
      <c r="F36" s="163" t="s">
        <v>1508</v>
      </c>
      <c r="G36" s="52"/>
      <c r="H36" s="161" t="str">
        <f>_xlfn.IFNA(VLOOKUP($F36,'3.框架内物料'!$A:$E,4,0),"")</f>
        <v>搭建制作-制作-板材-KT板-KT板单面裱写真画面</v>
      </c>
      <c r="I36" s="161" t="str">
        <f>_xlfn.IFNA(VLOOKUP($F36,'3.框架内物料'!$A:$E,5,0),"")</f>
        <v>平米</v>
      </c>
      <c r="J36" s="184">
        <f>_xlfn.IFNA(VLOOKUP($F36,'3.框架内物料'!$A:$F,6,0),"")</f>
        <v>50.88</v>
      </c>
      <c r="K36" s="10"/>
      <c r="L36" s="11">
        <v>0.24</v>
      </c>
      <c r="M36" s="11"/>
      <c r="N36" s="10">
        <v>15</v>
      </c>
      <c r="O36" s="69"/>
      <c r="P36" s="46">
        <f t="shared" si="0"/>
        <v>183.16799999999998</v>
      </c>
      <c r="Q36" s="46"/>
      <c r="R36" s="135">
        <f t="shared" si="1"/>
        <v>-183.16799999999998</v>
      </c>
      <c r="S36" s="5" t="s">
        <v>1509</v>
      </c>
      <c r="T36" s="5"/>
    </row>
    <row r="37" spans="1:20" s="219" customFormat="1" ht="35.25" customHeight="1">
      <c r="A37" s="261"/>
      <c r="B37" s="208">
        <v>27</v>
      </c>
      <c r="C37" s="209" t="s">
        <v>1506</v>
      </c>
      <c r="D37" s="210" t="s">
        <v>1506</v>
      </c>
      <c r="E37" s="211" t="s">
        <v>1510</v>
      </c>
      <c r="F37" s="212" t="s">
        <v>1511</v>
      </c>
      <c r="G37" s="213"/>
      <c r="H37" s="213" t="s">
        <v>1704</v>
      </c>
      <c r="I37" s="210" t="s">
        <v>1505</v>
      </c>
      <c r="J37" s="220">
        <v>8.48</v>
      </c>
      <c r="K37" s="210"/>
      <c r="L37" s="210">
        <v>50</v>
      </c>
      <c r="M37" s="210"/>
      <c r="N37" s="210">
        <v>1</v>
      </c>
      <c r="O37" s="210"/>
      <c r="P37" s="217">
        <f t="shared" si="0"/>
        <v>424</v>
      </c>
      <c r="Q37" s="217"/>
      <c r="R37" s="218">
        <f t="shared" si="1"/>
        <v>-424</v>
      </c>
      <c r="S37" s="208"/>
      <c r="T37" s="208"/>
    </row>
    <row r="38" spans="1:20" s="44" customFormat="1" ht="35.25" customHeight="1">
      <c r="A38" s="261"/>
      <c r="B38" s="5">
        <v>28</v>
      </c>
      <c r="C38" s="155" t="s">
        <v>1473</v>
      </c>
      <c r="D38" s="10" t="s">
        <v>1512</v>
      </c>
      <c r="E38" s="178" t="s">
        <v>1513</v>
      </c>
      <c r="F38" s="40" t="s">
        <v>1511</v>
      </c>
      <c r="G38" s="52"/>
      <c r="H38" s="161" t="s">
        <v>1514</v>
      </c>
      <c r="I38" s="161" t="s">
        <v>1515</v>
      </c>
      <c r="J38" s="184">
        <v>3.5</v>
      </c>
      <c r="K38" s="10"/>
      <c r="L38" s="11">
        <v>2000</v>
      </c>
      <c r="M38" s="11"/>
      <c r="N38" s="10">
        <v>1</v>
      </c>
      <c r="O38" s="10"/>
      <c r="P38" s="46">
        <f t="shared" si="0"/>
        <v>7000</v>
      </c>
      <c r="Q38" s="46"/>
      <c r="R38" s="135">
        <f t="shared" si="1"/>
        <v>-7000</v>
      </c>
      <c r="S38" s="206" t="s">
        <v>1517</v>
      </c>
      <c r="T38" s="5"/>
    </row>
    <row r="39" spans="1:20" s="44" customFormat="1" ht="35.25" customHeight="1">
      <c r="A39" s="261"/>
      <c r="B39" s="5">
        <v>29</v>
      </c>
      <c r="C39" s="155" t="s">
        <v>1473</v>
      </c>
      <c r="D39" s="10" t="s">
        <v>1512</v>
      </c>
      <c r="E39" s="178" t="s">
        <v>1516</v>
      </c>
      <c r="F39" s="163" t="s">
        <v>1518</v>
      </c>
      <c r="G39" s="52"/>
      <c r="H39" s="161" t="str">
        <f>_xlfn.IFNA(VLOOKUP($F39,'3.框架内物料'!$A:$E,4,0),"")</f>
        <v>搭建制作-印刷-手提袋-纸质快印-350mm*250mm*100mm（1-500）</v>
      </c>
      <c r="I39" s="161" t="str">
        <f>_xlfn.IFNA(VLOOKUP($F39,'3.框架内物料'!$A:$E,5,0),"")</f>
        <v>个</v>
      </c>
      <c r="J39" s="184">
        <f>_xlfn.IFNA(VLOOKUP($F39,'3.框架内物料'!$A:$F,6,0),"")</f>
        <v>9.5399999999999991</v>
      </c>
      <c r="K39" s="10"/>
      <c r="L39" s="11">
        <v>500</v>
      </c>
      <c r="M39" s="11"/>
      <c r="N39" s="10">
        <v>1</v>
      </c>
      <c r="O39" s="69"/>
      <c r="P39" s="46">
        <f>IFERROR(N39*L39*J39,0)</f>
        <v>4770</v>
      </c>
      <c r="Q39" s="46"/>
      <c r="R39" s="135">
        <f t="shared" si="1"/>
        <v>-4770</v>
      </c>
      <c r="S39" s="5" t="s">
        <v>1689</v>
      </c>
      <c r="T39" s="5"/>
    </row>
    <row r="40" spans="1:20" s="44" customFormat="1" ht="35.25" customHeight="1">
      <c r="A40" s="261"/>
      <c r="B40" s="5">
        <v>30</v>
      </c>
      <c r="C40" s="155" t="s">
        <v>1473</v>
      </c>
      <c r="D40" s="10" t="s">
        <v>1512</v>
      </c>
      <c r="E40" s="178" t="s">
        <v>1516</v>
      </c>
      <c r="F40" s="163" t="s">
        <v>1518</v>
      </c>
      <c r="G40" s="52"/>
      <c r="H40" s="161" t="str">
        <f>_xlfn.IFNA(VLOOKUP($F40,'3.框架内物料'!$A:$E,4,0),"")</f>
        <v>搭建制作-印刷-手提袋-纸质快印-350mm*250mm*100mm（1-500）</v>
      </c>
      <c r="I40" s="161" t="str">
        <f>_xlfn.IFNA(VLOOKUP($F40,'3.框架内物料'!$A:$E,5,0),"")</f>
        <v>个</v>
      </c>
      <c r="J40" s="184">
        <f>_xlfn.IFNA(VLOOKUP($F40,'3.框架内物料'!$A:$F,6,0),"")</f>
        <v>9.5399999999999991</v>
      </c>
      <c r="K40" s="10"/>
      <c r="L40" s="11">
        <v>500</v>
      </c>
      <c r="M40" s="11"/>
      <c r="N40" s="10">
        <v>1</v>
      </c>
      <c r="O40" s="69"/>
      <c r="P40" s="46">
        <f>IFERROR(N40*L40*J40,0)</f>
        <v>4770</v>
      </c>
      <c r="Q40" s="46"/>
      <c r="R40" s="135">
        <f t="shared" ref="R40" si="2">Q40-P40</f>
        <v>-4770</v>
      </c>
      <c r="S40" s="5" t="s">
        <v>1688</v>
      </c>
      <c r="T40" s="5"/>
    </row>
    <row r="41" spans="1:20" s="44" customFormat="1" ht="35.25" customHeight="1">
      <c r="A41" s="261"/>
      <c r="B41" s="5">
        <v>31</v>
      </c>
      <c r="C41" s="155" t="s">
        <v>1473</v>
      </c>
      <c r="D41" s="10" t="s">
        <v>1512</v>
      </c>
      <c r="E41" s="114" t="s">
        <v>1519</v>
      </c>
      <c r="F41" s="40" t="s">
        <v>1511</v>
      </c>
      <c r="G41" s="52"/>
      <c r="H41" s="161" t="s">
        <v>1520</v>
      </c>
      <c r="I41" s="161" t="s">
        <v>1521</v>
      </c>
      <c r="J41" s="184">
        <v>4.5</v>
      </c>
      <c r="K41" s="10"/>
      <c r="L41" s="11">
        <v>400</v>
      </c>
      <c r="M41" s="11"/>
      <c r="N41" s="10">
        <v>1</v>
      </c>
      <c r="O41" s="10"/>
      <c r="P41" s="46">
        <f t="shared" si="0"/>
        <v>1800</v>
      </c>
      <c r="Q41" s="162"/>
      <c r="R41" s="135">
        <f t="shared" si="1"/>
        <v>-1800</v>
      </c>
      <c r="S41" s="5"/>
      <c r="T41" s="5"/>
    </row>
    <row r="42" spans="1:20" s="44" customFormat="1" ht="35.25" customHeight="1">
      <c r="A42" s="261"/>
      <c r="B42" s="5">
        <v>32</v>
      </c>
      <c r="C42" s="155" t="s">
        <v>1473</v>
      </c>
      <c r="D42" s="10" t="s">
        <v>1512</v>
      </c>
      <c r="E42" s="178" t="s">
        <v>1523</v>
      </c>
      <c r="F42" s="163" t="s">
        <v>1522</v>
      </c>
      <c r="G42" s="52"/>
      <c r="H42" s="161" t="str">
        <f>_xlfn.IFNA(VLOOKUP($F42,'3.框架内物料'!$A:$E,4,0),"")</f>
        <v>搭建制作-印刷-臂贴-不干胶印刷-80mm圆</v>
      </c>
      <c r="I42" s="161" t="str">
        <f>_xlfn.IFNA(VLOOKUP($F42,'3.框架内物料'!$A:$E,5,0),"")</f>
        <v>张</v>
      </c>
      <c r="J42" s="184">
        <f>_xlfn.IFNA(VLOOKUP($F42,'3.框架内物料'!$A:$F,6,0),"")</f>
        <v>0.95</v>
      </c>
      <c r="K42" s="10"/>
      <c r="L42" s="11">
        <v>500</v>
      </c>
      <c r="M42" s="11"/>
      <c r="N42" s="10">
        <v>1</v>
      </c>
      <c r="O42" s="10"/>
      <c r="P42" s="46">
        <f t="shared" si="0"/>
        <v>475</v>
      </c>
      <c r="Q42" s="46"/>
      <c r="R42" s="135">
        <f t="shared" si="1"/>
        <v>-475</v>
      </c>
      <c r="S42" s="5"/>
      <c r="T42" s="5"/>
    </row>
    <row r="43" spans="1:20" s="44" customFormat="1" ht="35.25" customHeight="1">
      <c r="A43" s="261"/>
      <c r="B43" s="5">
        <v>33</v>
      </c>
      <c r="C43" s="155" t="s">
        <v>1473</v>
      </c>
      <c r="D43" s="10" t="s">
        <v>1512</v>
      </c>
      <c r="E43" s="178" t="s">
        <v>1525</v>
      </c>
      <c r="F43" s="163" t="s">
        <v>1524</v>
      </c>
      <c r="G43" s="52"/>
      <c r="H43" s="161" t="str">
        <f>_xlfn.IFNA(VLOOKUP($F43,'3.框架内物料'!$A:$E,4,0),"")</f>
        <v>搭建制作-印刷-服装-卫衣-400g纯棉，丝印单色logo，热转印面积≤20*30cm，50件起订</v>
      </c>
      <c r="I43" s="161" t="str">
        <f>_xlfn.IFNA(VLOOKUP($F43,'3.框架内物料'!$A:$E,5,0),"")</f>
        <v>件</v>
      </c>
      <c r="J43" s="184">
        <f>_xlfn.IFNA(VLOOKUP($F43,'3.框架内物料'!$A:$F,6,0),"")</f>
        <v>79.5</v>
      </c>
      <c r="K43" s="10"/>
      <c r="L43" s="11">
        <v>50</v>
      </c>
      <c r="M43" s="68"/>
      <c r="N43" s="10">
        <v>1</v>
      </c>
      <c r="O43" s="69"/>
      <c r="P43" s="46">
        <f t="shared" si="0"/>
        <v>3975</v>
      </c>
      <c r="Q43" s="46"/>
      <c r="R43" s="135">
        <f t="shared" si="1"/>
        <v>-3975</v>
      </c>
      <c r="S43" s="5"/>
      <c r="T43" s="5"/>
    </row>
    <row r="44" spans="1:20" s="219" customFormat="1" ht="35.25" customHeight="1">
      <c r="A44" s="261"/>
      <c r="B44" s="208">
        <v>34</v>
      </c>
      <c r="C44" s="209" t="s">
        <v>1473</v>
      </c>
      <c r="D44" s="210" t="s">
        <v>1512</v>
      </c>
      <c r="E44" s="211" t="s">
        <v>1526</v>
      </c>
      <c r="F44" s="212" t="s">
        <v>1511</v>
      </c>
      <c r="G44" s="213"/>
      <c r="H44" s="213" t="s">
        <v>1702</v>
      </c>
      <c r="I44" s="210" t="s">
        <v>1527</v>
      </c>
      <c r="J44" s="214">
        <v>3.18</v>
      </c>
      <c r="K44" s="215"/>
      <c r="L44" s="210">
        <v>1000</v>
      </c>
      <c r="M44" s="216"/>
      <c r="N44" s="210">
        <v>1</v>
      </c>
      <c r="O44" s="216"/>
      <c r="P44" s="217">
        <f t="shared" si="0"/>
        <v>3180</v>
      </c>
      <c r="Q44" s="217"/>
      <c r="R44" s="218">
        <f t="shared" si="1"/>
        <v>-3180</v>
      </c>
      <c r="S44" s="208" t="s">
        <v>1684</v>
      </c>
      <c r="T44" s="208"/>
    </row>
    <row r="45" spans="1:20" s="219" customFormat="1" ht="35.25" customHeight="1">
      <c r="A45" s="261"/>
      <c r="B45" s="208">
        <v>35</v>
      </c>
      <c r="C45" s="209" t="s">
        <v>1473</v>
      </c>
      <c r="D45" s="210" t="s">
        <v>1504</v>
      </c>
      <c r="E45" s="211" t="s">
        <v>1639</v>
      </c>
      <c r="F45" s="212" t="s">
        <v>1511</v>
      </c>
      <c r="H45" s="213" t="s">
        <v>1699</v>
      </c>
      <c r="I45" s="210" t="s">
        <v>1640</v>
      </c>
      <c r="J45" s="214">
        <v>12.72</v>
      </c>
      <c r="K45" s="210"/>
      <c r="L45" s="210">
        <v>400</v>
      </c>
      <c r="M45" s="216"/>
      <c r="N45" s="210">
        <v>1</v>
      </c>
      <c r="O45" s="216"/>
      <c r="P45" s="217">
        <f t="shared" si="0"/>
        <v>5088</v>
      </c>
      <c r="Q45" s="217"/>
      <c r="R45" s="218">
        <f t="shared" si="1"/>
        <v>-5088</v>
      </c>
      <c r="S45" s="208"/>
      <c r="T45" s="208"/>
    </row>
    <row r="46" spans="1:20" s="44" customFormat="1" ht="15" customHeight="1">
      <c r="A46" s="261"/>
      <c r="B46" s="5"/>
      <c r="C46" s="155"/>
      <c r="D46" s="10"/>
      <c r="E46" s="178"/>
      <c r="F46" s="40"/>
      <c r="G46" s="52"/>
      <c r="H46" s="161"/>
      <c r="I46" s="10"/>
      <c r="J46" s="171"/>
      <c r="K46" s="10"/>
      <c r="L46" s="11"/>
      <c r="M46" s="68"/>
      <c r="N46" s="10"/>
      <c r="O46" s="69"/>
      <c r="P46" s="46"/>
      <c r="Q46" s="46"/>
      <c r="R46" s="135">
        <f t="shared" si="1"/>
        <v>0</v>
      </c>
      <c r="S46" s="5"/>
      <c r="T46" s="5"/>
    </row>
    <row r="47" spans="1:20" s="38" customFormat="1" ht="14.1" customHeight="1">
      <c r="A47" s="262"/>
      <c r="B47" s="123"/>
      <c r="C47" s="125"/>
      <c r="D47" s="158"/>
      <c r="E47" s="125"/>
      <c r="F47" s="124"/>
      <c r="G47" s="124"/>
      <c r="H47" s="124"/>
      <c r="I47" s="158"/>
      <c r="J47" s="124"/>
      <c r="K47" s="252" t="s">
        <v>634</v>
      </c>
      <c r="L47" s="252"/>
      <c r="M47" s="252"/>
      <c r="N47" s="252"/>
      <c r="O47" s="253"/>
      <c r="P47" s="137">
        <f>SUM(P7:P46)</f>
        <v>310765.24799999996</v>
      </c>
      <c r="Q47" s="137">
        <f>SUM(Q7:Q46)</f>
        <v>0</v>
      </c>
      <c r="R47" s="138">
        <f>Q47-P47</f>
        <v>-310765.24799999996</v>
      </c>
      <c r="S47" s="12"/>
      <c r="T47" s="12"/>
    </row>
    <row r="48" spans="1:20" s="38" customFormat="1" ht="15" customHeight="1">
      <c r="A48" s="260" t="s">
        <v>1242</v>
      </c>
      <c r="B48" s="5">
        <v>1</v>
      </c>
      <c r="C48" s="114" t="s">
        <v>538</v>
      </c>
      <c r="D48" s="10" t="s">
        <v>535</v>
      </c>
      <c r="E48" s="114"/>
      <c r="F48" s="37"/>
      <c r="G48" s="52" t="str">
        <f>_xlfn.IFNA(IF(VLOOKUP($F48,'3.框架内物料'!$A:$E,2,0)=0,"请勿填写",VLOOKUP($F48,'3.框架内物料'!$A:$E,2,0)),"")</f>
        <v/>
      </c>
      <c r="H48" s="53" t="str">
        <f>_xlfn.IFNA(VLOOKUP($F48,'3.框架内物料'!$A:$E,4,0),"")</f>
        <v/>
      </c>
      <c r="I48" s="52" t="str">
        <f>_xlfn.IFNA(VLOOKUP($F48,'3.框架内物料'!$A:$E,5,0),"")</f>
        <v/>
      </c>
      <c r="J48" s="185" t="str">
        <f>_xlfn.IFNA(VLOOKUP($F48,'3.框架内物料'!$A:$F,6,0),"")</f>
        <v/>
      </c>
      <c r="K48" s="64"/>
      <c r="L48" s="68"/>
      <c r="M48" s="68"/>
      <c r="N48" s="69"/>
      <c r="O48" s="69"/>
      <c r="P48" s="46">
        <f t="shared" ref="P48" si="3">IFERROR(N48*L48*J48,0)</f>
        <v>0</v>
      </c>
      <c r="Q48" s="46"/>
      <c r="R48" s="135">
        <f t="shared" ref="R48" si="4">Q48-P48</f>
        <v>0</v>
      </c>
      <c r="S48" s="12"/>
      <c r="T48" s="12"/>
    </row>
    <row r="49" spans="1:23" s="38" customFormat="1">
      <c r="A49" s="261"/>
      <c r="B49" s="5">
        <v>2</v>
      </c>
      <c r="C49" s="114" t="s">
        <v>1226</v>
      </c>
      <c r="D49" s="10" t="s">
        <v>34</v>
      </c>
      <c r="E49" s="115"/>
      <c r="F49" s="40" t="s">
        <v>683</v>
      </c>
      <c r="G49" s="52"/>
      <c r="H49" s="35"/>
      <c r="I49" s="10"/>
      <c r="J49" s="186"/>
      <c r="K49" s="64"/>
      <c r="L49" s="68"/>
      <c r="M49" s="68"/>
      <c r="N49" s="69"/>
      <c r="O49" s="69"/>
      <c r="P49" s="46">
        <f t="shared" ref="P49:P54" si="5">IFERROR(N49*L49*J49,0)</f>
        <v>0</v>
      </c>
      <c r="Q49" s="46"/>
      <c r="R49" s="135">
        <f t="shared" ref="R49:R54" si="6">Q49-P49</f>
        <v>0</v>
      </c>
      <c r="S49" s="12"/>
      <c r="T49" s="5"/>
      <c r="W49" s="45"/>
    </row>
    <row r="50" spans="1:23" s="38" customFormat="1" ht="15" customHeight="1">
      <c r="A50" s="261"/>
      <c r="B50" s="5">
        <v>3</v>
      </c>
      <c r="C50" s="114" t="s">
        <v>1226</v>
      </c>
      <c r="D50" s="10" t="s">
        <v>536</v>
      </c>
      <c r="E50" s="114"/>
      <c r="F50" s="37"/>
      <c r="G50" s="52"/>
      <c r="H50" s="53" t="str">
        <f>_xlfn.IFNA(VLOOKUP($F50,'3.框架内物料'!$A:$E,4,0),"")</f>
        <v/>
      </c>
      <c r="I50" s="52" t="str">
        <f>_xlfn.IFNA(VLOOKUP($F50,'3.框架内物料'!$A:$E,5,0),"")</f>
        <v/>
      </c>
      <c r="J50" s="185" t="str">
        <f>_xlfn.IFNA(VLOOKUP($F50,'3.框架内物料'!$A:$F,6,0),"")</f>
        <v/>
      </c>
      <c r="K50" s="64"/>
      <c r="L50" s="68"/>
      <c r="M50" s="68"/>
      <c r="N50" s="69"/>
      <c r="O50" s="69"/>
      <c r="P50" s="46">
        <f t="shared" si="5"/>
        <v>0</v>
      </c>
      <c r="Q50" s="46"/>
      <c r="R50" s="135">
        <f t="shared" si="6"/>
        <v>0</v>
      </c>
      <c r="S50" s="12"/>
      <c r="T50" s="12"/>
    </row>
    <row r="51" spans="1:23" s="38" customFormat="1">
      <c r="A51" s="261"/>
      <c r="B51" s="5">
        <v>4</v>
      </c>
      <c r="C51" s="114" t="s">
        <v>1226</v>
      </c>
      <c r="D51" s="10" t="s">
        <v>39</v>
      </c>
      <c r="E51" s="115"/>
      <c r="F51" s="40" t="s">
        <v>683</v>
      </c>
      <c r="G51" s="52"/>
      <c r="H51" s="35"/>
      <c r="I51" s="10"/>
      <c r="J51" s="186"/>
      <c r="K51" s="64"/>
      <c r="L51" s="68"/>
      <c r="M51" s="68"/>
      <c r="N51" s="69"/>
      <c r="O51" s="69"/>
      <c r="P51" s="46">
        <f t="shared" si="5"/>
        <v>0</v>
      </c>
      <c r="Q51" s="46"/>
      <c r="R51" s="135">
        <f t="shared" si="6"/>
        <v>0</v>
      </c>
      <c r="S51" s="12"/>
      <c r="T51" s="5"/>
      <c r="W51" s="45"/>
    </row>
    <row r="52" spans="1:23" s="38" customFormat="1" ht="15" customHeight="1">
      <c r="A52" s="261"/>
      <c r="B52" s="5">
        <v>5</v>
      </c>
      <c r="C52" s="114" t="s">
        <v>1226</v>
      </c>
      <c r="D52" s="10" t="s">
        <v>537</v>
      </c>
      <c r="E52" s="114"/>
      <c r="F52" s="37"/>
      <c r="G52" s="52"/>
      <c r="H52" s="53" t="str">
        <f>_xlfn.IFNA(VLOOKUP($F52,'3.框架内物料'!$A:$E,4,0),"")</f>
        <v/>
      </c>
      <c r="I52" s="52" t="str">
        <f>_xlfn.IFNA(VLOOKUP($F52,'3.框架内物料'!$A:$E,5,0),"")</f>
        <v/>
      </c>
      <c r="J52" s="185" t="str">
        <f>_xlfn.IFNA(VLOOKUP($F52,'3.框架内物料'!$A:$F,6,0),"")</f>
        <v/>
      </c>
      <c r="K52" s="64"/>
      <c r="L52" s="68"/>
      <c r="M52" s="68"/>
      <c r="N52" s="69"/>
      <c r="O52" s="69"/>
      <c r="P52" s="46">
        <f t="shared" si="5"/>
        <v>0</v>
      </c>
      <c r="Q52" s="46"/>
      <c r="R52" s="135">
        <f t="shared" si="6"/>
        <v>0</v>
      </c>
      <c r="S52" s="12"/>
      <c r="T52" s="12"/>
    </row>
    <row r="53" spans="1:23" s="38" customFormat="1">
      <c r="A53" s="261"/>
      <c r="B53" s="5">
        <v>6</v>
      </c>
      <c r="C53" s="114" t="s">
        <v>1226</v>
      </c>
      <c r="D53" s="10" t="s">
        <v>41</v>
      </c>
      <c r="E53" s="115"/>
      <c r="F53" s="40" t="s">
        <v>683</v>
      </c>
      <c r="G53" s="52"/>
      <c r="H53" s="35"/>
      <c r="I53" s="10"/>
      <c r="J53" s="186"/>
      <c r="K53" s="64"/>
      <c r="L53" s="68"/>
      <c r="M53" s="68"/>
      <c r="N53" s="69"/>
      <c r="O53" s="69"/>
      <c r="P53" s="46">
        <f t="shared" si="5"/>
        <v>0</v>
      </c>
      <c r="Q53" s="46"/>
      <c r="R53" s="135">
        <f t="shared" si="6"/>
        <v>0</v>
      </c>
      <c r="S53" s="12"/>
      <c r="T53" s="5"/>
      <c r="W53" s="45"/>
    </row>
    <row r="54" spans="1:23" s="38" customFormat="1">
      <c r="A54" s="261"/>
      <c r="B54" s="5">
        <v>14</v>
      </c>
      <c r="C54" s="114" t="s">
        <v>1227</v>
      </c>
      <c r="D54" s="10" t="s">
        <v>41</v>
      </c>
      <c r="E54" s="115"/>
      <c r="F54" s="40" t="s">
        <v>683</v>
      </c>
      <c r="G54" s="52"/>
      <c r="H54" s="35"/>
      <c r="I54" s="10"/>
      <c r="J54" s="186"/>
      <c r="K54" s="64"/>
      <c r="L54" s="68"/>
      <c r="M54" s="68"/>
      <c r="N54" s="69"/>
      <c r="O54" s="69"/>
      <c r="P54" s="46">
        <f t="shared" si="5"/>
        <v>0</v>
      </c>
      <c r="Q54" s="46"/>
      <c r="R54" s="135">
        <f t="shared" si="6"/>
        <v>0</v>
      </c>
      <c r="S54" s="12"/>
      <c r="T54" s="5"/>
      <c r="W54" s="45"/>
    </row>
    <row r="55" spans="1:23" ht="14.1" customHeight="1">
      <c r="A55" s="262"/>
      <c r="B55" s="123"/>
      <c r="C55" s="125"/>
      <c r="D55" s="158"/>
      <c r="E55" s="125"/>
      <c r="F55" s="124"/>
      <c r="G55" s="124"/>
      <c r="H55" s="124"/>
      <c r="I55" s="158"/>
      <c r="J55" s="124"/>
      <c r="K55" s="252" t="s">
        <v>635</v>
      </c>
      <c r="L55" s="252"/>
      <c r="M55" s="252"/>
      <c r="N55" s="252"/>
      <c r="O55" s="253"/>
      <c r="P55" s="128">
        <f>SUM(P48:P54)</f>
        <v>0</v>
      </c>
      <c r="Q55" s="128">
        <f>SUM(Q48:Q54)</f>
        <v>0</v>
      </c>
      <c r="R55" s="136">
        <f>Q55-P55</f>
        <v>0</v>
      </c>
      <c r="S55" s="14"/>
      <c r="T55" s="14"/>
      <c r="W55" s="19"/>
    </row>
    <row r="56" spans="1:23" s="43" customFormat="1" ht="42.75">
      <c r="A56" s="260" t="s">
        <v>1243</v>
      </c>
      <c r="B56" s="113">
        <v>1</v>
      </c>
      <c r="C56" s="114" t="s">
        <v>1528</v>
      </c>
      <c r="D56" s="157" t="s">
        <v>1529</v>
      </c>
      <c r="E56" s="116" t="s">
        <v>1529</v>
      </c>
      <c r="F56" s="37" t="s">
        <v>1530</v>
      </c>
      <c r="G56" s="52"/>
      <c r="H56" s="173" t="str">
        <f>_xlfn.IFNA(VLOOKUP($F56,'3.框架内物料'!$A:$E,4,0),"")</f>
        <v>第三方人员类-侧拍摄影摄像-云摄影-摄影师+修图+平台使用-人员劳务费及基础拍摄设备。不含住宿、交通、补贴等费用，每天不超过8小时，彩排与活动日价格一致</v>
      </c>
      <c r="I56" s="161" t="str">
        <f>_xlfn.IFNA(VLOOKUP($F56,'3.框架内物料'!$A:$E,5,0),"")</f>
        <v>人/天</v>
      </c>
      <c r="J56" s="27">
        <f>_xlfn.IFNA(VLOOKUP($F56,'3.框架内物料'!$A:$F,6,0),"")</f>
        <v>3498.33</v>
      </c>
      <c r="K56" s="64"/>
      <c r="L56" s="68">
        <v>5</v>
      </c>
      <c r="M56" s="68"/>
      <c r="N56" s="69">
        <v>6</v>
      </c>
      <c r="O56" s="68"/>
      <c r="P56" s="46">
        <f t="shared" ref="P56" si="7">IFERROR(N56*L56*J56,0)</f>
        <v>104949.9</v>
      </c>
      <c r="Q56" s="46"/>
      <c r="R56" s="135">
        <f t="shared" ref="R56" si="8">Q56-P56</f>
        <v>-104949.9</v>
      </c>
      <c r="S56" s="41" t="s">
        <v>1653</v>
      </c>
      <c r="T56" s="42"/>
    </row>
    <row r="57" spans="1:23" s="38" customFormat="1" ht="42.75">
      <c r="A57" s="261"/>
      <c r="B57" s="113">
        <v>2</v>
      </c>
      <c r="C57" s="114" t="s">
        <v>1528</v>
      </c>
      <c r="D57" s="157" t="s">
        <v>1529</v>
      </c>
      <c r="E57" s="116" t="s">
        <v>1529</v>
      </c>
      <c r="F57" s="37" t="s">
        <v>469</v>
      </c>
      <c r="G57" s="52"/>
      <c r="H57" s="173" t="str">
        <f>_xlfn.IFNA(VLOOKUP($F57,'3.框架内物料'!$A:$E,4,0),"")</f>
        <v>第三方人员类-侧拍摄影摄像-云摄影-摄影师+修图+平台使用-人员劳务费及基础拍摄设备。不含住宿、交通、补贴等费用，每天不超过8小时，彩排与活动日价格一致</v>
      </c>
      <c r="I57" s="161" t="str">
        <f>_xlfn.IFNA(VLOOKUP($F57,'3.框架内物料'!$A:$E,5,0),"")</f>
        <v>人/天</v>
      </c>
      <c r="J57" s="27">
        <f>_xlfn.IFNA(VLOOKUP($F57,'3.框架内物料'!$A:$F,6,0),"")</f>
        <v>3498.33</v>
      </c>
      <c r="K57" s="64"/>
      <c r="L57" s="68">
        <v>2</v>
      </c>
      <c r="M57" s="68"/>
      <c r="N57" s="69">
        <v>2</v>
      </c>
      <c r="O57" s="69"/>
      <c r="P57" s="46">
        <f t="shared" ref="P57:P65" si="9">IFERROR(N57*L57*J57,0)</f>
        <v>13993.32</v>
      </c>
      <c r="Q57" s="46"/>
      <c r="R57" s="135">
        <f t="shared" ref="R57:R65" si="10">Q57-P57</f>
        <v>-13993.32</v>
      </c>
      <c r="S57" s="12" t="s">
        <v>1652</v>
      </c>
      <c r="T57" s="5"/>
    </row>
    <row r="58" spans="1:23" s="43" customFormat="1" ht="57">
      <c r="A58" s="261"/>
      <c r="B58" s="113">
        <v>3</v>
      </c>
      <c r="C58" s="114" t="s">
        <v>1506</v>
      </c>
      <c r="D58" s="157" t="s">
        <v>1531</v>
      </c>
      <c r="E58" s="116" t="s">
        <v>1531</v>
      </c>
      <c r="F58" s="37" t="s">
        <v>1533</v>
      </c>
      <c r="G58" s="52"/>
      <c r="H58" s="173" t="str">
        <f>_xlfn.IFNA(VLOOKUP($F58,'3.框架内物料'!$A:$E,4,0),"")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I58" s="161" t="str">
        <f>_xlfn.IFNA(VLOOKUP($F58,'3.框架内物料'!$A:$E,5,0),"")</f>
        <v>人/场</v>
      </c>
      <c r="J58" s="27">
        <f>_xlfn.IFNA(VLOOKUP($F58,'3.框架内物料'!$A:$F,6,0),"")</f>
        <v>948</v>
      </c>
      <c r="K58" s="64"/>
      <c r="L58" s="68">
        <v>5</v>
      </c>
      <c r="M58" s="68"/>
      <c r="N58" s="69">
        <v>3</v>
      </c>
      <c r="O58" s="68"/>
      <c r="P58" s="46">
        <f t="shared" si="9"/>
        <v>14220</v>
      </c>
      <c r="Q58" s="46"/>
      <c r="R58" s="135">
        <f t="shared" si="10"/>
        <v>-14220</v>
      </c>
      <c r="S58" s="41" t="s">
        <v>1654</v>
      </c>
      <c r="T58" s="42"/>
    </row>
    <row r="59" spans="1:23" s="43" customFormat="1" ht="57">
      <c r="A59" s="261"/>
      <c r="B59" s="113">
        <v>4</v>
      </c>
      <c r="C59" s="114" t="s">
        <v>1473</v>
      </c>
      <c r="D59" s="165" t="s">
        <v>1532</v>
      </c>
      <c r="E59" s="179" t="s">
        <v>1532</v>
      </c>
      <c r="F59" s="37" t="s">
        <v>478</v>
      </c>
      <c r="G59" s="52"/>
      <c r="H59" s="173" t="str">
        <f>_xlfn.IFNA(VLOOKUP($F59,'3.框架内物料'!$A:$E,4,0),"")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I59" s="161" t="str">
        <f>_xlfn.IFNA(VLOOKUP($F59,'3.框架内物料'!$A:$E,5,0),"")</f>
        <v>人/场</v>
      </c>
      <c r="J59" s="27">
        <f>_xlfn.IFNA(VLOOKUP($F59,'3.框架内物料'!$A:$F,6,0),"")</f>
        <v>948</v>
      </c>
      <c r="K59" s="64"/>
      <c r="L59" s="68">
        <v>3</v>
      </c>
      <c r="M59" s="68"/>
      <c r="N59" s="69">
        <v>3</v>
      </c>
      <c r="O59" s="68"/>
      <c r="P59" s="46">
        <f t="shared" si="9"/>
        <v>8532</v>
      </c>
      <c r="Q59" s="46"/>
      <c r="R59" s="135">
        <f t="shared" si="10"/>
        <v>-8532</v>
      </c>
      <c r="S59" s="41" t="s">
        <v>1535</v>
      </c>
      <c r="T59" s="42"/>
    </row>
    <row r="60" spans="1:23" s="38" customFormat="1" ht="57">
      <c r="A60" s="261"/>
      <c r="B60" s="113">
        <v>5</v>
      </c>
      <c r="C60" s="114" t="s">
        <v>1473</v>
      </c>
      <c r="D60" s="165" t="s">
        <v>1532</v>
      </c>
      <c r="E60" s="179" t="s">
        <v>1532</v>
      </c>
      <c r="F60" s="37" t="s">
        <v>478</v>
      </c>
      <c r="G60" s="52"/>
      <c r="H60" s="173" t="str">
        <f>_xlfn.IFNA(VLOOKUP($F60,'3.框架内物料'!$A:$E,4,0),"")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I60" s="161" t="str">
        <f>_xlfn.IFNA(VLOOKUP($F60,'3.框架内物料'!$A:$E,5,0),"")</f>
        <v>人/场</v>
      </c>
      <c r="J60" s="27">
        <f>_xlfn.IFNA(VLOOKUP($F60,'3.框架内物料'!$A:$F,6,0),"")</f>
        <v>948</v>
      </c>
      <c r="K60" s="64"/>
      <c r="L60" s="68">
        <v>5</v>
      </c>
      <c r="M60" s="68"/>
      <c r="N60" s="69">
        <v>7</v>
      </c>
      <c r="O60" s="69"/>
      <c r="P60" s="46">
        <f t="shared" si="9"/>
        <v>33180</v>
      </c>
      <c r="Q60" s="46"/>
      <c r="R60" s="135">
        <f t="shared" si="10"/>
        <v>-33180</v>
      </c>
      <c r="S60" s="12" t="s">
        <v>1534</v>
      </c>
      <c r="T60" s="5"/>
    </row>
    <row r="61" spans="1:23" s="43" customFormat="1" ht="28.5">
      <c r="A61" s="261"/>
      <c r="B61" s="113">
        <v>6</v>
      </c>
      <c r="C61" s="114" t="s">
        <v>1473</v>
      </c>
      <c r="D61" s="116" t="s">
        <v>1624</v>
      </c>
      <c r="E61" s="116" t="s">
        <v>1624</v>
      </c>
      <c r="F61" s="37" t="s">
        <v>625</v>
      </c>
      <c r="G61" s="52"/>
      <c r="H61" s="173" t="str">
        <f>_xlfn.IFNA(VLOOKUP($F61,'3.框架内物料'!$A:$E,4,0),"")</f>
        <v>报批及安保-运营人员-保障组-高级保安-内场安保（对形象有要求）人员劳务费，每场不超过8小时，含个税</v>
      </c>
      <c r="I61" s="161" t="str">
        <f>_xlfn.IFNA(VLOOKUP($F61,'3.框架内物料'!$A:$E,5,0),"")</f>
        <v>人/场</v>
      </c>
      <c r="J61" s="27">
        <f>_xlfn.IFNA(VLOOKUP($F61,'3.框架内物料'!$A:$F,6,0),"")</f>
        <v>742</v>
      </c>
      <c r="K61" s="64"/>
      <c r="L61" s="68">
        <v>20</v>
      </c>
      <c r="M61" s="68"/>
      <c r="N61" s="69">
        <v>7</v>
      </c>
      <c r="O61" s="68"/>
      <c r="P61" s="46">
        <f t="shared" si="9"/>
        <v>103880</v>
      </c>
      <c r="Q61" s="46"/>
      <c r="R61" s="135">
        <f t="shared" si="10"/>
        <v>-103880</v>
      </c>
      <c r="S61" s="41" t="s">
        <v>1655</v>
      </c>
      <c r="T61" s="42"/>
    </row>
    <row r="62" spans="1:23" s="43" customFormat="1" ht="28.5">
      <c r="A62" s="261"/>
      <c r="B62" s="113">
        <v>7</v>
      </c>
      <c r="C62" s="114" t="s">
        <v>1473</v>
      </c>
      <c r="D62" s="116" t="s">
        <v>1624</v>
      </c>
      <c r="E62" s="116" t="s">
        <v>1624</v>
      </c>
      <c r="F62" s="37" t="s">
        <v>625</v>
      </c>
      <c r="G62" s="52"/>
      <c r="H62" s="173" t="str">
        <f>_xlfn.IFNA(VLOOKUP($F62,'3.框架内物料'!$A:$E,4,0),"")</f>
        <v>报批及安保-运营人员-保障组-高级保安-内场安保（对形象有要求）人员劳务费，每场不超过8小时，含个税</v>
      </c>
      <c r="I62" s="161" t="str">
        <f>_xlfn.IFNA(VLOOKUP($F62,'3.框架内物料'!$A:$E,5,0),"")</f>
        <v>人/场</v>
      </c>
      <c r="J62" s="27">
        <f>_xlfn.IFNA(VLOOKUP($F62,'3.框架内物料'!$A:$F,6,0),"")</f>
        <v>742</v>
      </c>
      <c r="K62" s="64"/>
      <c r="L62" s="68">
        <v>4</v>
      </c>
      <c r="M62" s="68"/>
      <c r="N62" s="69">
        <v>3</v>
      </c>
      <c r="O62" s="68"/>
      <c r="P62" s="46">
        <f t="shared" si="9"/>
        <v>8904</v>
      </c>
      <c r="Q62" s="46"/>
      <c r="R62" s="135">
        <f t="shared" si="10"/>
        <v>-8904</v>
      </c>
      <c r="S62" s="41" t="s">
        <v>1625</v>
      </c>
      <c r="T62" s="42"/>
    </row>
    <row r="63" spans="1:23" s="43" customFormat="1" ht="42.75">
      <c r="A63" s="261"/>
      <c r="B63" s="113">
        <v>8</v>
      </c>
      <c r="C63" s="114" t="s">
        <v>1473</v>
      </c>
      <c r="D63" s="116" t="s">
        <v>1674</v>
      </c>
      <c r="E63" s="116" t="s">
        <v>1674</v>
      </c>
      <c r="F63" s="37" t="s">
        <v>517</v>
      </c>
      <c r="G63" s="52"/>
      <c r="H63" s="173" t="str">
        <f>_xlfn.IFNA(VLOOKUP($F63,'3.框架内物料'!$A:$E,4,0),"")</f>
        <v>第三方人员类-运营人员-服务人员-兼职人员-人员劳务费。不含住宿、交通、补贴等费用，每场不超过8小时
彩排按每人0.5场收费，含个税</v>
      </c>
      <c r="I63" s="161" t="str">
        <f>_xlfn.IFNA(VLOOKUP($F63,'3.框架内物料'!$A:$E,5,0),"")</f>
        <v>人/场</v>
      </c>
      <c r="J63" s="27">
        <f>_xlfn.IFNA(VLOOKUP($F63,'3.框架内物料'!$A:$F,6,0),"")</f>
        <v>318</v>
      </c>
      <c r="K63" s="64"/>
      <c r="L63" s="68">
        <v>10</v>
      </c>
      <c r="M63" s="68"/>
      <c r="N63" s="69">
        <v>6</v>
      </c>
      <c r="O63" s="68"/>
      <c r="P63" s="46">
        <f t="shared" si="9"/>
        <v>19080</v>
      </c>
      <c r="Q63" s="46"/>
      <c r="R63" s="135">
        <f t="shared" si="10"/>
        <v>-19080</v>
      </c>
      <c r="S63" s="41" t="s">
        <v>1674</v>
      </c>
      <c r="T63" s="42"/>
    </row>
    <row r="64" spans="1:23" s="43" customFormat="1" ht="28.5">
      <c r="A64" s="261"/>
      <c r="B64" s="113">
        <v>9</v>
      </c>
      <c r="C64" s="114" t="s">
        <v>1473</v>
      </c>
      <c r="D64" s="114" t="s">
        <v>1663</v>
      </c>
      <c r="E64" s="114" t="s">
        <v>1663</v>
      </c>
      <c r="F64" s="163" t="s">
        <v>1604</v>
      </c>
      <c r="G64" s="52"/>
      <c r="H64" s="173" t="str">
        <f>_xlfn.IFNA(VLOOKUP($F64,'3.框架内物料'!$A:$E,4,0),"")</f>
        <v>第三方人员类-搭建人员-搭建人员-搭建人工-人员劳务费，每场不超过8小时</v>
      </c>
      <c r="I64" s="161" t="str">
        <f>_xlfn.IFNA(VLOOKUP($F64,'3.框架内物料'!$A:$E,5,0),"")</f>
        <v>人/场</v>
      </c>
      <c r="J64" s="171">
        <f>_xlfn.IFNA(VLOOKUP($F64,'3.框架内物料'!$A:$F,6,0),"")</f>
        <v>316.67</v>
      </c>
      <c r="K64" s="66"/>
      <c r="L64" s="10">
        <v>15</v>
      </c>
      <c r="M64" s="10"/>
      <c r="N64" s="10">
        <v>4</v>
      </c>
      <c r="O64" s="69"/>
      <c r="P64" s="169">
        <f>IFERROR(N64*L64*J64,0)</f>
        <v>19000.2</v>
      </c>
      <c r="Q64" s="46"/>
      <c r="R64" s="135">
        <f t="shared" si="10"/>
        <v>-19000.2</v>
      </c>
      <c r="S64" s="42" t="s">
        <v>1664</v>
      </c>
      <c r="T64" s="135">
        <f>Q64-P64</f>
        <v>-19000.2</v>
      </c>
      <c r="U64" s="39"/>
    </row>
    <row r="65" spans="1:20" s="38" customFormat="1">
      <c r="A65" s="261"/>
      <c r="B65" s="113">
        <v>10</v>
      </c>
      <c r="C65" s="114" t="s">
        <v>1227</v>
      </c>
      <c r="D65" s="10"/>
      <c r="E65" s="115"/>
      <c r="F65" s="40" t="s">
        <v>683</v>
      </c>
      <c r="G65" s="52"/>
      <c r="H65" s="35"/>
      <c r="I65" s="10"/>
      <c r="J65" s="186"/>
      <c r="K65" s="64"/>
      <c r="L65" s="68"/>
      <c r="M65" s="68"/>
      <c r="N65" s="69"/>
      <c r="O65" s="69"/>
      <c r="P65" s="46">
        <f t="shared" si="9"/>
        <v>0</v>
      </c>
      <c r="Q65" s="46"/>
      <c r="R65" s="135">
        <f t="shared" si="10"/>
        <v>0</v>
      </c>
      <c r="S65" s="12"/>
      <c r="T65" s="5"/>
    </row>
    <row r="66" spans="1:20" ht="14.1" customHeight="1">
      <c r="A66" s="262"/>
      <c r="B66" s="123"/>
      <c r="C66" s="125"/>
      <c r="D66" s="158"/>
      <c r="E66" s="125"/>
      <c r="F66" s="124"/>
      <c r="G66" s="124"/>
      <c r="H66" s="124"/>
      <c r="I66" s="158"/>
      <c r="J66" s="124"/>
      <c r="K66" s="252" t="s">
        <v>636</v>
      </c>
      <c r="L66" s="252"/>
      <c r="M66" s="252"/>
      <c r="N66" s="252"/>
      <c r="O66" s="253"/>
      <c r="P66" s="128">
        <f>SUM(P56:P65)</f>
        <v>325739.42</v>
      </c>
      <c r="Q66" s="128">
        <f>SUM(Q56:Q65)</f>
        <v>0</v>
      </c>
      <c r="R66" s="136">
        <f>Q66-P66</f>
        <v>-325739.42</v>
      </c>
      <c r="S66" s="13"/>
      <c r="T66" s="13"/>
    </row>
    <row r="67" spans="1:20" s="38" customFormat="1" ht="28.5">
      <c r="A67" s="254" t="s">
        <v>1244</v>
      </c>
      <c r="B67" s="5">
        <v>1</v>
      </c>
      <c r="C67" s="114" t="s">
        <v>1536</v>
      </c>
      <c r="D67" s="114" t="s">
        <v>1536</v>
      </c>
      <c r="E67" s="118" t="s">
        <v>1537</v>
      </c>
      <c r="F67" s="37" t="s">
        <v>1538</v>
      </c>
      <c r="G67" s="52" t="str">
        <f>_xlfn.IFNA(IF(VLOOKUP($F67,'3.框架内物料'!$A:$E,2,0)=0,"请勿填写",VLOOKUP($F67,'3.框架内物料'!$A:$E,2,0)),"")</f>
        <v>请勿填写</v>
      </c>
      <c r="H67" s="173" t="str">
        <f>_xlfn.IFNA(VLOOKUP($F67,'3.框架内物料'!$A:$E,4,0),"")</f>
        <v>Onsite 人员-服务人员-项目总监-人员劳务费。不含住宿、交通、补贴等费用，每天不超过8小时</v>
      </c>
      <c r="I67" s="161" t="str">
        <f>_xlfn.IFNA(VLOOKUP($F67,'3.框架内物料'!$A:$E,5,0),"")</f>
        <v>人/天</v>
      </c>
      <c r="J67" s="27">
        <f>_xlfn.IFNA(VLOOKUP($F67,'3.框架内物料'!$A:$F,6,0),"")</f>
        <v>1060</v>
      </c>
      <c r="K67" s="66"/>
      <c r="L67" s="69">
        <v>1</v>
      </c>
      <c r="M67" s="69"/>
      <c r="N67" s="69">
        <v>9</v>
      </c>
      <c r="O67" s="69"/>
      <c r="P67" s="46">
        <f t="shared" ref="P67:P71" si="11">IFERROR(N67*L67*J67,0)</f>
        <v>9540</v>
      </c>
      <c r="Q67" s="46"/>
      <c r="R67" s="135">
        <f t="shared" ref="R67:R71" si="12">Q67-P67</f>
        <v>-9540</v>
      </c>
      <c r="S67" s="12"/>
      <c r="T67" s="12"/>
    </row>
    <row r="68" spans="1:20" s="38" customFormat="1" ht="28.5">
      <c r="A68" s="255"/>
      <c r="B68" s="5">
        <v>2</v>
      </c>
      <c r="C68" s="114" t="s">
        <v>1536</v>
      </c>
      <c r="D68" s="114" t="s">
        <v>1536</v>
      </c>
      <c r="E68" s="118" t="s">
        <v>1540</v>
      </c>
      <c r="F68" s="37" t="s">
        <v>1539</v>
      </c>
      <c r="G68" s="52" t="str">
        <f>_xlfn.IFNA(IF(VLOOKUP($F68,'3.框架内物料'!$A:$E,2,0)=0,"请勿填写",VLOOKUP($F68,'3.框架内物料'!$A:$E,2,0)),"")</f>
        <v>请勿填写</v>
      </c>
      <c r="H68" s="173" t="str">
        <f>_xlfn.IFNA(VLOOKUP($F68,'3.框架内物料'!$A:$E,4,0),"")</f>
        <v>Onsite 人员-服务人员-项目经理-人员劳务费。不含住宿、交通、补贴等费用，每天不超过8小时</v>
      </c>
      <c r="I68" s="161" t="str">
        <f>_xlfn.IFNA(VLOOKUP($F68,'3.框架内物料'!$A:$E,5,0),"")</f>
        <v>人/天</v>
      </c>
      <c r="J68" s="27">
        <f>_xlfn.IFNA(VLOOKUP($F68,'3.框架内物料'!$A:$F,6,0),"")</f>
        <v>848</v>
      </c>
      <c r="K68" s="66"/>
      <c r="L68" s="69">
        <v>1</v>
      </c>
      <c r="M68" s="69"/>
      <c r="N68" s="69">
        <v>9</v>
      </c>
      <c r="O68" s="69"/>
      <c r="P68" s="46">
        <f t="shared" si="11"/>
        <v>7632</v>
      </c>
      <c r="Q68" s="46"/>
      <c r="R68" s="135">
        <f t="shared" si="12"/>
        <v>-7632</v>
      </c>
      <c r="S68" s="12"/>
      <c r="T68" s="12"/>
    </row>
    <row r="69" spans="1:20" s="38" customFormat="1" ht="28.5">
      <c r="A69" s="255"/>
      <c r="B69" s="5">
        <v>3</v>
      </c>
      <c r="C69" s="114" t="s">
        <v>1536</v>
      </c>
      <c r="D69" s="114" t="s">
        <v>1536</v>
      </c>
      <c r="E69" s="118" t="s">
        <v>1541</v>
      </c>
      <c r="F69" s="37" t="s">
        <v>657</v>
      </c>
      <c r="G69" s="52" t="str">
        <f>_xlfn.IFNA(IF(VLOOKUP($F69,'3.框架内物料'!$A:$E,2,0)=0,"请勿填写",VLOOKUP($F69,'3.框架内物料'!$A:$E,2,0)),"")</f>
        <v>请勿填写</v>
      </c>
      <c r="H69" s="173" t="str">
        <f>_xlfn.IFNA(VLOOKUP($F69,'3.框架内物料'!$A:$E,4,0),"")</f>
        <v>Onsite 人员-服务人员-项目助理-人员劳务费。不含住宿、交通、补贴等费用，每天不超过8小时</v>
      </c>
      <c r="I69" s="161" t="str">
        <f>_xlfn.IFNA(VLOOKUP($F69,'3.框架内物料'!$A:$E,5,0),"")</f>
        <v>人/天</v>
      </c>
      <c r="J69" s="27">
        <f>_xlfn.IFNA(VLOOKUP($F69,'3.框架内物料'!$A:$F,6,0),"")</f>
        <v>530</v>
      </c>
      <c r="K69" s="66"/>
      <c r="L69" s="69">
        <v>5</v>
      </c>
      <c r="M69" s="69"/>
      <c r="N69" s="69">
        <v>9</v>
      </c>
      <c r="O69" s="69"/>
      <c r="P69" s="46">
        <f t="shared" ref="P69" si="13">IFERROR(N69*L69*J69,0)</f>
        <v>23850</v>
      </c>
      <c r="Q69" s="46"/>
      <c r="R69" s="135">
        <f t="shared" ref="R69" si="14">Q69-P69</f>
        <v>-23850</v>
      </c>
      <c r="S69" s="12"/>
      <c r="T69" s="12"/>
    </row>
    <row r="70" spans="1:20" s="38" customFormat="1" ht="28.5">
      <c r="A70" s="255"/>
      <c r="B70" s="5">
        <v>4</v>
      </c>
      <c r="C70" s="114" t="s">
        <v>1536</v>
      </c>
      <c r="D70" s="114" t="s">
        <v>1536</v>
      </c>
      <c r="E70" s="118" t="s">
        <v>1542</v>
      </c>
      <c r="F70" s="37" t="s">
        <v>658</v>
      </c>
      <c r="G70" s="52" t="str">
        <f>_xlfn.IFNA(IF(VLOOKUP($F70,'3.框架内物料'!$A:$E,2,0)=0,"请勿填写",VLOOKUP($F70,'3.框架内物料'!$A:$E,2,0)),"")</f>
        <v>请勿填写</v>
      </c>
      <c r="H70" s="173" t="str">
        <f>_xlfn.IFNA(VLOOKUP($F70,'3.框架内物料'!$A:$E,4,0),"")</f>
        <v>Onsite 人员-服务人员-地接上会服务人员-人员劳务费。不含住宿、交通、补贴等费用，每天不超过8小时</v>
      </c>
      <c r="I70" s="161" t="str">
        <f>_xlfn.IFNA(VLOOKUP($F70,'3.框架内物料'!$A:$E,5,0),"")</f>
        <v>人/天</v>
      </c>
      <c r="J70" s="27">
        <f>_xlfn.IFNA(VLOOKUP($F70,'3.框架内物料'!$A:$F,6,0),"")</f>
        <v>530</v>
      </c>
      <c r="K70" s="66"/>
      <c r="L70" s="69">
        <v>42</v>
      </c>
      <c r="M70" s="69"/>
      <c r="N70" s="69">
        <v>8</v>
      </c>
      <c r="O70" s="69"/>
      <c r="P70" s="46">
        <f t="shared" si="11"/>
        <v>178080</v>
      </c>
      <c r="Q70" s="46"/>
      <c r="R70" s="135">
        <f t="shared" si="12"/>
        <v>-178080</v>
      </c>
      <c r="S70" s="12" t="s">
        <v>1543</v>
      </c>
      <c r="T70" s="12"/>
    </row>
    <row r="71" spans="1:20" s="38" customFormat="1">
      <c r="A71" s="255"/>
      <c r="B71" s="5">
        <v>5</v>
      </c>
      <c r="C71" s="114"/>
      <c r="D71" s="5"/>
      <c r="E71" s="118"/>
      <c r="F71" s="40" t="s">
        <v>683</v>
      </c>
      <c r="G71" s="52" t="str">
        <f>IF(F71="框架外物料","请勿填写",IF(F71="据实结算","请勿填写",""))</f>
        <v>请勿填写</v>
      </c>
      <c r="H71" s="35"/>
      <c r="I71" s="10" t="s">
        <v>1304</v>
      </c>
      <c r="J71" s="186"/>
      <c r="K71" s="66"/>
      <c r="L71" s="69"/>
      <c r="M71" s="69"/>
      <c r="N71" s="69"/>
      <c r="O71" s="69"/>
      <c r="P71" s="46">
        <f t="shared" si="11"/>
        <v>0</v>
      </c>
      <c r="Q71" s="46"/>
      <c r="R71" s="135">
        <f t="shared" si="12"/>
        <v>0</v>
      </c>
      <c r="S71" s="12"/>
      <c r="T71" s="12"/>
    </row>
    <row r="72" spans="1:20" ht="14.1" customHeight="1">
      <c r="A72" s="256"/>
      <c r="B72" s="123"/>
      <c r="C72" s="125"/>
      <c r="D72" s="158"/>
      <c r="E72" s="125"/>
      <c r="F72" s="124"/>
      <c r="G72" s="124"/>
      <c r="H72" s="124"/>
      <c r="I72" s="158"/>
      <c r="J72" s="124"/>
      <c r="K72" s="252" t="s">
        <v>714</v>
      </c>
      <c r="L72" s="252"/>
      <c r="M72" s="252"/>
      <c r="N72" s="252"/>
      <c r="O72" s="253"/>
      <c r="P72" s="128">
        <f>SUM(P67:P71)</f>
        <v>219102</v>
      </c>
      <c r="Q72" s="128">
        <f>SUM(Q67:Q71)</f>
        <v>0</v>
      </c>
      <c r="R72" s="136">
        <f>Q72-P72</f>
        <v>-219102</v>
      </c>
      <c r="S72" s="13"/>
      <c r="T72" s="13"/>
    </row>
    <row r="73" spans="1:20" s="38" customFormat="1" ht="15" customHeight="1">
      <c r="A73" s="254" t="s">
        <v>1245</v>
      </c>
      <c r="B73" s="5">
        <v>1</v>
      </c>
      <c r="C73" s="114"/>
      <c r="D73" s="5"/>
      <c r="E73" s="118"/>
      <c r="F73" s="37"/>
      <c r="G73" s="52" t="str">
        <f>_xlfn.IFNA(IF(VLOOKUP($F73,'3.框架内物料'!$A:$E,2,0)=0,"请勿填写",VLOOKUP($F73,'3.框架内物料'!$A:$E,2,0)),"")</f>
        <v/>
      </c>
      <c r="H73" s="53" t="str">
        <f>_xlfn.IFNA(VLOOKUP($F73,'3.框架内物料'!$A:$E,4,0),"")</f>
        <v/>
      </c>
      <c r="I73" s="52" t="str">
        <f>_xlfn.IFNA(VLOOKUP($F73,'3.框架内物料'!$A:$E,5,0),"")</f>
        <v/>
      </c>
      <c r="J73" s="185" t="str">
        <f>_xlfn.IFNA(VLOOKUP($F73,'3.框架内物料'!$A:$F,6,0),"")</f>
        <v/>
      </c>
      <c r="K73" s="66"/>
      <c r="L73" s="69"/>
      <c r="M73" s="69"/>
      <c r="N73" s="69"/>
      <c r="O73" s="69"/>
      <c r="P73" s="46">
        <f t="shared" ref="P73:P77" si="15">IFERROR(N73*L73*J73,0)</f>
        <v>0</v>
      </c>
      <c r="Q73" s="46"/>
      <c r="R73" s="135">
        <f t="shared" ref="R73:R77" si="16">Q73-P73</f>
        <v>0</v>
      </c>
      <c r="S73" s="12"/>
      <c r="T73" s="12"/>
    </row>
    <row r="74" spans="1:20" s="38" customFormat="1">
      <c r="A74" s="255"/>
      <c r="B74" s="5">
        <v>2</v>
      </c>
      <c r="C74" s="114"/>
      <c r="D74" s="5"/>
      <c r="E74" s="118"/>
      <c r="F74" s="37"/>
      <c r="G74" s="52" t="str">
        <f>_xlfn.IFNA(IF(VLOOKUP($F74,'3.框架内物料'!$A:$E,2,0)=0,"请勿填写",VLOOKUP($F74,'3.框架内物料'!$A:$E,2,0)),"")</f>
        <v/>
      </c>
      <c r="H74" s="53" t="str">
        <f>_xlfn.IFNA(VLOOKUP($F74,'3.框架内物料'!$A:$E,4,0),"")</f>
        <v/>
      </c>
      <c r="I74" s="52" t="str">
        <f>_xlfn.IFNA(VLOOKUP($F74,'3.框架内物料'!$A:$E,5,0),"")</f>
        <v/>
      </c>
      <c r="J74" s="185" t="str">
        <f>_xlfn.IFNA(VLOOKUP($F74,'3.框架内物料'!$A:$F,6,0),"")</f>
        <v/>
      </c>
      <c r="K74" s="66"/>
      <c r="L74" s="69"/>
      <c r="M74" s="69"/>
      <c r="N74" s="69"/>
      <c r="O74" s="69"/>
      <c r="P74" s="46">
        <f t="shared" si="15"/>
        <v>0</v>
      </c>
      <c r="Q74" s="46"/>
      <c r="R74" s="135">
        <f t="shared" si="16"/>
        <v>0</v>
      </c>
      <c r="S74" s="12"/>
      <c r="T74" s="12"/>
    </row>
    <row r="75" spans="1:20" s="38" customFormat="1">
      <c r="A75" s="255"/>
      <c r="B75" s="5">
        <v>3</v>
      </c>
      <c r="C75" s="114"/>
      <c r="D75" s="5"/>
      <c r="E75" s="118"/>
      <c r="F75" s="37"/>
      <c r="G75" s="52" t="str">
        <f>_xlfn.IFNA(IF(VLOOKUP($F75,'3.框架内物料'!$A:$E,2,0)=0,"请勿填写",VLOOKUP($F75,'3.框架内物料'!$A:$E,2,0)),"")</f>
        <v/>
      </c>
      <c r="H75" s="53" t="str">
        <f>_xlfn.IFNA(VLOOKUP($F75,'3.框架内物料'!$A:$E,4,0),"")</f>
        <v/>
      </c>
      <c r="I75" s="52" t="str">
        <f>_xlfn.IFNA(VLOOKUP($F75,'3.框架内物料'!$A:$E,5,0),"")</f>
        <v/>
      </c>
      <c r="J75" s="185" t="str">
        <f>_xlfn.IFNA(VLOOKUP($F75,'3.框架内物料'!$A:$F,6,0),"")</f>
        <v/>
      </c>
      <c r="K75" s="66"/>
      <c r="L75" s="69"/>
      <c r="M75" s="69"/>
      <c r="N75" s="69"/>
      <c r="O75" s="69"/>
      <c r="P75" s="46">
        <f t="shared" ref="P75" si="17">IFERROR(N75*L75*J75,0)</f>
        <v>0</v>
      </c>
      <c r="Q75" s="46"/>
      <c r="R75" s="135">
        <f t="shared" ref="R75" si="18">Q75-P75</f>
        <v>0</v>
      </c>
      <c r="S75" s="12"/>
      <c r="T75" s="12"/>
    </row>
    <row r="76" spans="1:20" s="38" customFormat="1">
      <c r="A76" s="255"/>
      <c r="B76" s="5">
        <v>4</v>
      </c>
      <c r="C76" s="114"/>
      <c r="D76" s="5"/>
      <c r="E76" s="118"/>
      <c r="F76" s="37"/>
      <c r="G76" s="52" t="str">
        <f>_xlfn.IFNA(IF(VLOOKUP($F76,'3.框架内物料'!$A:$E,2,0)=0,"请勿填写",VLOOKUP($F76,'3.框架内物料'!$A:$E,2,0)),"")</f>
        <v/>
      </c>
      <c r="H76" s="53" t="str">
        <f>_xlfn.IFNA(VLOOKUP($F76,'3.框架内物料'!$A:$E,4,0),"")</f>
        <v/>
      </c>
      <c r="I76" s="52" t="str">
        <f>_xlfn.IFNA(VLOOKUP($F76,'3.框架内物料'!$A:$E,5,0),"")</f>
        <v/>
      </c>
      <c r="J76" s="185" t="str">
        <f>_xlfn.IFNA(VLOOKUP($F76,'3.框架内物料'!$A:$F,6,0),"")</f>
        <v/>
      </c>
      <c r="K76" s="66"/>
      <c r="L76" s="69"/>
      <c r="M76" s="69"/>
      <c r="N76" s="69"/>
      <c r="O76" s="69"/>
      <c r="P76" s="46">
        <f t="shared" si="15"/>
        <v>0</v>
      </c>
      <c r="Q76" s="46"/>
      <c r="R76" s="135">
        <f t="shared" si="16"/>
        <v>0</v>
      </c>
      <c r="S76" s="12"/>
      <c r="T76" s="12"/>
    </row>
    <row r="77" spans="1:20" s="38" customFormat="1">
      <c r="A77" s="255"/>
      <c r="B77" s="5">
        <v>5</v>
      </c>
      <c r="C77" s="114"/>
      <c r="D77" s="5"/>
      <c r="E77" s="118"/>
      <c r="F77" s="40" t="s">
        <v>683</v>
      </c>
      <c r="G77" s="52" t="str">
        <f>IF(F77="框架外物料","请勿填写",IF(F77="据实结算","请勿填写",""))</f>
        <v>请勿填写</v>
      </c>
      <c r="H77" s="35"/>
      <c r="I77" s="10" t="s">
        <v>1304</v>
      </c>
      <c r="J77" s="186"/>
      <c r="K77" s="66"/>
      <c r="L77" s="69"/>
      <c r="M77" s="69"/>
      <c r="N77" s="69"/>
      <c r="O77" s="69"/>
      <c r="P77" s="46">
        <f t="shared" si="15"/>
        <v>0</v>
      </c>
      <c r="Q77" s="46"/>
      <c r="R77" s="135">
        <f t="shared" si="16"/>
        <v>0</v>
      </c>
      <c r="S77" s="12"/>
      <c r="T77" s="12"/>
    </row>
    <row r="78" spans="1:20" ht="14.1" customHeight="1">
      <c r="A78" s="256"/>
      <c r="B78" s="123"/>
      <c r="C78" s="125"/>
      <c r="D78" s="158"/>
      <c r="E78" s="125"/>
      <c r="F78" s="124"/>
      <c r="G78" s="124"/>
      <c r="H78" s="124"/>
      <c r="I78" s="158"/>
      <c r="J78" s="124"/>
      <c r="K78" s="252" t="s">
        <v>715</v>
      </c>
      <c r="L78" s="252"/>
      <c r="M78" s="252"/>
      <c r="N78" s="252"/>
      <c r="O78" s="253"/>
      <c r="P78" s="128">
        <f>SUM(P73:P77)</f>
        <v>0</v>
      </c>
      <c r="Q78" s="128">
        <f>SUM(Q73:Q77)</f>
        <v>0</v>
      </c>
      <c r="R78" s="136">
        <f t="shared" ref="R78" si="19">Q78-P78</f>
        <v>0</v>
      </c>
      <c r="S78" s="13"/>
      <c r="T78" s="13"/>
    </row>
    <row r="79" spans="1:20" s="38" customFormat="1" ht="15" customHeight="1">
      <c r="A79" s="254" t="s">
        <v>1246</v>
      </c>
      <c r="B79" s="5">
        <v>1</v>
      </c>
      <c r="C79" s="168" t="s">
        <v>1544</v>
      </c>
      <c r="D79" s="168" t="s">
        <v>1544</v>
      </c>
      <c r="E79" s="180" t="s">
        <v>1545</v>
      </c>
      <c r="F79" s="37" t="s">
        <v>582</v>
      </c>
      <c r="G79" s="52" t="str">
        <f>_xlfn.IFNA(IF(VLOOKUP($F79,'3.框架内物料'!$A:$E,2,0)=0,"请勿填写",VLOOKUP($F79,'3.框架内物料'!$A:$E,2,0)),"")</f>
        <v>请勿填写</v>
      </c>
      <c r="H79" s="173" t="str">
        <f>_xlfn.IFNA(VLOOKUP($F79,'3.框架内物料'!$A:$E,4,0),"")</f>
        <v>机酒餐-交通费-机票-机票-经济舱，不能为全价票</v>
      </c>
      <c r="I79" s="161" t="str">
        <f>_xlfn.IFNA(VLOOKUP($F79,'3.框架内物料'!$A:$E,5,0),"")</f>
        <v>次</v>
      </c>
      <c r="J79" s="187">
        <v>1300</v>
      </c>
      <c r="K79" s="166"/>
      <c r="L79" s="167">
        <v>260</v>
      </c>
      <c r="M79" s="167"/>
      <c r="N79" s="167">
        <v>2</v>
      </c>
      <c r="O79" s="69"/>
      <c r="P79" s="169">
        <f t="shared" ref="P79:P140" si="20">IFERROR(N79*L79*J79,0)</f>
        <v>676000</v>
      </c>
      <c r="Q79" s="46"/>
      <c r="R79" s="135">
        <f t="shared" ref="R79:R140" si="21">Q79-P79</f>
        <v>-676000</v>
      </c>
      <c r="S79" s="164"/>
      <c r="T79" s="12"/>
    </row>
    <row r="80" spans="1:20" s="38" customFormat="1" ht="15" customHeight="1">
      <c r="A80" s="255"/>
      <c r="B80" s="5">
        <v>2</v>
      </c>
      <c r="C80" s="168" t="s">
        <v>1544</v>
      </c>
      <c r="D80" s="168" t="s">
        <v>1544</v>
      </c>
      <c r="E80" s="181" t="s">
        <v>1546</v>
      </c>
      <c r="F80" s="37" t="s">
        <v>582</v>
      </c>
      <c r="G80" s="52"/>
      <c r="H80" s="173" t="str">
        <f>_xlfn.IFNA(VLOOKUP($F80,'3.框架内物料'!$A:$E,4,0),"")</f>
        <v>机酒餐-交通费-机票-机票-经济舱，不能为全价票</v>
      </c>
      <c r="I80" s="161" t="str">
        <f>_xlfn.IFNA(VLOOKUP($F80,'3.框架内物料'!$A:$E,5,0),"")</f>
        <v>次</v>
      </c>
      <c r="J80" s="187">
        <v>1300</v>
      </c>
      <c r="K80" s="166"/>
      <c r="L80" s="167">
        <v>2</v>
      </c>
      <c r="M80" s="167"/>
      <c r="N80" s="167">
        <v>2</v>
      </c>
      <c r="O80" s="69"/>
      <c r="P80" s="169">
        <f t="shared" si="20"/>
        <v>5200</v>
      </c>
      <c r="Q80" s="46"/>
      <c r="R80" s="135">
        <f t="shared" si="21"/>
        <v>-5200</v>
      </c>
      <c r="S80" s="206" t="s">
        <v>1546</v>
      </c>
      <c r="T80" s="12"/>
    </row>
    <row r="81" spans="1:20" s="38" customFormat="1" ht="15" customHeight="1">
      <c r="A81" s="255"/>
      <c r="B81" s="5">
        <v>3</v>
      </c>
      <c r="C81" s="168" t="s">
        <v>1544</v>
      </c>
      <c r="D81" s="168" t="s">
        <v>1544</v>
      </c>
      <c r="E81" s="181" t="s">
        <v>1641</v>
      </c>
      <c r="F81" s="37" t="s">
        <v>614</v>
      </c>
      <c r="G81" s="52"/>
      <c r="H81" s="173" t="str">
        <f>_xlfn.IFNA(VLOOKUP($F81,'3.框架内物料'!$A:$E,4,0),"")</f>
        <v>机酒餐-交通费-机票-机票-经济舱，不能为全价票</v>
      </c>
      <c r="I81" s="161" t="str">
        <f>_xlfn.IFNA(VLOOKUP($F81,'3.框架内物料'!$A:$E,5,0),"")</f>
        <v>次</v>
      </c>
      <c r="J81" s="187">
        <v>1300</v>
      </c>
      <c r="K81" s="166"/>
      <c r="L81" s="167">
        <v>9</v>
      </c>
      <c r="M81" s="167"/>
      <c r="N81" s="167">
        <v>2</v>
      </c>
      <c r="O81" s="69"/>
      <c r="P81" s="169">
        <f t="shared" si="20"/>
        <v>23400</v>
      </c>
      <c r="Q81" s="46"/>
      <c r="R81" s="135">
        <f t="shared" si="21"/>
        <v>-23400</v>
      </c>
      <c r="S81" s="206"/>
      <c r="T81" s="12"/>
    </row>
    <row r="82" spans="1:20" s="38" customFormat="1" ht="15" customHeight="1">
      <c r="A82" s="255"/>
      <c r="B82" s="5">
        <v>4</v>
      </c>
      <c r="C82" s="168" t="s">
        <v>1544</v>
      </c>
      <c r="D82" s="168" t="s">
        <v>1544</v>
      </c>
      <c r="E82" s="180" t="s">
        <v>1547</v>
      </c>
      <c r="F82" s="37"/>
      <c r="G82" s="52"/>
      <c r="H82" s="173" t="s">
        <v>1681</v>
      </c>
      <c r="I82" s="161" t="str">
        <f>_xlfn.IFNA(VLOOKUP($F82,'3.框架内物料'!$A:$E,5,0),"")</f>
        <v/>
      </c>
      <c r="J82" s="187">
        <v>3700</v>
      </c>
      <c r="K82" s="166"/>
      <c r="L82" s="167">
        <v>100</v>
      </c>
      <c r="M82" s="167"/>
      <c r="N82" s="167">
        <v>2</v>
      </c>
      <c r="O82" s="69"/>
      <c r="P82" s="169">
        <f t="shared" si="20"/>
        <v>740000</v>
      </c>
      <c r="Q82" s="46"/>
      <c r="R82" s="135">
        <f t="shared" si="21"/>
        <v>-740000</v>
      </c>
      <c r="S82" s="206"/>
      <c r="T82" s="12"/>
    </row>
    <row r="83" spans="1:20" s="38" customFormat="1">
      <c r="A83" s="255"/>
      <c r="B83" s="5">
        <v>5</v>
      </c>
      <c r="C83" s="168" t="s">
        <v>1544</v>
      </c>
      <c r="D83" s="168" t="s">
        <v>1544</v>
      </c>
      <c r="E83" s="180" t="s">
        <v>1548</v>
      </c>
      <c r="F83" s="37" t="s">
        <v>583</v>
      </c>
      <c r="G83" s="52" t="str">
        <f>_xlfn.IFNA(IF(VLOOKUP($F83,'3.框架内物料'!$A:$E,2,0)=0,"请勿填写",VLOOKUP($F83,'3.框架内物料'!$A:$E,2,0)),"")</f>
        <v>请勿填写</v>
      </c>
      <c r="H83" s="173" t="str">
        <f>_xlfn.IFNA(VLOOKUP($F83,'3.框架内物料'!$A:$E,4,0),"")</f>
        <v>机酒餐-交通费-高铁-高铁-二等座</v>
      </c>
      <c r="I83" s="161" t="str">
        <f>_xlfn.IFNA(VLOOKUP($F83,'3.框架内物料'!$A:$E,5,0),"")</f>
        <v>次</v>
      </c>
      <c r="J83" s="187">
        <v>600</v>
      </c>
      <c r="K83" s="166"/>
      <c r="L83" s="167">
        <v>20</v>
      </c>
      <c r="M83" s="167"/>
      <c r="N83" s="167">
        <v>2</v>
      </c>
      <c r="O83" s="69"/>
      <c r="P83" s="169">
        <f t="shared" si="20"/>
        <v>24000</v>
      </c>
      <c r="Q83" s="46"/>
      <c r="R83" s="135">
        <f t="shared" si="21"/>
        <v>-24000</v>
      </c>
      <c r="S83" s="164"/>
      <c r="T83" s="12"/>
    </row>
    <row r="84" spans="1:20" s="38" customFormat="1" ht="28.5">
      <c r="A84" s="255"/>
      <c r="B84" s="5">
        <v>6</v>
      </c>
      <c r="C84" s="156" t="s">
        <v>1549</v>
      </c>
      <c r="D84" s="156" t="s">
        <v>1549</v>
      </c>
      <c r="E84" s="118" t="s">
        <v>1550</v>
      </c>
      <c r="F84" s="37" t="s">
        <v>584</v>
      </c>
      <c r="G84" s="52" t="str">
        <f>_xlfn.IFNA(IF(VLOOKUP($F84,'3.框架内物料'!$A:$E,2,0)=0,"请勿填写",VLOOKUP($F84,'3.框架内物料'!$A:$E,2,0)),"")</f>
        <v>请勿填写</v>
      </c>
      <c r="H84" s="173" t="str">
        <f>_xlfn.IFNA(VLOOKUP($F84,'3.框架内物料'!$A:$E,4,0),"")</f>
        <v>机酒餐-交通费-市内交通-打车-出租车、快车实报实销；不能为高档车辆</v>
      </c>
      <c r="I84" s="161" t="str">
        <f>_xlfn.IFNA(VLOOKUP($F84,'3.框架内物料'!$A:$E,5,0),"")</f>
        <v>次</v>
      </c>
      <c r="J84" s="188">
        <v>100</v>
      </c>
      <c r="K84" s="12"/>
      <c r="L84" s="10">
        <v>9</v>
      </c>
      <c r="M84" s="10"/>
      <c r="N84" s="10">
        <v>7</v>
      </c>
      <c r="O84" s="69"/>
      <c r="P84" s="169">
        <f t="shared" si="20"/>
        <v>6300</v>
      </c>
      <c r="Q84" s="46"/>
      <c r="R84" s="135">
        <f t="shared" si="21"/>
        <v>-6300</v>
      </c>
      <c r="S84" s="39" t="s">
        <v>1551</v>
      </c>
      <c r="T84" s="12"/>
    </row>
    <row r="85" spans="1:20" s="38" customFormat="1" ht="42.75">
      <c r="A85" s="255"/>
      <c r="B85" s="5">
        <v>7</v>
      </c>
      <c r="C85" s="156" t="s">
        <v>1552</v>
      </c>
      <c r="D85" s="12" t="s">
        <v>1552</v>
      </c>
      <c r="E85" s="118" t="s">
        <v>1554</v>
      </c>
      <c r="F85" s="37" t="s">
        <v>615</v>
      </c>
      <c r="G85" s="52" t="str">
        <f>_xlfn.IFNA(IF(VLOOKUP($F85,'3.框架内物料'!$A:$E,2,0)=0,"请勿填写",VLOOKUP($F85,'3.框架内物料'!$A:$E,2,0)),"")</f>
        <v>请勿填写</v>
      </c>
      <c r="H85" s="173" t="str">
        <f>_xlfn.IFNA(VLOOKUP($F85,'3.框架内物料'!$A:$E,4,0),"")</f>
        <v>机酒餐-住宿费-酒店-酒店-二人一间，一线城市北、上、广、深，不得超过500元/间/晚
二、三线城市不得超过400元/间/晚，数量上限为20夜/城市</v>
      </c>
      <c r="I85" s="161" t="str">
        <f>_xlfn.IFNA(VLOOKUP($F85,'3.框架内物料'!$A:$E,5,0),"")</f>
        <v>天</v>
      </c>
      <c r="J85" s="188">
        <v>400</v>
      </c>
      <c r="K85" s="12"/>
      <c r="L85" s="10">
        <v>2</v>
      </c>
      <c r="M85" s="10"/>
      <c r="N85" s="10">
        <v>2</v>
      </c>
      <c r="O85" s="10"/>
      <c r="P85" s="169">
        <f t="shared" si="20"/>
        <v>1600</v>
      </c>
      <c r="Q85" s="46"/>
      <c r="R85" s="135">
        <f t="shared" si="21"/>
        <v>-1600</v>
      </c>
      <c r="S85" s="39" t="s">
        <v>1554</v>
      </c>
      <c r="T85" s="12"/>
    </row>
    <row r="86" spans="1:20" s="38" customFormat="1" ht="42.75">
      <c r="A86" s="255"/>
      <c r="B86" s="5">
        <v>8</v>
      </c>
      <c r="C86" s="156" t="s">
        <v>1552</v>
      </c>
      <c r="D86" s="12" t="s">
        <v>1552</v>
      </c>
      <c r="E86" s="118" t="s">
        <v>1553</v>
      </c>
      <c r="F86" s="37" t="s">
        <v>615</v>
      </c>
      <c r="G86" s="52" t="str">
        <f>_xlfn.IFNA(IF(VLOOKUP($F86,'3.框架内物料'!$A:$E,2,0)=0,"请勿填写",VLOOKUP($F86,'3.框架内物料'!$A:$E,2,0)),"")</f>
        <v>请勿填写</v>
      </c>
      <c r="H86" s="173" t="str">
        <f>_xlfn.IFNA(VLOOKUP($F86,'3.框架内物料'!$A:$E,4,0),"")</f>
        <v>机酒餐-住宿费-酒店-酒店-二人一间，一线城市北、上、广、深，不得超过500元/间/晚
二、三线城市不得超过400元/间/晚，数量上限为20夜/城市</v>
      </c>
      <c r="I86" s="161" t="str">
        <f>_xlfn.IFNA(VLOOKUP($F86,'3.框架内物料'!$A:$E,5,0),"")</f>
        <v>天</v>
      </c>
      <c r="J86" s="188">
        <v>400</v>
      </c>
      <c r="K86" s="12"/>
      <c r="L86" s="10">
        <v>6</v>
      </c>
      <c r="M86" s="10"/>
      <c r="N86" s="10">
        <v>9</v>
      </c>
      <c r="O86" s="10"/>
      <c r="P86" s="169">
        <f t="shared" si="20"/>
        <v>21600</v>
      </c>
      <c r="Q86" s="46"/>
      <c r="R86" s="135">
        <f t="shared" si="21"/>
        <v>-21600</v>
      </c>
      <c r="S86" s="39"/>
      <c r="T86" s="12"/>
    </row>
    <row r="87" spans="1:20" s="38" customFormat="1" ht="28.5">
      <c r="A87" s="255"/>
      <c r="B87" s="5">
        <v>9</v>
      </c>
      <c r="C87" s="114" t="s">
        <v>1555</v>
      </c>
      <c r="D87" s="114" t="s">
        <v>1555</v>
      </c>
      <c r="E87" s="118" t="s">
        <v>1556</v>
      </c>
      <c r="F87" s="37" t="s">
        <v>616</v>
      </c>
      <c r="G87" s="52" t="str">
        <f>_xlfn.IFNA(IF(VLOOKUP($F87,'3.框架内物料'!$A:$E,2,0)=0,"请勿填写",VLOOKUP($F87,'3.框架内物料'!$A:$E,2,0)),"")</f>
        <v>请勿填写</v>
      </c>
      <c r="H87" s="173" t="str">
        <f>_xlfn.IFNA(VLOOKUP($F87,'3.框架内物料'!$A:$E,4,0),"")</f>
        <v>机酒餐-餐费-餐费-餐费-乙方人员餐费不得超过100元/人/天
已含餐费的第三方人员不得重复收费</v>
      </c>
      <c r="I87" s="161" t="str">
        <f>_xlfn.IFNA(VLOOKUP($F87,'3.框架内物料'!$A:$E,5,0),"")</f>
        <v>天</v>
      </c>
      <c r="J87" s="188">
        <v>100</v>
      </c>
      <c r="K87" s="66"/>
      <c r="L87" s="10">
        <v>9</v>
      </c>
      <c r="M87" s="10"/>
      <c r="N87" s="10">
        <v>9</v>
      </c>
      <c r="O87" s="69"/>
      <c r="P87" s="169">
        <f t="shared" si="20"/>
        <v>8100</v>
      </c>
      <c r="Q87" s="46"/>
      <c r="R87" s="135">
        <f t="shared" si="21"/>
        <v>-8100</v>
      </c>
      <c r="S87" s="39"/>
      <c r="T87" s="12"/>
    </row>
    <row r="88" spans="1:20" s="38" customFormat="1">
      <c r="A88" s="255"/>
      <c r="B88" s="5">
        <v>10</v>
      </c>
      <c r="C88" s="194" t="s">
        <v>1552</v>
      </c>
      <c r="D88" s="194" t="s">
        <v>1552</v>
      </c>
      <c r="E88" s="180" t="s">
        <v>1679</v>
      </c>
      <c r="F88" s="195" t="s">
        <v>682</v>
      </c>
      <c r="G88" s="52"/>
      <c r="H88" s="173" t="s">
        <v>1690</v>
      </c>
      <c r="I88" s="161" t="s">
        <v>1558</v>
      </c>
      <c r="J88" s="188">
        <v>1000</v>
      </c>
      <c r="K88" s="66"/>
      <c r="L88" s="10">
        <v>30</v>
      </c>
      <c r="M88" s="10"/>
      <c r="N88" s="10">
        <v>4</v>
      </c>
      <c r="O88" s="69"/>
      <c r="P88" s="169">
        <f t="shared" si="20"/>
        <v>120000</v>
      </c>
      <c r="Q88" s="46"/>
      <c r="R88" s="135">
        <f t="shared" si="21"/>
        <v>-120000</v>
      </c>
      <c r="S88" s="39"/>
      <c r="T88" s="12"/>
    </row>
    <row r="89" spans="1:20" s="204" customFormat="1">
      <c r="A89" s="255"/>
      <c r="B89" s="5">
        <v>11</v>
      </c>
      <c r="C89" s="194" t="s">
        <v>1552</v>
      </c>
      <c r="D89" s="194" t="s">
        <v>1552</v>
      </c>
      <c r="E89" s="180" t="s">
        <v>1564</v>
      </c>
      <c r="F89" s="195" t="s">
        <v>682</v>
      </c>
      <c r="G89" s="196"/>
      <c r="H89" s="197" t="s">
        <v>1557</v>
      </c>
      <c r="I89" s="198" t="s">
        <v>1558</v>
      </c>
      <c r="J89" s="199">
        <v>1300</v>
      </c>
      <c r="K89" s="166"/>
      <c r="L89" s="167">
        <v>58</v>
      </c>
      <c r="M89" s="167"/>
      <c r="N89" s="167">
        <v>2</v>
      </c>
      <c r="O89" s="200"/>
      <c r="P89" s="201">
        <f t="shared" si="20"/>
        <v>150800</v>
      </c>
      <c r="Q89" s="202"/>
      <c r="R89" s="203">
        <f t="shared" si="21"/>
        <v>-150800</v>
      </c>
      <c r="S89" s="174"/>
      <c r="T89" s="166"/>
    </row>
    <row r="90" spans="1:20" s="204" customFormat="1">
      <c r="A90" s="255"/>
      <c r="B90" s="5">
        <v>12</v>
      </c>
      <c r="C90" s="194" t="s">
        <v>1552</v>
      </c>
      <c r="D90" s="194" t="s">
        <v>1552</v>
      </c>
      <c r="E90" s="180" t="s">
        <v>1564</v>
      </c>
      <c r="F90" s="195" t="s">
        <v>682</v>
      </c>
      <c r="G90" s="196"/>
      <c r="H90" s="197" t="s">
        <v>1559</v>
      </c>
      <c r="I90" s="198" t="s">
        <v>1558</v>
      </c>
      <c r="J90" s="199">
        <v>1800</v>
      </c>
      <c r="K90" s="166"/>
      <c r="L90" s="167">
        <v>35</v>
      </c>
      <c r="M90" s="167"/>
      <c r="N90" s="167">
        <v>3</v>
      </c>
      <c r="O90" s="200"/>
      <c r="P90" s="201">
        <f t="shared" si="20"/>
        <v>189000</v>
      </c>
      <c r="Q90" s="202"/>
      <c r="R90" s="203">
        <f t="shared" si="21"/>
        <v>-189000</v>
      </c>
      <c r="S90" s="174"/>
      <c r="T90" s="166"/>
    </row>
    <row r="91" spans="1:20" s="204" customFormat="1">
      <c r="A91" s="255"/>
      <c r="B91" s="5">
        <v>13</v>
      </c>
      <c r="C91" s="194" t="s">
        <v>1552</v>
      </c>
      <c r="D91" s="194" t="s">
        <v>1552</v>
      </c>
      <c r="E91" s="180" t="s">
        <v>1564</v>
      </c>
      <c r="F91" s="195" t="s">
        <v>682</v>
      </c>
      <c r="G91" s="196"/>
      <c r="H91" s="197" t="s">
        <v>1559</v>
      </c>
      <c r="I91" s="198" t="s">
        <v>1558</v>
      </c>
      <c r="J91" s="199">
        <v>3100</v>
      </c>
      <c r="K91" s="166"/>
      <c r="L91" s="167">
        <v>7</v>
      </c>
      <c r="M91" s="167"/>
      <c r="N91" s="167">
        <v>2</v>
      </c>
      <c r="O91" s="200"/>
      <c r="P91" s="201">
        <f t="shared" si="20"/>
        <v>43400</v>
      </c>
      <c r="Q91" s="202"/>
      <c r="R91" s="203">
        <f t="shared" si="21"/>
        <v>-43400</v>
      </c>
      <c r="S91" s="174"/>
      <c r="T91" s="166"/>
    </row>
    <row r="92" spans="1:20" s="38" customFormat="1">
      <c r="A92" s="255"/>
      <c r="B92" s="5">
        <v>14</v>
      </c>
      <c r="C92" s="114" t="s">
        <v>1552</v>
      </c>
      <c r="D92" s="114" t="s">
        <v>1552</v>
      </c>
      <c r="E92" s="118" t="s">
        <v>1565</v>
      </c>
      <c r="F92" s="195" t="s">
        <v>682</v>
      </c>
      <c r="G92" s="196"/>
      <c r="H92" s="170" t="s">
        <v>1656</v>
      </c>
      <c r="I92" s="161" t="s">
        <v>1558</v>
      </c>
      <c r="J92" s="171">
        <v>800</v>
      </c>
      <c r="K92" s="12"/>
      <c r="L92" s="10">
        <v>25</v>
      </c>
      <c r="M92" s="10"/>
      <c r="N92" s="10">
        <v>7</v>
      </c>
      <c r="O92" s="69"/>
      <c r="P92" s="162">
        <f t="shared" si="20"/>
        <v>140000</v>
      </c>
      <c r="Q92" s="46"/>
      <c r="R92" s="205">
        <f t="shared" si="21"/>
        <v>-140000</v>
      </c>
      <c r="S92" s="39"/>
      <c r="T92" s="12"/>
    </row>
    <row r="93" spans="1:20" s="38" customFormat="1">
      <c r="A93" s="255"/>
      <c r="B93" s="5">
        <v>15</v>
      </c>
      <c r="C93" s="114" t="s">
        <v>1552</v>
      </c>
      <c r="D93" s="114" t="s">
        <v>1552</v>
      </c>
      <c r="E93" s="118" t="s">
        <v>1565</v>
      </c>
      <c r="F93" s="195" t="s">
        <v>682</v>
      </c>
      <c r="G93" s="196"/>
      <c r="H93" s="170" t="s">
        <v>1657</v>
      </c>
      <c r="I93" s="161" t="s">
        <v>1558</v>
      </c>
      <c r="J93" s="171">
        <v>900</v>
      </c>
      <c r="K93" s="12"/>
      <c r="L93" s="10">
        <v>60</v>
      </c>
      <c r="M93" s="10"/>
      <c r="N93" s="10">
        <v>6</v>
      </c>
      <c r="O93" s="69"/>
      <c r="P93" s="162">
        <f t="shared" ref="P93:P94" si="22">IFERROR(N93*L93*J93,0)</f>
        <v>324000</v>
      </c>
      <c r="Q93" s="46"/>
      <c r="R93" s="205">
        <f t="shared" ref="R93:R94" si="23">Q93-P93</f>
        <v>-324000</v>
      </c>
      <c r="S93" s="39"/>
      <c r="T93" s="12"/>
    </row>
    <row r="94" spans="1:20" s="38" customFormat="1">
      <c r="A94" s="255"/>
      <c r="B94" s="5">
        <v>16</v>
      </c>
      <c r="C94" s="114" t="s">
        <v>1552</v>
      </c>
      <c r="D94" s="114" t="s">
        <v>1552</v>
      </c>
      <c r="E94" s="118" t="s">
        <v>1565</v>
      </c>
      <c r="F94" s="195" t="s">
        <v>682</v>
      </c>
      <c r="G94" s="196"/>
      <c r="H94" s="170" t="s">
        <v>1658</v>
      </c>
      <c r="I94" s="161" t="s">
        <v>1558</v>
      </c>
      <c r="J94" s="171">
        <v>950</v>
      </c>
      <c r="K94" s="12"/>
      <c r="L94" s="10">
        <v>100</v>
      </c>
      <c r="M94" s="10"/>
      <c r="N94" s="10">
        <v>6</v>
      </c>
      <c r="O94" s="69"/>
      <c r="P94" s="162">
        <f t="shared" si="22"/>
        <v>570000</v>
      </c>
      <c r="Q94" s="46"/>
      <c r="R94" s="205">
        <f t="shared" si="23"/>
        <v>-570000</v>
      </c>
      <c r="S94" s="39"/>
      <c r="T94" s="12"/>
    </row>
    <row r="95" spans="1:20" s="38" customFormat="1">
      <c r="A95" s="255"/>
      <c r="B95" s="5">
        <v>17</v>
      </c>
      <c r="C95" s="114" t="s">
        <v>1552</v>
      </c>
      <c r="D95" s="114" t="s">
        <v>1552</v>
      </c>
      <c r="E95" s="118" t="s">
        <v>1565</v>
      </c>
      <c r="F95" s="195" t="s">
        <v>682</v>
      </c>
      <c r="G95" s="196"/>
      <c r="H95" s="170" t="s">
        <v>1659</v>
      </c>
      <c r="I95" s="161" t="s">
        <v>1558</v>
      </c>
      <c r="J95" s="171">
        <v>1050</v>
      </c>
      <c r="K95" s="12"/>
      <c r="L95" s="10">
        <v>15</v>
      </c>
      <c r="M95" s="10"/>
      <c r="N95" s="10">
        <v>7</v>
      </c>
      <c r="O95" s="69"/>
      <c r="P95" s="162">
        <f t="shared" si="20"/>
        <v>110250</v>
      </c>
      <c r="Q95" s="46"/>
      <c r="R95" s="205">
        <f t="shared" si="21"/>
        <v>-110250</v>
      </c>
      <c r="S95" s="39"/>
      <c r="T95" s="12"/>
    </row>
    <row r="96" spans="1:20" s="38" customFormat="1">
      <c r="A96" s="255"/>
      <c r="B96" s="5">
        <v>18</v>
      </c>
      <c r="C96" s="114" t="s">
        <v>1552</v>
      </c>
      <c r="D96" s="114" t="s">
        <v>1552</v>
      </c>
      <c r="E96" s="118" t="s">
        <v>1565</v>
      </c>
      <c r="F96" s="195" t="s">
        <v>682</v>
      </c>
      <c r="G96" s="196"/>
      <c r="H96" s="170" t="s">
        <v>1660</v>
      </c>
      <c r="I96" s="161" t="s">
        <v>1558</v>
      </c>
      <c r="J96" s="171">
        <v>1450</v>
      </c>
      <c r="K96" s="12"/>
      <c r="L96" s="10">
        <v>50</v>
      </c>
      <c r="M96" s="10"/>
      <c r="N96" s="10">
        <v>7</v>
      </c>
      <c r="O96" s="69"/>
      <c r="P96" s="162">
        <f t="shared" ref="P96" si="24">IFERROR(N96*L96*J96,0)</f>
        <v>507500</v>
      </c>
      <c r="Q96" s="46"/>
      <c r="R96" s="205">
        <f t="shared" ref="R96" si="25">Q96-P96</f>
        <v>-507500</v>
      </c>
      <c r="S96" s="39"/>
      <c r="T96" s="12"/>
    </row>
    <row r="97" spans="1:20" s="38" customFormat="1">
      <c r="A97" s="255"/>
      <c r="B97" s="5">
        <v>19</v>
      </c>
      <c r="C97" s="114" t="s">
        <v>1566</v>
      </c>
      <c r="D97" s="114" t="s">
        <v>1566</v>
      </c>
      <c r="E97" s="118" t="s">
        <v>1567</v>
      </c>
      <c r="F97" s="195" t="s">
        <v>682</v>
      </c>
      <c r="G97" s="196"/>
      <c r="H97" s="170" t="s">
        <v>1560</v>
      </c>
      <c r="I97" s="161" t="s">
        <v>1505</v>
      </c>
      <c r="J97" s="171">
        <f>300*1.06</f>
        <v>318</v>
      </c>
      <c r="K97" s="12"/>
      <c r="L97" s="10">
        <v>280</v>
      </c>
      <c r="M97" s="10"/>
      <c r="N97" s="10">
        <v>1</v>
      </c>
      <c r="O97" s="69"/>
      <c r="P97" s="169">
        <f t="shared" si="20"/>
        <v>89040</v>
      </c>
      <c r="Q97" s="46"/>
      <c r="R97" s="135">
        <f t="shared" si="21"/>
        <v>-89040</v>
      </c>
      <c r="S97" s="39"/>
      <c r="T97" s="12"/>
    </row>
    <row r="98" spans="1:20" s="38" customFormat="1">
      <c r="A98" s="255"/>
      <c r="B98" s="5">
        <v>20</v>
      </c>
      <c r="C98" s="114" t="s">
        <v>1566</v>
      </c>
      <c r="D98" s="114" t="s">
        <v>1566</v>
      </c>
      <c r="E98" s="118" t="s">
        <v>1568</v>
      </c>
      <c r="F98" s="195" t="s">
        <v>682</v>
      </c>
      <c r="G98" s="52"/>
      <c r="H98" s="170" t="s">
        <v>1561</v>
      </c>
      <c r="I98" s="161" t="s">
        <v>1527</v>
      </c>
      <c r="J98" s="171">
        <f>20*1.06</f>
        <v>21.200000000000003</v>
      </c>
      <c r="K98" s="12"/>
      <c r="L98" s="10">
        <v>280</v>
      </c>
      <c r="M98" s="10"/>
      <c r="N98" s="10">
        <v>1</v>
      </c>
      <c r="O98" s="69"/>
      <c r="P98" s="169">
        <f t="shared" si="20"/>
        <v>5936.0000000000009</v>
      </c>
      <c r="Q98" s="46"/>
      <c r="R98" s="135">
        <f t="shared" si="21"/>
        <v>-5936.0000000000009</v>
      </c>
      <c r="S98" s="39"/>
      <c r="T98" s="12"/>
    </row>
    <row r="99" spans="1:20" s="38" customFormat="1">
      <c r="A99" s="255"/>
      <c r="B99" s="5">
        <v>21</v>
      </c>
      <c r="C99" s="114" t="s">
        <v>1566</v>
      </c>
      <c r="D99" s="114" t="s">
        <v>1566</v>
      </c>
      <c r="E99" s="118" t="s">
        <v>1569</v>
      </c>
      <c r="F99" s="40" t="s">
        <v>682</v>
      </c>
      <c r="G99" s="52"/>
      <c r="H99" s="170" t="s">
        <v>1562</v>
      </c>
      <c r="I99" s="161" t="s">
        <v>1563</v>
      </c>
      <c r="J99" s="171">
        <f>800*1.06</f>
        <v>848</v>
      </c>
      <c r="K99" s="12"/>
      <c r="L99" s="10">
        <v>30</v>
      </c>
      <c r="M99" s="10"/>
      <c r="N99" s="10">
        <v>2</v>
      </c>
      <c r="O99" s="69"/>
      <c r="P99" s="169">
        <f t="shared" si="20"/>
        <v>50880</v>
      </c>
      <c r="Q99" s="46"/>
      <c r="R99" s="135">
        <f t="shared" si="21"/>
        <v>-50880</v>
      </c>
      <c r="S99" s="39"/>
      <c r="T99" s="12"/>
    </row>
    <row r="100" spans="1:20" s="38" customFormat="1">
      <c r="A100" s="255"/>
      <c r="B100" s="5">
        <v>22</v>
      </c>
      <c r="C100" s="114" t="s">
        <v>1566</v>
      </c>
      <c r="D100" s="114" t="s">
        <v>1566</v>
      </c>
      <c r="E100" s="170" t="s">
        <v>1570</v>
      </c>
      <c r="F100" s="40" t="s">
        <v>682</v>
      </c>
      <c r="G100" s="52"/>
      <c r="H100" s="170" t="s">
        <v>1570</v>
      </c>
      <c r="I100" s="161" t="s">
        <v>1505</v>
      </c>
      <c r="J100" s="171">
        <f>258*1.06</f>
        <v>273.48</v>
      </c>
      <c r="K100" s="12"/>
      <c r="L100" s="10">
        <v>280</v>
      </c>
      <c r="M100" s="10"/>
      <c r="N100" s="10">
        <v>1</v>
      </c>
      <c r="O100" s="69"/>
      <c r="P100" s="169">
        <f t="shared" si="20"/>
        <v>76574.400000000009</v>
      </c>
      <c r="Q100" s="46"/>
      <c r="R100" s="135">
        <f t="shared" si="21"/>
        <v>-76574.400000000009</v>
      </c>
      <c r="S100" s="39"/>
      <c r="T100" s="12"/>
    </row>
    <row r="101" spans="1:20" s="38" customFormat="1">
      <c r="A101" s="255"/>
      <c r="B101" s="5">
        <v>23</v>
      </c>
      <c r="C101" s="114" t="s">
        <v>1566</v>
      </c>
      <c r="D101" s="114" t="s">
        <v>1566</v>
      </c>
      <c r="E101" s="170" t="s">
        <v>1571</v>
      </c>
      <c r="F101" s="40" t="s">
        <v>682</v>
      </c>
      <c r="G101" s="52"/>
      <c r="H101" s="170" t="s">
        <v>1571</v>
      </c>
      <c r="I101" s="161" t="s">
        <v>1505</v>
      </c>
      <c r="J101" s="171">
        <f>98*1.06</f>
        <v>103.88000000000001</v>
      </c>
      <c r="K101" s="12"/>
      <c r="L101" s="10">
        <v>280</v>
      </c>
      <c r="M101" s="10"/>
      <c r="N101" s="10">
        <v>1</v>
      </c>
      <c r="O101" s="69"/>
      <c r="P101" s="169">
        <f t="shared" si="20"/>
        <v>29086.400000000001</v>
      </c>
      <c r="Q101" s="46"/>
      <c r="R101" s="135">
        <f t="shared" si="21"/>
        <v>-29086.400000000001</v>
      </c>
      <c r="S101" s="39"/>
      <c r="T101" s="12"/>
    </row>
    <row r="102" spans="1:20" s="38" customFormat="1">
      <c r="A102" s="255"/>
      <c r="B102" s="5">
        <v>24</v>
      </c>
      <c r="C102" s="114" t="s">
        <v>1566</v>
      </c>
      <c r="D102" s="114" t="s">
        <v>1566</v>
      </c>
      <c r="E102" s="172" t="s">
        <v>1578</v>
      </c>
      <c r="F102" s="40" t="s">
        <v>682</v>
      </c>
      <c r="G102" s="52"/>
      <c r="H102" s="172" t="s">
        <v>1572</v>
      </c>
      <c r="I102" s="44" t="s">
        <v>1505</v>
      </c>
      <c r="J102" s="171">
        <f>800*1.06</f>
        <v>848</v>
      </c>
      <c r="K102" s="171"/>
      <c r="L102" s="10">
        <v>3</v>
      </c>
      <c r="M102" s="159"/>
      <c r="N102" s="10">
        <v>1</v>
      </c>
      <c r="O102" s="69"/>
      <c r="P102" s="169">
        <f t="shared" si="20"/>
        <v>2544</v>
      </c>
      <c r="Q102" s="46"/>
      <c r="R102" s="135">
        <f t="shared" si="21"/>
        <v>-2544</v>
      </c>
      <c r="S102" s="39"/>
      <c r="T102" s="12"/>
    </row>
    <row r="103" spans="1:20" s="38" customFormat="1">
      <c r="A103" s="255"/>
      <c r="B103" s="5">
        <v>25</v>
      </c>
      <c r="C103" s="114" t="s">
        <v>1566</v>
      </c>
      <c r="D103" s="114" t="s">
        <v>1566</v>
      </c>
      <c r="E103" s="170" t="s">
        <v>1573</v>
      </c>
      <c r="F103" s="40" t="s">
        <v>682</v>
      </c>
      <c r="G103" s="52"/>
      <c r="H103" s="170" t="s">
        <v>1573</v>
      </c>
      <c r="I103" s="161" t="s">
        <v>1505</v>
      </c>
      <c r="J103" s="171">
        <f>300*1.06</f>
        <v>318</v>
      </c>
      <c r="K103" s="171"/>
      <c r="L103" s="10">
        <v>3</v>
      </c>
      <c r="M103" s="10"/>
      <c r="N103" s="10">
        <v>1</v>
      </c>
      <c r="O103" s="69"/>
      <c r="P103" s="169">
        <f t="shared" si="20"/>
        <v>954</v>
      </c>
      <c r="Q103" s="46"/>
      <c r="R103" s="135">
        <f t="shared" si="21"/>
        <v>-954</v>
      </c>
      <c r="S103" s="39"/>
      <c r="T103" s="12"/>
    </row>
    <row r="104" spans="1:20" s="38" customFormat="1">
      <c r="A104" s="255"/>
      <c r="B104" s="5">
        <v>26</v>
      </c>
      <c r="C104" s="114" t="s">
        <v>1566</v>
      </c>
      <c r="D104" s="114" t="s">
        <v>1566</v>
      </c>
      <c r="E104" s="170" t="s">
        <v>1579</v>
      </c>
      <c r="F104" s="40" t="s">
        <v>682</v>
      </c>
      <c r="G104" s="52"/>
      <c r="H104" s="170" t="s">
        <v>1574</v>
      </c>
      <c r="I104" s="161" t="s">
        <v>1575</v>
      </c>
      <c r="J104" s="171">
        <f>218*1.06</f>
        <v>231.08</v>
      </c>
      <c r="K104" s="171"/>
      <c r="L104" s="10">
        <v>50</v>
      </c>
      <c r="M104" s="10"/>
      <c r="N104" s="10">
        <v>3</v>
      </c>
      <c r="O104" s="69"/>
      <c r="P104" s="169">
        <f t="shared" ref="P104:P105" si="26">IFERROR(N104*L104*J104,0)</f>
        <v>34662</v>
      </c>
      <c r="Q104" s="46"/>
      <c r="R104" s="135">
        <f t="shared" ref="R104:R105" si="27">Q104-P104</f>
        <v>-34662</v>
      </c>
      <c r="S104" s="39"/>
      <c r="T104" s="12"/>
    </row>
    <row r="105" spans="1:20" s="38" customFormat="1">
      <c r="A105" s="255"/>
      <c r="B105" s="5">
        <v>27</v>
      </c>
      <c r="C105" s="114" t="s">
        <v>1566</v>
      </c>
      <c r="D105" s="114" t="s">
        <v>1566</v>
      </c>
      <c r="E105" s="170" t="s">
        <v>1580</v>
      </c>
      <c r="F105" s="40" t="s">
        <v>682</v>
      </c>
      <c r="G105" s="52"/>
      <c r="H105" s="170" t="s">
        <v>1576</v>
      </c>
      <c r="I105" s="161" t="s">
        <v>1575</v>
      </c>
      <c r="J105" s="171">
        <f>318*1.06</f>
        <v>337.08000000000004</v>
      </c>
      <c r="K105" s="171"/>
      <c r="L105" s="10">
        <v>50</v>
      </c>
      <c r="M105" s="10"/>
      <c r="N105" s="10">
        <v>3</v>
      </c>
      <c r="O105" s="69"/>
      <c r="P105" s="169">
        <f t="shared" si="26"/>
        <v>50562.000000000007</v>
      </c>
      <c r="Q105" s="46"/>
      <c r="R105" s="135">
        <f t="shared" si="27"/>
        <v>-50562.000000000007</v>
      </c>
      <c r="S105" s="39"/>
      <c r="T105" s="12"/>
    </row>
    <row r="106" spans="1:20" s="38" customFormat="1">
      <c r="A106" s="255"/>
      <c r="B106" s="5">
        <v>28</v>
      </c>
      <c r="C106" s="114" t="s">
        <v>1566</v>
      </c>
      <c r="D106" s="114" t="s">
        <v>1566</v>
      </c>
      <c r="E106" s="170" t="s">
        <v>1579</v>
      </c>
      <c r="F106" s="40" t="s">
        <v>682</v>
      </c>
      <c r="G106" s="52"/>
      <c r="H106" s="170" t="s">
        <v>1574</v>
      </c>
      <c r="I106" s="161" t="s">
        <v>1575</v>
      </c>
      <c r="J106" s="171">
        <f>218*1.06</f>
        <v>231.08</v>
      </c>
      <c r="K106" s="171"/>
      <c r="L106" s="10">
        <v>250</v>
      </c>
      <c r="M106" s="10"/>
      <c r="N106" s="10">
        <v>4</v>
      </c>
      <c r="O106" s="69"/>
      <c r="P106" s="169">
        <f t="shared" si="20"/>
        <v>231080</v>
      </c>
      <c r="Q106" s="46"/>
      <c r="R106" s="135">
        <f t="shared" si="21"/>
        <v>-231080</v>
      </c>
      <c r="S106" s="39"/>
      <c r="T106" s="12"/>
    </row>
    <row r="107" spans="1:20" s="38" customFormat="1">
      <c r="A107" s="255"/>
      <c r="B107" s="5">
        <v>29</v>
      </c>
      <c r="C107" s="114" t="s">
        <v>1566</v>
      </c>
      <c r="D107" s="114" t="s">
        <v>1566</v>
      </c>
      <c r="E107" s="170" t="s">
        <v>1580</v>
      </c>
      <c r="F107" s="40" t="s">
        <v>682</v>
      </c>
      <c r="G107" s="52"/>
      <c r="H107" s="170" t="s">
        <v>1576</v>
      </c>
      <c r="I107" s="161" t="s">
        <v>1575</v>
      </c>
      <c r="J107" s="171">
        <f>318*1.06</f>
        <v>337.08000000000004</v>
      </c>
      <c r="K107" s="171"/>
      <c r="L107" s="10">
        <v>250</v>
      </c>
      <c r="M107" s="10"/>
      <c r="N107" s="10">
        <v>4</v>
      </c>
      <c r="O107" s="69"/>
      <c r="P107" s="169">
        <f t="shared" si="20"/>
        <v>337080.00000000006</v>
      </c>
      <c r="Q107" s="46"/>
      <c r="R107" s="135">
        <f t="shared" si="21"/>
        <v>-337080.00000000006</v>
      </c>
      <c r="S107" s="39"/>
      <c r="T107" s="12"/>
    </row>
    <row r="108" spans="1:20" s="38" customFormat="1">
      <c r="A108" s="255"/>
      <c r="B108" s="5">
        <v>30</v>
      </c>
      <c r="C108" s="114" t="s">
        <v>1566</v>
      </c>
      <c r="D108" s="114" t="s">
        <v>1566</v>
      </c>
      <c r="E108" s="170" t="s">
        <v>1581</v>
      </c>
      <c r="F108" s="40" t="s">
        <v>682</v>
      </c>
      <c r="G108" s="52"/>
      <c r="H108" s="170" t="s">
        <v>1577</v>
      </c>
      <c r="I108" s="161" t="s">
        <v>1575</v>
      </c>
      <c r="J108" s="171">
        <f>128*1.06</f>
        <v>135.68</v>
      </c>
      <c r="K108" s="171"/>
      <c r="L108" s="11">
        <v>280</v>
      </c>
      <c r="M108" s="10"/>
      <c r="N108" s="10">
        <v>5</v>
      </c>
      <c r="O108" s="69"/>
      <c r="P108" s="169">
        <f t="shared" si="20"/>
        <v>189952</v>
      </c>
      <c r="Q108" s="46"/>
      <c r="R108" s="135">
        <f t="shared" si="21"/>
        <v>-189952</v>
      </c>
      <c r="S108" s="39"/>
      <c r="T108" s="12"/>
    </row>
    <row r="109" spans="1:20" s="38" customFormat="1">
      <c r="A109" s="255"/>
      <c r="B109" s="5">
        <v>31</v>
      </c>
      <c r="C109" s="114" t="s">
        <v>1566</v>
      </c>
      <c r="D109" s="114" t="s">
        <v>1566</v>
      </c>
      <c r="E109" s="118" t="s">
        <v>1592</v>
      </c>
      <c r="F109" s="40" t="s">
        <v>682</v>
      </c>
      <c r="G109" s="52"/>
      <c r="H109" s="170" t="s">
        <v>1582</v>
      </c>
      <c r="I109" s="161" t="s">
        <v>1583</v>
      </c>
      <c r="J109" s="171">
        <f>350*1.06</f>
        <v>371</v>
      </c>
      <c r="K109" s="171"/>
      <c r="L109" s="10">
        <v>8</v>
      </c>
      <c r="M109" s="10"/>
      <c r="N109" s="10">
        <v>1</v>
      </c>
      <c r="O109" s="69"/>
      <c r="P109" s="169">
        <f t="shared" si="20"/>
        <v>2968</v>
      </c>
      <c r="Q109" s="46"/>
      <c r="R109" s="135">
        <f t="shared" si="21"/>
        <v>-2968</v>
      </c>
      <c r="S109" s="39"/>
      <c r="T109" s="12"/>
    </row>
    <row r="110" spans="1:20" s="38" customFormat="1">
      <c r="A110" s="255"/>
      <c r="B110" s="5">
        <v>32</v>
      </c>
      <c r="C110" s="114" t="s">
        <v>1566</v>
      </c>
      <c r="D110" s="114" t="s">
        <v>1566</v>
      </c>
      <c r="E110" s="118" t="s">
        <v>1649</v>
      </c>
      <c r="F110" s="40" t="s">
        <v>682</v>
      </c>
      <c r="G110" s="52"/>
      <c r="H110" s="170" t="s">
        <v>1661</v>
      </c>
      <c r="I110" s="161" t="s">
        <v>1563</v>
      </c>
      <c r="J110" s="171">
        <f>1000*1.06</f>
        <v>1060</v>
      </c>
      <c r="K110" s="171"/>
      <c r="L110" s="10">
        <v>20</v>
      </c>
      <c r="M110" s="10"/>
      <c r="N110" s="10">
        <v>5</v>
      </c>
      <c r="O110" s="69"/>
      <c r="P110" s="169">
        <f t="shared" si="20"/>
        <v>106000</v>
      </c>
      <c r="Q110" s="46"/>
      <c r="R110" s="135">
        <f t="shared" si="21"/>
        <v>-106000</v>
      </c>
      <c r="S110" s="39"/>
      <c r="T110" s="12"/>
    </row>
    <row r="111" spans="1:20" s="38" customFormat="1">
      <c r="A111" s="255"/>
      <c r="B111" s="5">
        <v>33</v>
      </c>
      <c r="C111" s="114" t="s">
        <v>1566</v>
      </c>
      <c r="D111" s="114" t="s">
        <v>1566</v>
      </c>
      <c r="E111" s="118" t="s">
        <v>1675</v>
      </c>
      <c r="F111" s="40" t="s">
        <v>682</v>
      </c>
      <c r="G111" s="52"/>
      <c r="H111" s="118" t="s">
        <v>1676</v>
      </c>
      <c r="I111" s="161" t="s">
        <v>1563</v>
      </c>
      <c r="J111" s="171">
        <f>150*1.06</f>
        <v>159</v>
      </c>
      <c r="K111" s="171"/>
      <c r="L111" s="10">
        <v>280</v>
      </c>
      <c r="M111" s="10"/>
      <c r="N111" s="10">
        <v>2</v>
      </c>
      <c r="O111" s="69"/>
      <c r="P111" s="169">
        <f t="shared" ref="P111" si="28">IFERROR(N111*L111*J111,0)</f>
        <v>89040</v>
      </c>
      <c r="Q111" s="46"/>
      <c r="R111" s="135">
        <f t="shared" ref="R111" si="29">Q111-P111</f>
        <v>-89040</v>
      </c>
      <c r="S111" s="39"/>
      <c r="T111" s="12"/>
    </row>
    <row r="112" spans="1:20" s="38" customFormat="1">
      <c r="A112" s="255"/>
      <c r="B112" s="5">
        <v>34</v>
      </c>
      <c r="C112" s="114" t="s">
        <v>1593</v>
      </c>
      <c r="D112" s="114" t="s">
        <v>1593</v>
      </c>
      <c r="E112" s="118" t="s">
        <v>1594</v>
      </c>
      <c r="F112" s="40" t="s">
        <v>682</v>
      </c>
      <c r="G112" s="52"/>
      <c r="H112" s="170" t="s">
        <v>1584</v>
      </c>
      <c r="I112" s="161" t="s">
        <v>1563</v>
      </c>
      <c r="J112" s="171">
        <f>800*1.06</f>
        <v>848</v>
      </c>
      <c r="K112" s="12"/>
      <c r="L112" s="10">
        <v>100</v>
      </c>
      <c r="M112" s="10"/>
      <c r="N112" s="10">
        <v>2</v>
      </c>
      <c r="O112" s="69"/>
      <c r="P112" s="169">
        <f t="shared" si="20"/>
        <v>169600</v>
      </c>
      <c r="Q112" s="46"/>
      <c r="R112" s="135">
        <f t="shared" si="21"/>
        <v>-169600</v>
      </c>
      <c r="S112" s="39"/>
      <c r="T112" s="12"/>
    </row>
    <row r="113" spans="1:20" s="38" customFormat="1">
      <c r="A113" s="255"/>
      <c r="B113" s="5">
        <v>35</v>
      </c>
      <c r="C113" s="114" t="s">
        <v>1593</v>
      </c>
      <c r="D113" s="114" t="s">
        <v>1593</v>
      </c>
      <c r="E113" s="170" t="s">
        <v>1595</v>
      </c>
      <c r="F113" s="40" t="s">
        <v>682</v>
      </c>
      <c r="G113" s="52"/>
      <c r="H113" s="170" t="s">
        <v>1585</v>
      </c>
      <c r="I113" s="161" t="s">
        <v>1505</v>
      </c>
      <c r="J113" s="171">
        <f>128*1.06</f>
        <v>135.68</v>
      </c>
      <c r="K113" s="12"/>
      <c r="L113" s="10">
        <v>100</v>
      </c>
      <c r="M113" s="10"/>
      <c r="N113" s="10">
        <v>1</v>
      </c>
      <c r="O113" s="69"/>
      <c r="P113" s="169">
        <f t="shared" si="20"/>
        <v>13568</v>
      </c>
      <c r="Q113" s="46"/>
      <c r="R113" s="135">
        <f t="shared" si="21"/>
        <v>-13568</v>
      </c>
      <c r="S113" s="39"/>
      <c r="T113" s="12"/>
    </row>
    <row r="114" spans="1:20" s="38" customFormat="1">
      <c r="A114" s="255"/>
      <c r="B114" s="5">
        <v>36</v>
      </c>
      <c r="C114" s="114" t="s">
        <v>1593</v>
      </c>
      <c r="D114" s="114" t="s">
        <v>1593</v>
      </c>
      <c r="E114" s="170" t="s">
        <v>1596</v>
      </c>
      <c r="F114" s="40" t="s">
        <v>682</v>
      </c>
      <c r="G114" s="52"/>
      <c r="H114" s="170" t="s">
        <v>1586</v>
      </c>
      <c r="I114" s="161" t="s">
        <v>1515</v>
      </c>
      <c r="J114" s="171">
        <f>150*1.06</f>
        <v>159</v>
      </c>
      <c r="K114" s="12"/>
      <c r="L114" s="10">
        <v>100</v>
      </c>
      <c r="M114" s="10"/>
      <c r="N114" s="10">
        <v>1</v>
      </c>
      <c r="O114" s="69"/>
      <c r="P114" s="169">
        <f t="shared" si="20"/>
        <v>15900</v>
      </c>
      <c r="Q114" s="46"/>
      <c r="R114" s="135">
        <f t="shared" si="21"/>
        <v>-15900</v>
      </c>
      <c r="S114" s="39"/>
      <c r="T114" s="12"/>
    </row>
    <row r="115" spans="1:20" s="38" customFormat="1">
      <c r="A115" s="255"/>
      <c r="B115" s="5">
        <v>37</v>
      </c>
      <c r="C115" s="114" t="s">
        <v>1593</v>
      </c>
      <c r="D115" s="114" t="s">
        <v>1593</v>
      </c>
      <c r="E115" s="170" t="s">
        <v>1567</v>
      </c>
      <c r="F115" s="40" t="s">
        <v>682</v>
      </c>
      <c r="G115" s="52"/>
      <c r="H115" s="170" t="s">
        <v>1587</v>
      </c>
      <c r="I115" s="161" t="s">
        <v>1505</v>
      </c>
      <c r="J115" s="171">
        <f>300*1.06</f>
        <v>318</v>
      </c>
      <c r="K115" s="12"/>
      <c r="L115" s="10">
        <v>100</v>
      </c>
      <c r="M115" s="10"/>
      <c r="N115" s="10">
        <v>1</v>
      </c>
      <c r="O115" s="69"/>
      <c r="P115" s="169">
        <f t="shared" si="20"/>
        <v>31800</v>
      </c>
      <c r="Q115" s="46"/>
      <c r="R115" s="135">
        <f t="shared" si="21"/>
        <v>-31800</v>
      </c>
      <c r="S115" s="39"/>
      <c r="T115" s="12"/>
    </row>
    <row r="116" spans="1:20" s="38" customFormat="1">
      <c r="A116" s="255"/>
      <c r="B116" s="5">
        <v>38</v>
      </c>
      <c r="C116" s="114" t="s">
        <v>1593</v>
      </c>
      <c r="D116" s="114" t="s">
        <v>1593</v>
      </c>
      <c r="E116" s="170" t="s">
        <v>1597</v>
      </c>
      <c r="F116" s="40" t="s">
        <v>682</v>
      </c>
      <c r="G116" s="52"/>
      <c r="H116" s="170" t="s">
        <v>1588</v>
      </c>
      <c r="I116" s="161" t="s">
        <v>1505</v>
      </c>
      <c r="J116" s="171">
        <f>500*1.06</f>
        <v>530</v>
      </c>
      <c r="K116" s="12"/>
      <c r="L116" s="10">
        <v>100</v>
      </c>
      <c r="M116" s="10"/>
      <c r="N116" s="10">
        <v>1</v>
      </c>
      <c r="O116" s="69"/>
      <c r="P116" s="169">
        <f t="shared" si="20"/>
        <v>53000</v>
      </c>
      <c r="Q116" s="46"/>
      <c r="R116" s="135">
        <f t="shared" si="21"/>
        <v>-53000</v>
      </c>
      <c r="S116" s="39"/>
      <c r="T116" s="12"/>
    </row>
    <row r="117" spans="1:20" s="38" customFormat="1">
      <c r="A117" s="255"/>
      <c r="B117" s="5">
        <v>39</v>
      </c>
      <c r="C117" s="114" t="s">
        <v>1593</v>
      </c>
      <c r="D117" s="114" t="s">
        <v>1593</v>
      </c>
      <c r="E117" s="170" t="s">
        <v>1579</v>
      </c>
      <c r="F117" s="40" t="s">
        <v>682</v>
      </c>
      <c r="G117" s="52"/>
      <c r="H117" s="170" t="s">
        <v>1589</v>
      </c>
      <c r="I117" s="161" t="s">
        <v>1575</v>
      </c>
      <c r="J117" s="171">
        <f>318*1.06</f>
        <v>337.08000000000004</v>
      </c>
      <c r="K117" s="12"/>
      <c r="L117" s="10">
        <v>100</v>
      </c>
      <c r="M117" s="10"/>
      <c r="N117" s="10">
        <v>3</v>
      </c>
      <c r="O117" s="69"/>
      <c r="P117" s="169">
        <f t="shared" si="20"/>
        <v>101124.00000000001</v>
      </c>
      <c r="Q117" s="46"/>
      <c r="R117" s="135">
        <f t="shared" si="21"/>
        <v>-101124.00000000001</v>
      </c>
      <c r="S117" s="39"/>
      <c r="T117" s="12"/>
    </row>
    <row r="118" spans="1:20" s="38" customFormat="1">
      <c r="A118" s="255"/>
      <c r="B118" s="5">
        <v>40</v>
      </c>
      <c r="C118" s="114" t="s">
        <v>1593</v>
      </c>
      <c r="D118" s="114" t="s">
        <v>1593</v>
      </c>
      <c r="E118" s="170" t="s">
        <v>1580</v>
      </c>
      <c r="F118" s="40" t="s">
        <v>682</v>
      </c>
      <c r="G118" s="52"/>
      <c r="H118" s="170" t="s">
        <v>1590</v>
      </c>
      <c r="I118" s="161" t="s">
        <v>1575</v>
      </c>
      <c r="J118" s="171">
        <f>368*1.06</f>
        <v>390.08000000000004</v>
      </c>
      <c r="K118" s="12"/>
      <c r="L118" s="10">
        <v>100</v>
      </c>
      <c r="M118" s="10"/>
      <c r="N118" s="10">
        <v>3</v>
      </c>
      <c r="O118" s="69"/>
      <c r="P118" s="169">
        <f t="shared" si="20"/>
        <v>117024.00000000001</v>
      </c>
      <c r="Q118" s="46"/>
      <c r="R118" s="135">
        <f t="shared" si="21"/>
        <v>-117024.00000000001</v>
      </c>
      <c r="S118" s="39"/>
      <c r="T118" s="12"/>
    </row>
    <row r="119" spans="1:20" s="38" customFormat="1">
      <c r="A119" s="255"/>
      <c r="B119" s="5">
        <v>41</v>
      </c>
      <c r="C119" s="114" t="s">
        <v>1678</v>
      </c>
      <c r="D119" s="114" t="s">
        <v>1678</v>
      </c>
      <c r="E119" s="114" t="s">
        <v>1678</v>
      </c>
      <c r="F119" s="40" t="s">
        <v>682</v>
      </c>
      <c r="G119" s="52"/>
      <c r="H119" s="114" t="s">
        <v>1678</v>
      </c>
      <c r="I119" s="161" t="s">
        <v>1575</v>
      </c>
      <c r="J119" s="171">
        <f>350*1.06</f>
        <v>371</v>
      </c>
      <c r="K119" s="12"/>
      <c r="L119" s="10">
        <v>20</v>
      </c>
      <c r="M119" s="10"/>
      <c r="N119" s="10">
        <v>6</v>
      </c>
      <c r="O119" s="69"/>
      <c r="P119" s="169">
        <f t="shared" si="20"/>
        <v>44520</v>
      </c>
      <c r="Q119" s="46"/>
      <c r="R119" s="135">
        <f t="shared" si="21"/>
        <v>-44520</v>
      </c>
      <c r="S119" s="39"/>
      <c r="T119" s="12"/>
    </row>
    <row r="120" spans="1:20" s="38" customFormat="1">
      <c r="A120" s="255"/>
      <c r="B120" s="5">
        <v>42</v>
      </c>
      <c r="C120" s="114" t="s">
        <v>1593</v>
      </c>
      <c r="D120" s="114" t="s">
        <v>1593</v>
      </c>
      <c r="E120" s="170" t="s">
        <v>1632</v>
      </c>
      <c r="F120" s="40" t="s">
        <v>682</v>
      </c>
      <c r="G120" s="52"/>
      <c r="H120" s="170" t="s">
        <v>1633</v>
      </c>
      <c r="I120" s="161" t="s">
        <v>1634</v>
      </c>
      <c r="J120" s="171">
        <f>800*1.06</f>
        <v>848</v>
      </c>
      <c r="K120" s="12"/>
      <c r="L120" s="10">
        <v>3</v>
      </c>
      <c r="M120" s="10"/>
      <c r="N120" s="10">
        <v>1</v>
      </c>
      <c r="O120" s="69"/>
      <c r="P120" s="169">
        <f t="shared" si="20"/>
        <v>2544</v>
      </c>
      <c r="Q120" s="46"/>
      <c r="R120" s="135">
        <f t="shared" si="21"/>
        <v>-2544</v>
      </c>
      <c r="S120" s="39"/>
      <c r="T120" s="12"/>
    </row>
    <row r="121" spans="1:20" s="38" customFormat="1">
      <c r="A121" s="255"/>
      <c r="B121" s="5">
        <v>43</v>
      </c>
      <c r="C121" s="114" t="s">
        <v>1593</v>
      </c>
      <c r="D121" s="114" t="s">
        <v>1593</v>
      </c>
      <c r="E121" s="170" t="s">
        <v>1635</v>
      </c>
      <c r="F121" s="40" t="s">
        <v>682</v>
      </c>
      <c r="G121" s="52"/>
      <c r="H121" s="170" t="s">
        <v>1636</v>
      </c>
      <c r="I121" s="161" t="s">
        <v>1505</v>
      </c>
      <c r="J121" s="171">
        <f>400*1.06</f>
        <v>424</v>
      </c>
      <c r="K121" s="12"/>
      <c r="L121" s="10">
        <v>3</v>
      </c>
      <c r="M121" s="10"/>
      <c r="N121" s="10">
        <v>1</v>
      </c>
      <c r="O121" s="69"/>
      <c r="P121" s="169">
        <f t="shared" si="20"/>
        <v>1272</v>
      </c>
      <c r="Q121" s="46"/>
      <c r="R121" s="135">
        <f t="shared" si="21"/>
        <v>-1272</v>
      </c>
      <c r="S121" s="39"/>
      <c r="T121" s="12"/>
    </row>
    <row r="122" spans="1:20" s="38" customFormat="1">
      <c r="A122" s="255"/>
      <c r="B122" s="5">
        <v>44</v>
      </c>
      <c r="C122" s="114" t="s">
        <v>1593</v>
      </c>
      <c r="D122" s="114" t="s">
        <v>1593</v>
      </c>
      <c r="E122" s="170" t="s">
        <v>1649</v>
      </c>
      <c r="F122" s="40" t="s">
        <v>682</v>
      </c>
      <c r="G122" s="52"/>
      <c r="H122" s="170" t="s">
        <v>1650</v>
      </c>
      <c r="I122" s="161" t="s">
        <v>1563</v>
      </c>
      <c r="J122" s="171">
        <f>1000*1.06</f>
        <v>1060</v>
      </c>
      <c r="K122" s="12"/>
      <c r="L122" s="10">
        <v>70</v>
      </c>
      <c r="M122" s="10"/>
      <c r="N122" s="10">
        <v>1</v>
      </c>
      <c r="O122" s="69"/>
      <c r="P122" s="169">
        <f t="shared" si="20"/>
        <v>74200</v>
      </c>
      <c r="Q122" s="46"/>
      <c r="R122" s="135">
        <f t="shared" si="21"/>
        <v>-74200</v>
      </c>
      <c r="S122" s="39"/>
      <c r="T122" s="12"/>
    </row>
    <row r="123" spans="1:20" s="38" customFormat="1">
      <c r="A123" s="255"/>
      <c r="B123" s="5">
        <v>45</v>
      </c>
      <c r="C123" s="114" t="s">
        <v>1593</v>
      </c>
      <c r="D123" s="114" t="s">
        <v>1593</v>
      </c>
      <c r="E123" s="170" t="s">
        <v>1581</v>
      </c>
      <c r="F123" s="40" t="s">
        <v>682</v>
      </c>
      <c r="G123" s="52"/>
      <c r="H123" s="170" t="s">
        <v>1591</v>
      </c>
      <c r="I123" s="161" t="s">
        <v>1563</v>
      </c>
      <c r="J123" s="171">
        <f>218*1.06</f>
        <v>231.08</v>
      </c>
      <c r="K123" s="12"/>
      <c r="L123" s="10">
        <v>100</v>
      </c>
      <c r="M123" s="10"/>
      <c r="N123" s="10">
        <v>1</v>
      </c>
      <c r="O123" s="69"/>
      <c r="P123" s="169">
        <f t="shared" si="20"/>
        <v>23108</v>
      </c>
      <c r="Q123" s="46"/>
      <c r="R123" s="135">
        <f t="shared" si="21"/>
        <v>-23108</v>
      </c>
      <c r="S123" s="39"/>
      <c r="T123" s="12"/>
    </row>
    <row r="124" spans="1:20" s="38" customFormat="1">
      <c r="A124" s="255"/>
      <c r="B124" s="5">
        <v>46</v>
      </c>
      <c r="C124" s="114" t="s">
        <v>1566</v>
      </c>
      <c r="D124" s="114" t="s">
        <v>1566</v>
      </c>
      <c r="E124" s="114" t="s">
        <v>1566</v>
      </c>
      <c r="F124" s="40" t="s">
        <v>682</v>
      </c>
      <c r="G124" s="52"/>
      <c r="H124" s="170" t="s">
        <v>1695</v>
      </c>
      <c r="I124" s="161" t="s">
        <v>1563</v>
      </c>
      <c r="J124" s="171">
        <f>200*1.06</f>
        <v>212</v>
      </c>
      <c r="K124" s="12"/>
      <c r="L124" s="10">
        <v>150</v>
      </c>
      <c r="M124" s="10"/>
      <c r="N124" s="10">
        <v>1</v>
      </c>
      <c r="O124" s="69"/>
      <c r="P124" s="169">
        <f t="shared" si="20"/>
        <v>31800</v>
      </c>
      <c r="Q124" s="46"/>
      <c r="R124" s="135">
        <f t="shared" si="21"/>
        <v>-31800</v>
      </c>
      <c r="S124" s="39"/>
      <c r="T124" s="12"/>
    </row>
    <row r="125" spans="1:20" s="38" customFormat="1" ht="28.5">
      <c r="A125" s="255"/>
      <c r="B125" s="5">
        <v>47</v>
      </c>
      <c r="C125" s="114" t="s">
        <v>1566</v>
      </c>
      <c r="D125" s="114" t="s">
        <v>1566</v>
      </c>
      <c r="E125" s="118" t="s">
        <v>1598</v>
      </c>
      <c r="F125" s="37" t="s">
        <v>566</v>
      </c>
      <c r="G125" s="52" t="str">
        <f>_xlfn.IFNA(IF(VLOOKUP($F125,'3.框架内物料'!$A:$E,2,0)=0,"请勿填写",VLOOKUP($F125,'3.框架内物料'!$A:$E,2,0)),"")</f>
        <v>请勿填写</v>
      </c>
      <c r="H125" s="173" t="str">
        <f>_xlfn.IFNA(VLOOKUP($F125,'3.框架内物料'!$A:$E,4,0),"")</f>
        <v>接待用车-车辆-车辆物流-运营车辆-接送机-GL8，60公里内，高速费另计</v>
      </c>
      <c r="I125" s="161" t="str">
        <f>_xlfn.IFNA(VLOOKUP($F125,'3.框架内物料'!$A:$E,5,0),"")</f>
        <v>辆/趟</v>
      </c>
      <c r="J125" s="171">
        <f>_xlfn.IFNA(VLOOKUP($F125,'3.框架内物料'!$A:$F,6,0),"")</f>
        <v>530</v>
      </c>
      <c r="K125" s="66"/>
      <c r="L125" s="69">
        <v>280</v>
      </c>
      <c r="M125" s="69"/>
      <c r="N125" s="10">
        <v>2</v>
      </c>
      <c r="O125" s="69"/>
      <c r="P125" s="169">
        <f t="shared" si="20"/>
        <v>296800</v>
      </c>
      <c r="Q125" s="46"/>
      <c r="R125" s="135">
        <f t="shared" si="21"/>
        <v>-296800</v>
      </c>
      <c r="S125" s="39" t="s">
        <v>1662</v>
      </c>
      <c r="T125" s="12"/>
    </row>
    <row r="126" spans="1:20" s="38" customFormat="1" ht="28.5">
      <c r="A126" s="255"/>
      <c r="B126" s="5">
        <v>48</v>
      </c>
      <c r="C126" s="114" t="s">
        <v>1566</v>
      </c>
      <c r="D126" s="114" t="s">
        <v>1566</v>
      </c>
      <c r="E126" s="118" t="s">
        <v>1598</v>
      </c>
      <c r="F126" s="163" t="s">
        <v>1599</v>
      </c>
      <c r="G126" s="52"/>
      <c r="H126" s="173" t="str">
        <f>_xlfn.IFNA(VLOOKUP($F126,'3.框架内物料'!$A:$E,4,0),"")</f>
        <v>接待用车-车辆-车辆物流-运营车辆-商务乘用车-GL8，可使用同等类型车辆，1天8小时 or 100km计算，超出公里数及时间另计费</v>
      </c>
      <c r="I126" s="161" t="str">
        <f>_xlfn.IFNA(VLOOKUP($F126,'3.框架内物料'!$A:$E,5,0),"")</f>
        <v>辆/天</v>
      </c>
      <c r="J126" s="171">
        <f>_xlfn.IFNA(VLOOKUP($F126,'3.框架内物料'!$A:$F,6,0),"")</f>
        <v>1060</v>
      </c>
      <c r="K126" s="66"/>
      <c r="L126" s="10">
        <v>10</v>
      </c>
      <c r="M126" s="10"/>
      <c r="N126" s="10">
        <v>7</v>
      </c>
      <c r="O126" s="69"/>
      <c r="P126" s="169">
        <f t="shared" si="20"/>
        <v>74200</v>
      </c>
      <c r="Q126" s="46"/>
      <c r="R126" s="135">
        <f t="shared" si="21"/>
        <v>-74200</v>
      </c>
      <c r="S126" s="39" t="s">
        <v>1600</v>
      </c>
      <c r="T126" s="12"/>
    </row>
    <row r="127" spans="1:20" s="38" customFormat="1" ht="28.5">
      <c r="A127" s="255"/>
      <c r="B127" s="5">
        <v>49</v>
      </c>
      <c r="C127" s="114" t="s">
        <v>1593</v>
      </c>
      <c r="D127" s="114" t="s">
        <v>1593</v>
      </c>
      <c r="E127" s="118" t="s">
        <v>1598</v>
      </c>
      <c r="F127" s="163" t="s">
        <v>1599</v>
      </c>
      <c r="G127" s="52"/>
      <c r="H127" s="173" t="str">
        <f>_xlfn.IFNA(VLOOKUP($F127,'3.框架内物料'!$A:$E,4,0),"")</f>
        <v>接待用车-车辆-车辆物流-运营车辆-商务乘用车-GL8，可使用同等类型车辆，1天8小时 or 100km计算，超出公里数及时间另计费</v>
      </c>
      <c r="I127" s="161" t="str">
        <f>_xlfn.IFNA(VLOOKUP($F127,'3.框架内物料'!$A:$E,5,0),"")</f>
        <v>辆/天</v>
      </c>
      <c r="J127" s="171">
        <f>_xlfn.IFNA(VLOOKUP($F127,'3.框架内物料'!$A:$F,6,0),"")</f>
        <v>1060</v>
      </c>
      <c r="K127" s="66"/>
      <c r="L127" s="10">
        <v>20</v>
      </c>
      <c r="M127" s="10"/>
      <c r="N127" s="10">
        <v>3</v>
      </c>
      <c r="O127" s="69"/>
      <c r="P127" s="169">
        <f t="shared" si="20"/>
        <v>63600</v>
      </c>
      <c r="Q127" s="46"/>
      <c r="R127" s="135">
        <f t="shared" si="21"/>
        <v>-63600</v>
      </c>
      <c r="S127" s="39" t="s">
        <v>1601</v>
      </c>
      <c r="T127" s="12"/>
    </row>
    <row r="128" spans="1:20" s="38" customFormat="1">
      <c r="A128" s="255"/>
      <c r="B128" s="5">
        <v>50</v>
      </c>
      <c r="C128" s="114" t="s">
        <v>1593</v>
      </c>
      <c r="D128" s="114" t="s">
        <v>1593</v>
      </c>
      <c r="E128" s="118" t="s">
        <v>1598</v>
      </c>
      <c r="F128" s="163" t="s">
        <v>1671</v>
      </c>
      <c r="G128" s="52"/>
      <c r="H128" s="173" t="str">
        <f>_xlfn.IFNA(VLOOKUP($F128,'3.框架内物料'!$A:$E,4,0),"")</f>
        <v>接待用车-车辆-车辆物流-运营车辆-商务乘用车-GL8，超时间收费</v>
      </c>
      <c r="I128" s="161" t="str">
        <f>_xlfn.IFNA(VLOOKUP($F128,'3.框架内物料'!$A:$E,5,0),"")</f>
        <v>辆/小时</v>
      </c>
      <c r="J128" s="171">
        <f>_xlfn.IFNA(VLOOKUP($F128,'3.框架内物料'!$A:$F,6,0),"")</f>
        <v>74.2</v>
      </c>
      <c r="K128" s="66"/>
      <c r="L128" s="10">
        <v>200</v>
      </c>
      <c r="M128" s="10"/>
      <c r="N128" s="10">
        <v>2</v>
      </c>
      <c r="O128" s="69"/>
      <c r="P128" s="169">
        <f t="shared" ref="P128" si="30">IFERROR(N128*L128*J128,0)</f>
        <v>29680</v>
      </c>
      <c r="Q128" s="46"/>
      <c r="R128" s="135">
        <f t="shared" ref="R128" si="31">Q128-P128</f>
        <v>-29680</v>
      </c>
      <c r="S128" s="39" t="s">
        <v>1672</v>
      </c>
      <c r="T128" s="12"/>
    </row>
    <row r="129" spans="1:20" s="38" customFormat="1">
      <c r="A129" s="255"/>
      <c r="B129" s="5">
        <v>51</v>
      </c>
      <c r="C129" s="114" t="s">
        <v>1593</v>
      </c>
      <c r="D129" s="114" t="s">
        <v>1593</v>
      </c>
      <c r="E129" s="118" t="s">
        <v>1598</v>
      </c>
      <c r="F129" s="163" t="s">
        <v>1673</v>
      </c>
      <c r="G129" s="52"/>
      <c r="H129" s="173" t="str">
        <f>_xlfn.IFNA(VLOOKUP($F129,'3.框架内物料'!$A:$E,4,0),"")</f>
        <v>接待用车-车辆-车辆物流-运营车辆-商务乘用车-GL8，超公里收费</v>
      </c>
      <c r="I129" s="161" t="str">
        <f>_xlfn.IFNA(VLOOKUP($F129,'3.框架内物料'!$A:$E,5,0),"")</f>
        <v>车/公里</v>
      </c>
      <c r="J129" s="171">
        <f>_xlfn.IFNA(VLOOKUP($F129,'3.框架内物料'!$A:$F,6,0),"")</f>
        <v>10</v>
      </c>
      <c r="K129" s="66"/>
      <c r="L129" s="10">
        <v>500</v>
      </c>
      <c r="M129" s="10"/>
      <c r="N129" s="10">
        <v>2</v>
      </c>
      <c r="O129" s="69"/>
      <c r="P129" s="169">
        <f t="shared" ref="P129" si="32">IFERROR(N129*L129*J129,0)</f>
        <v>10000</v>
      </c>
      <c r="Q129" s="46"/>
      <c r="R129" s="135">
        <f t="shared" ref="R129" si="33">Q129-P129</f>
        <v>-10000</v>
      </c>
      <c r="S129" s="39" t="s">
        <v>1691</v>
      </c>
      <c r="T129" s="12"/>
    </row>
    <row r="130" spans="1:20" s="38" customFormat="1" ht="28.5">
      <c r="A130" s="255"/>
      <c r="B130" s="5">
        <v>52</v>
      </c>
      <c r="C130" s="114" t="s">
        <v>1593</v>
      </c>
      <c r="D130" s="114" t="s">
        <v>1593</v>
      </c>
      <c r="E130" s="118" t="s">
        <v>1598</v>
      </c>
      <c r="F130" s="163" t="s">
        <v>1599</v>
      </c>
      <c r="G130" s="52"/>
      <c r="H130" s="173" t="str">
        <f>_xlfn.IFNA(VLOOKUP($F130,'3.框架内物料'!$A:$E,4,0),"")</f>
        <v>接待用车-车辆-车辆物流-运营车辆-商务乘用车-GL8，可使用同等类型车辆，1天8小时 or 100km计算，超出公里数及时间另计费</v>
      </c>
      <c r="I130" s="161" t="str">
        <f>_xlfn.IFNA(VLOOKUP($F130,'3.框架内物料'!$A:$E,5,0),"")</f>
        <v>辆/天</v>
      </c>
      <c r="J130" s="171">
        <f>_xlfn.IFNA(VLOOKUP($F130,'3.框架内物料'!$A:$F,6,0),"")</f>
        <v>1060</v>
      </c>
      <c r="K130" s="66"/>
      <c r="L130" s="10">
        <v>5</v>
      </c>
      <c r="M130" s="10"/>
      <c r="N130" s="10">
        <v>7</v>
      </c>
      <c r="O130" s="69"/>
      <c r="P130" s="169">
        <f t="shared" ref="P130" si="34">IFERROR(N130*L130*J130,0)</f>
        <v>37100</v>
      </c>
      <c r="Q130" s="46"/>
      <c r="R130" s="135">
        <f t="shared" ref="R130" si="35">Q130-P130</f>
        <v>-37100</v>
      </c>
      <c r="S130" s="39" t="s">
        <v>1668</v>
      </c>
      <c r="T130" s="12"/>
    </row>
    <row r="131" spans="1:20" s="38" customFormat="1" ht="28.5">
      <c r="A131" s="255"/>
      <c r="B131" s="5">
        <v>53</v>
      </c>
      <c r="C131" s="114" t="s">
        <v>1566</v>
      </c>
      <c r="D131" s="114" t="s">
        <v>1566</v>
      </c>
      <c r="E131" s="118" t="s">
        <v>1598</v>
      </c>
      <c r="F131" s="163" t="s">
        <v>1602</v>
      </c>
      <c r="G131" s="52"/>
      <c r="H131" s="173" t="str">
        <f>_xlfn.IFNA(VLOOKUP($F131,'3.框架内物料'!$A:$E,4,0),"")</f>
        <v>接待用车-车辆-车辆物流-运营车辆-中型车-考斯特，可使用同等类型车辆，1天8小时 or 100km计算，超出公里数及时间另计费</v>
      </c>
      <c r="I131" s="161" t="str">
        <f>_xlfn.IFNA(VLOOKUP($F131,'3.框架内物料'!$A:$E,5,0),"")</f>
        <v>辆/天</v>
      </c>
      <c r="J131" s="171">
        <f>_xlfn.IFNA(VLOOKUP($F131,'3.框架内物料'!$A:$F,6,0),"")</f>
        <v>1500</v>
      </c>
      <c r="K131" s="66"/>
      <c r="L131" s="10">
        <v>4</v>
      </c>
      <c r="M131" s="10"/>
      <c r="N131" s="10">
        <v>6</v>
      </c>
      <c r="O131" s="69"/>
      <c r="P131" s="169">
        <f t="shared" si="20"/>
        <v>36000</v>
      </c>
      <c r="Q131" s="46"/>
      <c r="R131" s="135">
        <f t="shared" si="21"/>
        <v>-36000</v>
      </c>
      <c r="S131" s="174" t="s">
        <v>1692</v>
      </c>
      <c r="T131" s="12"/>
    </row>
    <row r="132" spans="1:20" s="38" customFormat="1" ht="28.5">
      <c r="A132" s="255"/>
      <c r="B132" s="5">
        <v>54</v>
      </c>
      <c r="C132" s="114" t="s">
        <v>1566</v>
      </c>
      <c r="D132" s="114" t="s">
        <v>1566</v>
      </c>
      <c r="E132" s="118" t="s">
        <v>1598</v>
      </c>
      <c r="F132" s="163" t="s">
        <v>1602</v>
      </c>
      <c r="G132" s="52"/>
      <c r="H132" s="173" t="str">
        <f>_xlfn.IFNA(VLOOKUP($F132,'3.框架内物料'!$A:$E,4,0),"")</f>
        <v>接待用车-车辆-车辆物流-运营车辆-中型车-考斯特，可使用同等类型车辆，1天8小时 or 100km计算，超出公里数及时间另计费</v>
      </c>
      <c r="I132" s="161" t="str">
        <f>_xlfn.IFNA(VLOOKUP($F132,'3.框架内物料'!$A:$E,5,0),"")</f>
        <v>辆/天</v>
      </c>
      <c r="J132" s="171">
        <f>_xlfn.IFNA(VLOOKUP($F132,'3.框架内物料'!$A:$F,6,0),"")</f>
        <v>1500</v>
      </c>
      <c r="K132" s="66"/>
      <c r="L132" s="10">
        <v>1</v>
      </c>
      <c r="M132" s="10"/>
      <c r="N132" s="10">
        <v>8</v>
      </c>
      <c r="O132" s="69"/>
      <c r="P132" s="169">
        <f t="shared" ref="P132" si="36">IFERROR(N132*L132*J132,0)</f>
        <v>12000</v>
      </c>
      <c r="Q132" s="46"/>
      <c r="R132" s="135">
        <f t="shared" ref="R132" si="37">Q132-P132</f>
        <v>-12000</v>
      </c>
      <c r="S132" s="174" t="s">
        <v>1669</v>
      </c>
      <c r="T132" s="12"/>
    </row>
    <row r="133" spans="1:20" s="38" customFormat="1" ht="28.5">
      <c r="A133" s="255"/>
      <c r="B133" s="5">
        <v>55</v>
      </c>
      <c r="C133" s="114" t="s">
        <v>1566</v>
      </c>
      <c r="D133" s="114" t="s">
        <v>1566</v>
      </c>
      <c r="E133" s="118" t="s">
        <v>1598</v>
      </c>
      <c r="F133" s="163" t="s">
        <v>1603</v>
      </c>
      <c r="G133" s="52"/>
      <c r="H133" s="173" t="str">
        <f>_xlfn.IFNA(VLOOKUP($F133,'3.框架内物料'!$A:$E,4,0),"")</f>
        <v>接待用车-车辆-车辆物流-运营车辆-50人座大巴车，1天8小时 or 100km计算，超出公里数及时间另计费</v>
      </c>
      <c r="I133" s="161" t="str">
        <f>_xlfn.IFNA(VLOOKUP($F133,'3.框架内物料'!$A:$E,5,0),"")</f>
        <v>辆/天</v>
      </c>
      <c r="J133" s="171">
        <f>_xlfn.IFNA(VLOOKUP($F133,'3.框架内物料'!$A:$F,6,0),"")</f>
        <v>1866.67</v>
      </c>
      <c r="K133" s="66"/>
      <c r="L133" s="10">
        <v>6</v>
      </c>
      <c r="M133" s="10"/>
      <c r="N133" s="10">
        <v>4</v>
      </c>
      <c r="O133" s="69"/>
      <c r="P133" s="169">
        <f t="shared" si="20"/>
        <v>44800.08</v>
      </c>
      <c r="Q133" s="46"/>
      <c r="R133" s="135">
        <f t="shared" si="21"/>
        <v>-44800.08</v>
      </c>
      <c r="S133" s="174" t="s">
        <v>1693</v>
      </c>
      <c r="T133" s="12"/>
    </row>
    <row r="134" spans="1:20" s="38" customFormat="1" ht="28.5">
      <c r="A134" s="255"/>
      <c r="B134" s="5">
        <v>56</v>
      </c>
      <c r="C134" s="114" t="s">
        <v>1665</v>
      </c>
      <c r="D134" s="114" t="s">
        <v>1665</v>
      </c>
      <c r="E134" s="118" t="s">
        <v>1598</v>
      </c>
      <c r="F134" s="163" t="s">
        <v>1666</v>
      </c>
      <c r="G134" s="52"/>
      <c r="H134" s="173" t="str">
        <f>_xlfn.IFNA(VLOOKUP($F134,'3.框架内物料'!$A:$E,4,0),"")</f>
        <v>搭建制作-车辆-车辆物流-货车-市内运输-15m 货车，距离30km内</v>
      </c>
      <c r="I134" s="161" t="str">
        <f>_xlfn.IFNA(VLOOKUP($F134,'3.框架内物料'!$A:$E,5,0),"")</f>
        <v>车次</v>
      </c>
      <c r="J134" s="171">
        <f>_xlfn.IFNA(VLOOKUP($F134,'3.框架内物料'!$A:$F,6,0),"")</f>
        <v>2300</v>
      </c>
      <c r="K134" s="66"/>
      <c r="L134" s="10">
        <v>4</v>
      </c>
      <c r="M134" s="10"/>
      <c r="N134" s="10">
        <v>4</v>
      </c>
      <c r="O134" s="69"/>
      <c r="P134" s="169">
        <f t="shared" si="20"/>
        <v>36800</v>
      </c>
      <c r="Q134" s="46"/>
      <c r="R134" s="135">
        <f t="shared" si="21"/>
        <v>-36800</v>
      </c>
      <c r="S134" s="39" t="s">
        <v>1667</v>
      </c>
      <c r="T134" s="12"/>
    </row>
    <row r="135" spans="1:20" s="38" customFormat="1">
      <c r="A135" s="255"/>
      <c r="B135" s="5">
        <v>57</v>
      </c>
      <c r="C135" s="114" t="s">
        <v>1593</v>
      </c>
      <c r="D135" s="114" t="s">
        <v>1593</v>
      </c>
      <c r="E135" s="118" t="s">
        <v>1598</v>
      </c>
      <c r="F135" s="40" t="s">
        <v>683</v>
      </c>
      <c r="G135" s="52"/>
      <c r="H135" s="170" t="s">
        <v>1605</v>
      </c>
      <c r="I135" s="161" t="s">
        <v>1606</v>
      </c>
      <c r="J135" s="171">
        <f>2000*1.06</f>
        <v>2120</v>
      </c>
      <c r="K135" s="12"/>
      <c r="L135" s="10">
        <v>30</v>
      </c>
      <c r="M135" s="10"/>
      <c r="N135" s="10">
        <v>3</v>
      </c>
      <c r="O135" s="10"/>
      <c r="P135" s="169">
        <f t="shared" ref="P135:P139" si="38">N135*L135*J135</f>
        <v>190800</v>
      </c>
      <c r="Q135" s="46"/>
      <c r="R135" s="135">
        <f t="shared" si="21"/>
        <v>-190800</v>
      </c>
      <c r="S135" s="39" t="s">
        <v>1609</v>
      </c>
      <c r="T135" s="12"/>
    </row>
    <row r="136" spans="1:20" s="38" customFormat="1">
      <c r="A136" s="255"/>
      <c r="B136" s="5">
        <v>58</v>
      </c>
      <c r="C136" s="114" t="s">
        <v>1593</v>
      </c>
      <c r="D136" s="114" t="s">
        <v>1593</v>
      </c>
      <c r="E136" s="118" t="s">
        <v>1598</v>
      </c>
      <c r="F136" s="40" t="s">
        <v>683</v>
      </c>
      <c r="G136" s="52"/>
      <c r="H136" s="170" t="s">
        <v>1607</v>
      </c>
      <c r="I136" s="161" t="s">
        <v>1606</v>
      </c>
      <c r="J136" s="171">
        <f>3500*1.06</f>
        <v>3710</v>
      </c>
      <c r="K136" s="12"/>
      <c r="L136" s="10">
        <v>20</v>
      </c>
      <c r="M136" s="10"/>
      <c r="N136" s="10">
        <v>3</v>
      </c>
      <c r="O136" s="10"/>
      <c r="P136" s="169">
        <f t="shared" si="38"/>
        <v>222600</v>
      </c>
      <c r="Q136" s="46"/>
      <c r="R136" s="135">
        <f t="shared" si="21"/>
        <v>-222600</v>
      </c>
      <c r="S136" s="39" t="s">
        <v>1610</v>
      </c>
      <c r="T136" s="12"/>
    </row>
    <row r="137" spans="1:20" s="288" customFormat="1">
      <c r="A137" s="255"/>
      <c r="B137" s="208">
        <v>59</v>
      </c>
      <c r="C137" s="221" t="s">
        <v>1593</v>
      </c>
      <c r="D137" s="221" t="s">
        <v>1593</v>
      </c>
      <c r="E137" s="284" t="s">
        <v>1598</v>
      </c>
      <c r="F137" s="212" t="s">
        <v>683</v>
      </c>
      <c r="G137" s="213"/>
      <c r="H137" s="223" t="s">
        <v>1694</v>
      </c>
      <c r="I137" s="213" t="s">
        <v>1606</v>
      </c>
      <c r="J137" s="214">
        <f>2200*1.06</f>
        <v>2332</v>
      </c>
      <c r="K137" s="285"/>
      <c r="L137" s="210">
        <v>20</v>
      </c>
      <c r="M137" s="210"/>
      <c r="N137" s="210">
        <v>3</v>
      </c>
      <c r="O137" s="210"/>
      <c r="P137" s="286">
        <f t="shared" ref="P137" si="39">N137*L137*J137</f>
        <v>139920</v>
      </c>
      <c r="Q137" s="217"/>
      <c r="R137" s="218">
        <f t="shared" ref="R137" si="40">Q137-P137</f>
        <v>-139920</v>
      </c>
      <c r="S137" s="287" t="s">
        <v>1610</v>
      </c>
      <c r="T137" s="285"/>
    </row>
    <row r="138" spans="1:20" s="38" customFormat="1">
      <c r="A138" s="255"/>
      <c r="B138" s="5">
        <v>60</v>
      </c>
      <c r="C138" s="114" t="s">
        <v>1593</v>
      </c>
      <c r="D138" s="114" t="s">
        <v>1593</v>
      </c>
      <c r="E138" s="118" t="s">
        <v>1598</v>
      </c>
      <c r="F138" s="40" t="s">
        <v>683</v>
      </c>
      <c r="G138" s="52"/>
      <c r="H138" s="170" t="s">
        <v>1608</v>
      </c>
      <c r="I138" s="161" t="s">
        <v>1606</v>
      </c>
      <c r="J138" s="171">
        <f>3500*1.06</f>
        <v>3710</v>
      </c>
      <c r="K138" s="12"/>
      <c r="L138" s="10">
        <v>10</v>
      </c>
      <c r="M138" s="10"/>
      <c r="N138" s="10">
        <v>4</v>
      </c>
      <c r="O138" s="10"/>
      <c r="P138" s="169">
        <f t="shared" si="38"/>
        <v>148400</v>
      </c>
      <c r="Q138" s="46"/>
      <c r="R138" s="135">
        <f t="shared" si="21"/>
        <v>-148400</v>
      </c>
      <c r="S138" s="39" t="s">
        <v>1610</v>
      </c>
      <c r="T138" s="12"/>
    </row>
    <row r="139" spans="1:20" s="38" customFormat="1">
      <c r="A139" s="255"/>
      <c r="B139" s="5">
        <v>61</v>
      </c>
      <c r="C139" s="114" t="s">
        <v>1593</v>
      </c>
      <c r="D139" s="114" t="s">
        <v>1593</v>
      </c>
      <c r="E139" s="118" t="s">
        <v>1598</v>
      </c>
      <c r="F139" s="40" t="s">
        <v>683</v>
      </c>
      <c r="G139" s="52"/>
      <c r="H139" s="170" t="s">
        <v>1680</v>
      </c>
      <c r="I139" s="161" t="s">
        <v>1606</v>
      </c>
      <c r="J139" s="171">
        <f>3000*1.06</f>
        <v>3180</v>
      </c>
      <c r="K139" s="12"/>
      <c r="L139" s="10">
        <v>5</v>
      </c>
      <c r="M139" s="10"/>
      <c r="N139" s="10">
        <v>3</v>
      </c>
      <c r="O139" s="10"/>
      <c r="P139" s="169">
        <f t="shared" si="38"/>
        <v>47700</v>
      </c>
      <c r="Q139" s="46"/>
      <c r="R139" s="135">
        <f t="shared" si="21"/>
        <v>-47700</v>
      </c>
      <c r="S139" s="39" t="s">
        <v>1610</v>
      </c>
      <c r="T139" s="12"/>
    </row>
    <row r="140" spans="1:20" s="38" customFormat="1">
      <c r="A140" s="255"/>
      <c r="B140" s="5">
        <v>62</v>
      </c>
      <c r="C140" s="114" t="s">
        <v>1637</v>
      </c>
      <c r="D140" s="114" t="s">
        <v>1637</v>
      </c>
      <c r="E140" s="114" t="s">
        <v>1637</v>
      </c>
      <c r="F140" s="40" t="s">
        <v>683</v>
      </c>
      <c r="G140" s="52" t="str">
        <f>IF(F140="框架外物料","请勿填写",IF(F140="据实结算","请勿填写",""))</f>
        <v>请勿填写</v>
      </c>
      <c r="H140" s="35" t="s">
        <v>1638</v>
      </c>
      <c r="I140" s="11" t="s">
        <v>1563</v>
      </c>
      <c r="J140" s="189">
        <f>30*1.06</f>
        <v>31.8</v>
      </c>
      <c r="K140" s="66"/>
      <c r="L140" s="10">
        <v>400</v>
      </c>
      <c r="M140" s="10"/>
      <c r="N140" s="10">
        <v>1</v>
      </c>
      <c r="O140" s="69"/>
      <c r="P140" s="169">
        <f t="shared" si="20"/>
        <v>12720</v>
      </c>
      <c r="Q140" s="46"/>
      <c r="R140" s="135">
        <f t="shared" si="21"/>
        <v>-12720</v>
      </c>
      <c r="S140" s="5"/>
      <c r="T140" s="12"/>
    </row>
    <row r="141" spans="1:20" ht="14.1" customHeight="1">
      <c r="A141" s="256"/>
      <c r="B141" s="123"/>
      <c r="C141" s="125"/>
      <c r="D141" s="158"/>
      <c r="E141" s="125"/>
      <c r="F141" s="124"/>
      <c r="G141" s="124" t="str">
        <f>_xlfn.IFNA(IF(VLOOKUP($F141,'3.框架内物料'!$A:$E,2,0)=0,"请勿填写",VLOOKUP($F141,'3.框架内物料'!$A:$E,2,0)),"")</f>
        <v/>
      </c>
      <c r="H141" s="124" t="str">
        <f>_xlfn.IFNA(VLOOKUP($F141,'3.框架内物料'!$A:$E,4,0),"")</f>
        <v/>
      </c>
      <c r="I141" s="158" t="str">
        <f>_xlfn.IFNA(VLOOKUP($F141,'3.框架内物料'!$A:$E,5,0),"")</f>
        <v/>
      </c>
      <c r="J141" s="124"/>
      <c r="K141" s="252" t="s">
        <v>716</v>
      </c>
      <c r="L141" s="252"/>
      <c r="M141" s="252"/>
      <c r="N141" s="252"/>
      <c r="O141" s="253"/>
      <c r="P141" s="192">
        <f>SUM(P79:P140)</f>
        <v>7040088.8799999999</v>
      </c>
      <c r="Q141" s="128">
        <f>SUM(Q79:Q140)</f>
        <v>0</v>
      </c>
      <c r="R141" s="136">
        <f>Q141-P141</f>
        <v>-7040088.8799999999</v>
      </c>
      <c r="T141" s="13"/>
    </row>
    <row r="142" spans="1:20" s="38" customFormat="1" ht="28.5">
      <c r="A142" s="257" t="s">
        <v>1247</v>
      </c>
      <c r="B142" s="5">
        <v>1</v>
      </c>
      <c r="C142" s="114" t="s">
        <v>1611</v>
      </c>
      <c r="D142" s="114" t="s">
        <v>1611</v>
      </c>
      <c r="E142" s="114" t="s">
        <v>1611</v>
      </c>
      <c r="F142" s="37" t="s">
        <v>1225</v>
      </c>
      <c r="G142" s="52" t="str">
        <f>_xlfn.IFNA(IF(VLOOKUP($F142,'3.框架内物料'!$A:$E,2,0)=0,"请勿填写",VLOOKUP($F142,'3.框架内物料'!$A:$E,2,0)),"")</f>
        <v>请勿填写</v>
      </c>
      <c r="H142" s="170" t="str">
        <f>_xlfn.IFNA(VLOOKUP($F142,'3.框架内物料'!$A:$E,4,0),"")</f>
        <v>物料采买-物料采买-物料采买-直接采买型，需提供购买链接/购买凭证</v>
      </c>
      <c r="I142" s="161" t="str">
        <f>_xlfn.IFNA(VLOOKUP($F142,'3.框架内物料'!$A:$E,5,0),"")</f>
        <v>项</v>
      </c>
      <c r="J142" s="189">
        <v>60000</v>
      </c>
      <c r="K142" s="66"/>
      <c r="L142" s="10">
        <v>1</v>
      </c>
      <c r="M142" s="10"/>
      <c r="N142" s="10">
        <v>1</v>
      </c>
      <c r="O142" s="69"/>
      <c r="P142" s="46">
        <f t="shared" ref="P142:P152" si="41">IFERROR(N142*L142*J142,0)</f>
        <v>60000</v>
      </c>
      <c r="Q142" s="46"/>
      <c r="R142" s="135">
        <f t="shared" ref="R142:R159" si="42">Q142-P142</f>
        <v>-60000</v>
      </c>
      <c r="S142" s="8" t="s">
        <v>1682</v>
      </c>
      <c r="T142" s="12"/>
    </row>
    <row r="143" spans="1:20" s="38" customFormat="1">
      <c r="A143" s="255"/>
      <c r="B143" s="5">
        <v>2</v>
      </c>
      <c r="C143" s="114" t="s">
        <v>1626</v>
      </c>
      <c r="D143" s="114" t="s">
        <v>1626</v>
      </c>
      <c r="E143" s="114" t="s">
        <v>1612</v>
      </c>
      <c r="F143" s="40" t="s">
        <v>682</v>
      </c>
      <c r="G143" s="52"/>
      <c r="H143" s="10" t="s">
        <v>1612</v>
      </c>
      <c r="I143" s="11" t="s">
        <v>1621</v>
      </c>
      <c r="J143" s="188">
        <f>98*1.06</f>
        <v>103.88000000000001</v>
      </c>
      <c r="K143" s="12"/>
      <c r="L143" s="10">
        <v>400</v>
      </c>
      <c r="M143" s="10"/>
      <c r="N143" s="10">
        <v>1</v>
      </c>
      <c r="O143" s="69"/>
      <c r="P143" s="46">
        <f t="shared" si="41"/>
        <v>41552.000000000007</v>
      </c>
      <c r="Q143" s="46"/>
      <c r="R143" s="135">
        <f t="shared" si="42"/>
        <v>-41552.000000000007</v>
      </c>
      <c r="S143" s="175" t="s">
        <v>1677</v>
      </c>
      <c r="T143" s="12"/>
    </row>
    <row r="144" spans="1:20" s="38" customFormat="1">
      <c r="A144" s="255"/>
      <c r="B144" s="5">
        <v>3</v>
      </c>
      <c r="C144" s="114" t="s">
        <v>1626</v>
      </c>
      <c r="D144" s="114" t="s">
        <v>1626</v>
      </c>
      <c r="E144" s="114" t="s">
        <v>1613</v>
      </c>
      <c r="F144" s="40" t="s">
        <v>682</v>
      </c>
      <c r="G144" s="52"/>
      <c r="H144" s="10" t="s">
        <v>1613</v>
      </c>
      <c r="I144" s="11" t="s">
        <v>1621</v>
      </c>
      <c r="J144" s="188">
        <f>10*1.06</f>
        <v>10.600000000000001</v>
      </c>
      <c r="K144" s="12"/>
      <c r="L144" s="10">
        <v>400</v>
      </c>
      <c r="M144" s="10"/>
      <c r="N144" s="10">
        <v>1</v>
      </c>
      <c r="O144" s="69"/>
      <c r="P144" s="46">
        <f t="shared" si="41"/>
        <v>4240.0000000000009</v>
      </c>
      <c r="Q144" s="46"/>
      <c r="R144" s="135">
        <f t="shared" si="42"/>
        <v>-4240.0000000000009</v>
      </c>
      <c r="S144" s="175"/>
      <c r="T144" s="12"/>
    </row>
    <row r="145" spans="1:20" s="38" customFormat="1">
      <c r="A145" s="255"/>
      <c r="B145" s="5">
        <v>4</v>
      </c>
      <c r="C145" s="114" t="s">
        <v>1626</v>
      </c>
      <c r="D145" s="114" t="s">
        <v>1626</v>
      </c>
      <c r="E145" s="114" t="s">
        <v>1614</v>
      </c>
      <c r="F145" s="40" t="s">
        <v>682</v>
      </c>
      <c r="G145" s="52"/>
      <c r="H145" s="10" t="s">
        <v>1614</v>
      </c>
      <c r="I145" s="11" t="s">
        <v>1521</v>
      </c>
      <c r="J145" s="188">
        <f>12*1.06</f>
        <v>12.72</v>
      </c>
      <c r="K145" s="12"/>
      <c r="L145" s="10">
        <v>400</v>
      </c>
      <c r="M145" s="10"/>
      <c r="N145" s="10">
        <v>1</v>
      </c>
      <c r="O145" s="69"/>
      <c r="P145" s="46">
        <f t="shared" si="41"/>
        <v>5088</v>
      </c>
      <c r="Q145" s="46"/>
      <c r="R145" s="135">
        <f t="shared" si="42"/>
        <v>-5088</v>
      </c>
      <c r="S145" s="175"/>
      <c r="T145" s="12"/>
    </row>
    <row r="146" spans="1:20" s="38" customFormat="1">
      <c r="A146" s="255"/>
      <c r="B146" s="5">
        <v>5</v>
      </c>
      <c r="C146" s="114" t="s">
        <v>1626</v>
      </c>
      <c r="D146" s="114" t="s">
        <v>1626</v>
      </c>
      <c r="E146" s="114" t="s">
        <v>1615</v>
      </c>
      <c r="F146" s="40" t="s">
        <v>682</v>
      </c>
      <c r="G146" s="52"/>
      <c r="H146" s="10" t="s">
        <v>1615</v>
      </c>
      <c r="I146" s="11" t="s">
        <v>1521</v>
      </c>
      <c r="J146" s="188">
        <f>38*1.06</f>
        <v>40.28</v>
      </c>
      <c r="K146" s="12"/>
      <c r="L146" s="10">
        <v>280</v>
      </c>
      <c r="M146" s="10"/>
      <c r="N146" s="10">
        <v>1</v>
      </c>
      <c r="O146" s="69"/>
      <c r="P146" s="46">
        <f t="shared" si="41"/>
        <v>11278.4</v>
      </c>
      <c r="Q146" s="46"/>
      <c r="R146" s="135">
        <f t="shared" si="42"/>
        <v>-11278.4</v>
      </c>
      <c r="S146" s="175"/>
      <c r="T146" s="12"/>
    </row>
    <row r="147" spans="1:20" s="38" customFormat="1">
      <c r="A147" s="255"/>
      <c r="B147" s="5">
        <v>6</v>
      </c>
      <c r="C147" s="114" t="s">
        <v>1626</v>
      </c>
      <c r="D147" s="114" t="s">
        <v>1626</v>
      </c>
      <c r="E147" s="114" t="s">
        <v>1616</v>
      </c>
      <c r="F147" s="40" t="s">
        <v>682</v>
      </c>
      <c r="G147" s="52"/>
      <c r="H147" s="10" t="s">
        <v>1616</v>
      </c>
      <c r="I147" s="11" t="s">
        <v>1621</v>
      </c>
      <c r="J147" s="188">
        <f>78*1.06</f>
        <v>82.68</v>
      </c>
      <c r="K147" s="12"/>
      <c r="L147" s="10">
        <v>280</v>
      </c>
      <c r="M147" s="10"/>
      <c r="N147" s="10">
        <v>1</v>
      </c>
      <c r="O147" s="69"/>
      <c r="P147" s="46">
        <f t="shared" si="41"/>
        <v>23150.400000000001</v>
      </c>
      <c r="Q147" s="46"/>
      <c r="R147" s="135">
        <f t="shared" si="42"/>
        <v>-23150.400000000001</v>
      </c>
      <c r="S147" s="175"/>
      <c r="T147" s="12"/>
    </row>
    <row r="148" spans="1:20" s="38" customFormat="1">
      <c r="A148" s="255"/>
      <c r="B148" s="5">
        <v>7</v>
      </c>
      <c r="C148" s="114" t="s">
        <v>1626</v>
      </c>
      <c r="D148" s="114" t="s">
        <v>1626</v>
      </c>
      <c r="E148" s="114" t="s">
        <v>1617</v>
      </c>
      <c r="F148" s="40" t="s">
        <v>682</v>
      </c>
      <c r="G148" s="52"/>
      <c r="H148" s="10" t="s">
        <v>1617</v>
      </c>
      <c r="I148" s="11" t="s">
        <v>1521</v>
      </c>
      <c r="J148" s="188">
        <f>10*1.06</f>
        <v>10.600000000000001</v>
      </c>
      <c r="K148" s="12"/>
      <c r="L148" s="10">
        <v>280</v>
      </c>
      <c r="M148" s="10"/>
      <c r="N148" s="44">
        <v>1</v>
      </c>
      <c r="O148" s="69"/>
      <c r="P148" s="46">
        <f t="shared" si="41"/>
        <v>2968.0000000000005</v>
      </c>
      <c r="Q148" s="46"/>
      <c r="R148" s="135">
        <f t="shared" si="42"/>
        <v>-2968.0000000000005</v>
      </c>
      <c r="S148" s="175"/>
      <c r="T148" s="12"/>
    </row>
    <row r="149" spans="1:20" s="38" customFormat="1">
      <c r="A149" s="255"/>
      <c r="B149" s="5">
        <v>8</v>
      </c>
      <c r="C149" s="114" t="s">
        <v>1626</v>
      </c>
      <c r="D149" s="114" t="s">
        <v>1626</v>
      </c>
      <c r="E149" s="114" t="s">
        <v>1618</v>
      </c>
      <c r="F149" s="40" t="s">
        <v>682</v>
      </c>
      <c r="G149" s="52"/>
      <c r="H149" s="10" t="s">
        <v>1618</v>
      </c>
      <c r="I149" s="11" t="s">
        <v>1515</v>
      </c>
      <c r="J149" s="188">
        <f>49*1.06</f>
        <v>51.940000000000005</v>
      </c>
      <c r="K149" s="12"/>
      <c r="L149" s="10">
        <v>280</v>
      </c>
      <c r="M149" s="10"/>
      <c r="N149" s="10">
        <v>1</v>
      </c>
      <c r="O149" s="69"/>
      <c r="P149" s="46">
        <f t="shared" si="41"/>
        <v>14543.2</v>
      </c>
      <c r="Q149" s="46"/>
      <c r="R149" s="135">
        <f t="shared" si="42"/>
        <v>-14543.2</v>
      </c>
      <c r="S149" s="175"/>
      <c r="T149" s="12"/>
    </row>
    <row r="150" spans="1:20" s="38" customFormat="1">
      <c r="A150" s="255"/>
      <c r="B150" s="5">
        <v>9</v>
      </c>
      <c r="C150" s="114" t="s">
        <v>1626</v>
      </c>
      <c r="D150" s="114" t="s">
        <v>1626</v>
      </c>
      <c r="E150" s="114" t="s">
        <v>1619</v>
      </c>
      <c r="F150" s="40" t="s">
        <v>682</v>
      </c>
      <c r="G150" s="52"/>
      <c r="H150" s="10" t="s">
        <v>1683</v>
      </c>
      <c r="I150" s="11" t="s">
        <v>1505</v>
      </c>
      <c r="J150" s="188">
        <f>200*1.06</f>
        <v>212</v>
      </c>
      <c r="K150" s="12"/>
      <c r="L150" s="10">
        <v>5</v>
      </c>
      <c r="M150" s="10"/>
      <c r="N150" s="10">
        <v>1</v>
      </c>
      <c r="O150" s="69"/>
      <c r="P150" s="46">
        <f t="shared" si="41"/>
        <v>1060</v>
      </c>
      <c r="Q150" s="46"/>
      <c r="R150" s="135">
        <f t="shared" si="42"/>
        <v>-1060</v>
      </c>
      <c r="S150" s="175"/>
      <c r="T150" s="12"/>
    </row>
    <row r="151" spans="1:20" s="38" customFormat="1">
      <c r="A151" s="255"/>
      <c r="B151" s="5">
        <v>10</v>
      </c>
      <c r="C151" s="114" t="s">
        <v>1626</v>
      </c>
      <c r="D151" s="114" t="s">
        <v>1626</v>
      </c>
      <c r="E151" s="114" t="s">
        <v>1630</v>
      </c>
      <c r="F151" s="40" t="s">
        <v>682</v>
      </c>
      <c r="G151" s="52" t="str">
        <f>_xlfn.IFNA(IF(VLOOKUP($F151,'3.框架内物料'!$A:$E,2,0)=0,"请勿填写",VLOOKUP($F151,'3.框架内物料'!$A:$E,2,0)),"")</f>
        <v/>
      </c>
      <c r="H151" s="10" t="s">
        <v>1630</v>
      </c>
      <c r="I151" s="11" t="s">
        <v>1505</v>
      </c>
      <c r="J151" s="188">
        <f>179*1.06</f>
        <v>189.74</v>
      </c>
      <c r="K151" s="12"/>
      <c r="L151" s="10">
        <v>380</v>
      </c>
      <c r="M151" s="10"/>
      <c r="N151" s="10">
        <v>1</v>
      </c>
      <c r="O151" s="69"/>
      <c r="P151" s="46">
        <f t="shared" si="41"/>
        <v>72101.2</v>
      </c>
      <c r="Q151" s="46"/>
      <c r="R151" s="135">
        <f t="shared" si="42"/>
        <v>-72101.2</v>
      </c>
      <c r="S151" s="48"/>
      <c r="T151" s="12"/>
    </row>
    <row r="152" spans="1:20" s="38" customFormat="1">
      <c r="A152" s="255"/>
      <c r="B152" s="5">
        <v>11</v>
      </c>
      <c r="C152" s="114" t="s">
        <v>1626</v>
      </c>
      <c r="D152" s="114" t="s">
        <v>1626</v>
      </c>
      <c r="E152" s="114" t="s">
        <v>1627</v>
      </c>
      <c r="F152" s="40" t="s">
        <v>682</v>
      </c>
      <c r="G152" s="52"/>
      <c r="H152" s="10" t="s">
        <v>1627</v>
      </c>
      <c r="I152" s="11" t="s">
        <v>1505</v>
      </c>
      <c r="J152" s="188">
        <f>69*1.06</f>
        <v>73.14</v>
      </c>
      <c r="K152" s="12"/>
      <c r="L152" s="10">
        <v>280</v>
      </c>
      <c r="M152" s="10"/>
      <c r="N152" s="10">
        <v>1</v>
      </c>
      <c r="O152" s="69"/>
      <c r="P152" s="46">
        <f t="shared" si="41"/>
        <v>20479.2</v>
      </c>
      <c r="Q152" s="46"/>
      <c r="R152" s="135">
        <f t="shared" si="42"/>
        <v>-20479.2</v>
      </c>
      <c r="S152" s="48"/>
      <c r="T152" s="12"/>
    </row>
    <row r="153" spans="1:20" s="38" customFormat="1">
      <c r="A153" s="255"/>
      <c r="B153" s="5">
        <v>12</v>
      </c>
      <c r="C153" s="114" t="s">
        <v>1626</v>
      </c>
      <c r="D153" s="114" t="s">
        <v>1626</v>
      </c>
      <c r="E153" s="114" t="s">
        <v>1628</v>
      </c>
      <c r="F153" s="40" t="s">
        <v>682</v>
      </c>
      <c r="G153" s="52"/>
      <c r="H153" s="10" t="s">
        <v>1628</v>
      </c>
      <c r="I153" s="11" t="s">
        <v>1505</v>
      </c>
      <c r="J153" s="188">
        <v>10.6</v>
      </c>
      <c r="K153" s="12"/>
      <c r="L153" s="10">
        <v>400</v>
      </c>
      <c r="M153" s="10"/>
      <c r="N153" s="10">
        <v>1</v>
      </c>
      <c r="O153" s="69"/>
      <c r="P153" s="46">
        <f t="shared" ref="P153:P158" si="43">IFERROR(N153*L153*J153,0)</f>
        <v>4240</v>
      </c>
      <c r="Q153" s="46"/>
      <c r="R153" s="135">
        <f t="shared" si="42"/>
        <v>-4240</v>
      </c>
      <c r="S153" s="48"/>
      <c r="T153" s="12"/>
    </row>
    <row r="154" spans="1:20" s="38" customFormat="1">
      <c r="A154" s="255"/>
      <c r="B154" s="5">
        <v>13</v>
      </c>
      <c r="C154" s="114" t="s">
        <v>1626</v>
      </c>
      <c r="D154" s="114" t="s">
        <v>1626</v>
      </c>
      <c r="E154" s="114" t="s">
        <v>1631</v>
      </c>
      <c r="F154" s="40" t="s">
        <v>682</v>
      </c>
      <c r="G154" s="52"/>
      <c r="H154" s="10" t="s">
        <v>1631</v>
      </c>
      <c r="I154" s="11" t="s">
        <v>1527</v>
      </c>
      <c r="J154" s="188">
        <f>20*1.06</f>
        <v>21.200000000000003</v>
      </c>
      <c r="K154" s="12"/>
      <c r="L154" s="10">
        <v>400</v>
      </c>
      <c r="M154" s="10"/>
      <c r="N154" s="10">
        <v>1</v>
      </c>
      <c r="O154" s="69"/>
      <c r="P154" s="46">
        <f t="shared" si="43"/>
        <v>8480.0000000000018</v>
      </c>
      <c r="Q154" s="46"/>
      <c r="R154" s="135">
        <f t="shared" si="42"/>
        <v>-8480.0000000000018</v>
      </c>
      <c r="S154" s="48"/>
      <c r="T154" s="12"/>
    </row>
    <row r="155" spans="1:20" s="38" customFormat="1">
      <c r="A155" s="255"/>
      <c r="B155" s="5">
        <v>14</v>
      </c>
      <c r="C155" s="114" t="s">
        <v>1626</v>
      </c>
      <c r="D155" s="114" t="s">
        <v>1626</v>
      </c>
      <c r="E155" s="114" t="s">
        <v>1685</v>
      </c>
      <c r="F155" s="40" t="s">
        <v>682</v>
      </c>
      <c r="G155" s="52"/>
      <c r="H155" s="10" t="s">
        <v>1685</v>
      </c>
      <c r="I155" s="11" t="s">
        <v>1505</v>
      </c>
      <c r="J155" s="188">
        <v>800</v>
      </c>
      <c r="K155" s="12"/>
      <c r="L155" s="10">
        <v>1</v>
      </c>
      <c r="M155" s="10"/>
      <c r="N155" s="10">
        <v>1</v>
      </c>
      <c r="O155" s="69"/>
      <c r="P155" s="46">
        <f t="shared" si="43"/>
        <v>800</v>
      </c>
      <c r="Q155" s="46"/>
      <c r="R155" s="135">
        <f t="shared" si="42"/>
        <v>-800</v>
      </c>
      <c r="S155" s="48"/>
      <c r="T155" s="12"/>
    </row>
    <row r="156" spans="1:20" s="38" customFormat="1">
      <c r="A156" s="255"/>
      <c r="B156" s="5">
        <v>15</v>
      </c>
      <c r="C156" s="114" t="s">
        <v>1626</v>
      </c>
      <c r="D156" s="114" t="s">
        <v>1626</v>
      </c>
      <c r="E156" s="114" t="s">
        <v>1686</v>
      </c>
      <c r="F156" s="40" t="s">
        <v>682</v>
      </c>
      <c r="G156" s="52"/>
      <c r="H156" s="10" t="s">
        <v>1686</v>
      </c>
      <c r="I156" s="11" t="s">
        <v>1640</v>
      </c>
      <c r="J156" s="188">
        <f>2*1.06</f>
        <v>2.12</v>
      </c>
      <c r="K156" s="12"/>
      <c r="L156" s="10">
        <v>1000</v>
      </c>
      <c r="M156" s="10"/>
      <c r="N156" s="10">
        <v>1</v>
      </c>
      <c r="O156" s="69"/>
      <c r="P156" s="46">
        <f t="shared" si="43"/>
        <v>2120</v>
      </c>
      <c r="Q156" s="46"/>
      <c r="R156" s="135">
        <f t="shared" si="42"/>
        <v>-2120</v>
      </c>
      <c r="S156" s="48"/>
      <c r="T156" s="12"/>
    </row>
    <row r="157" spans="1:20" s="38" customFormat="1">
      <c r="A157" s="255"/>
      <c r="B157" s="5">
        <v>16</v>
      </c>
      <c r="C157" s="114" t="s">
        <v>1626</v>
      </c>
      <c r="D157" s="114" t="s">
        <v>1626</v>
      </c>
      <c r="E157" s="114" t="s">
        <v>1687</v>
      </c>
      <c r="F157" s="40" t="s">
        <v>682</v>
      </c>
      <c r="G157" s="52" t="str">
        <f>_xlfn.IFNA(IF(VLOOKUP($F157,'3.框架内物料'!$A:$E,2,0)=0,"请勿填写",VLOOKUP($F157,'3.框架内物料'!$A:$E,2,0)),"")</f>
        <v/>
      </c>
      <c r="H157" s="10" t="s">
        <v>1687</v>
      </c>
      <c r="I157" s="11" t="s">
        <v>1299</v>
      </c>
      <c r="J157" s="188">
        <v>5000</v>
      </c>
      <c r="K157" s="12"/>
      <c r="L157" s="10">
        <v>1</v>
      </c>
      <c r="M157" s="10"/>
      <c r="N157" s="10">
        <v>1</v>
      </c>
      <c r="O157" s="69"/>
      <c r="P157" s="46">
        <f t="shared" ref="P157" si="44">IFERROR(N157*L157*J157,0)</f>
        <v>5000</v>
      </c>
      <c r="Q157" s="46"/>
      <c r="R157" s="135">
        <f t="shared" ref="R157" si="45">Q157-P157</f>
        <v>-5000</v>
      </c>
      <c r="S157" s="48"/>
      <c r="T157" s="12"/>
    </row>
    <row r="158" spans="1:20" s="38" customFormat="1" ht="28.5">
      <c r="A158" s="255"/>
      <c r="B158" s="5">
        <v>17</v>
      </c>
      <c r="C158" s="114" t="s">
        <v>1626</v>
      </c>
      <c r="D158" s="114" t="s">
        <v>1626</v>
      </c>
      <c r="E158" s="114" t="s">
        <v>1620</v>
      </c>
      <c r="F158" s="40" t="s">
        <v>682</v>
      </c>
      <c r="G158" s="52" t="str">
        <f>_xlfn.IFNA(IF(VLOOKUP($F158,'3.框架内物料'!$A:$E,2,0)=0,"请勿填写",VLOOKUP($F158,'3.框架内物料'!$A:$E,2,0)),"")</f>
        <v/>
      </c>
      <c r="H158" s="10" t="s">
        <v>1620</v>
      </c>
      <c r="I158" s="11" t="s">
        <v>1299</v>
      </c>
      <c r="J158" s="188">
        <f>5000*1.06</f>
        <v>5300</v>
      </c>
      <c r="K158" s="12"/>
      <c r="L158" s="10">
        <v>1</v>
      </c>
      <c r="M158" s="10"/>
      <c r="N158" s="10">
        <v>1</v>
      </c>
      <c r="O158" s="69"/>
      <c r="P158" s="46">
        <f t="shared" si="43"/>
        <v>5300</v>
      </c>
      <c r="Q158" s="46"/>
      <c r="R158" s="135">
        <f t="shared" si="42"/>
        <v>-5300</v>
      </c>
      <c r="S158" s="48"/>
      <c r="T158" s="12"/>
    </row>
    <row r="159" spans="1:20" ht="14.1" customHeight="1">
      <c r="A159" s="256"/>
      <c r="B159" s="123"/>
      <c r="C159" s="125"/>
      <c r="D159" s="158"/>
      <c r="E159" s="125"/>
      <c r="F159" s="124"/>
      <c r="G159" s="124" t="str">
        <f>_xlfn.IFNA(IF(VLOOKUP($F159,'3.框架内物料'!$A:$E,2,0)=0,"请勿填写",VLOOKUP($F159,'3.框架内物料'!$A:$E,2,0)),"")</f>
        <v/>
      </c>
      <c r="H159" s="124" t="str">
        <f>_xlfn.IFNA(VLOOKUP($F159,'3.框架内物料'!$A:$E,4,0),"")</f>
        <v/>
      </c>
      <c r="I159" s="158" t="str">
        <f>_xlfn.IFNA(VLOOKUP($F159,'3.框架内物料'!$A:$E,5,0),"")</f>
        <v/>
      </c>
      <c r="J159" s="124"/>
      <c r="K159" s="252" t="s">
        <v>717</v>
      </c>
      <c r="L159" s="252"/>
      <c r="M159" s="252"/>
      <c r="N159" s="252"/>
      <c r="O159" s="253"/>
      <c r="P159" s="128">
        <f>SUM(P142:P158)</f>
        <v>282400.40000000002</v>
      </c>
      <c r="Q159" s="128">
        <f>SUM(Q142:Q158)</f>
        <v>0</v>
      </c>
      <c r="R159" s="135">
        <f t="shared" si="42"/>
        <v>-282400.40000000002</v>
      </c>
      <c r="S159" s="13"/>
      <c r="T159" s="13"/>
    </row>
    <row r="160" spans="1:20" s="38" customFormat="1" ht="15" customHeight="1">
      <c r="A160" s="257" t="s">
        <v>1248</v>
      </c>
      <c r="B160" s="5">
        <v>1</v>
      </c>
      <c r="C160" s="10" t="s">
        <v>1622</v>
      </c>
      <c r="D160" s="10" t="s">
        <v>1622</v>
      </c>
      <c r="E160" s="117" t="s">
        <v>1670</v>
      </c>
      <c r="F160" s="37" t="s">
        <v>684</v>
      </c>
      <c r="G160" s="52" t="str">
        <f>_xlfn.IFNA(IF(VLOOKUP($F160,'3.框架内物料'!$A:$E,2,0)=0,"请勿填写",VLOOKUP($F160,'3.框架内物料'!$A:$E,2,0)),"")</f>
        <v>请勿填写</v>
      </c>
      <c r="H160" s="207" t="str">
        <f>_xlfn.IFNA(VLOOKUP($F160,'3.框架内物料'!$A:$E,4,0),"")</f>
        <v>场地相关-场地费用-场地租金-会议中心--</v>
      </c>
      <c r="I160" s="52" t="str">
        <f>_xlfn.IFNA(VLOOKUP($F160,'3.框架内物料'!$A:$E,5,0),"")</f>
        <v>项</v>
      </c>
      <c r="J160" s="190">
        <v>20000</v>
      </c>
      <c r="K160" s="64"/>
      <c r="L160" s="176">
        <v>1</v>
      </c>
      <c r="M160" s="176"/>
      <c r="N160" s="176">
        <v>7</v>
      </c>
      <c r="O160" s="69"/>
      <c r="P160" s="46">
        <f t="shared" ref="P160:P164" si="46">IFERROR(N160*L160*J160,0)</f>
        <v>140000</v>
      </c>
      <c r="Q160" s="46"/>
      <c r="R160" s="135">
        <f t="shared" ref="R160:R164" si="47">Q160-P160</f>
        <v>-140000</v>
      </c>
      <c r="S160" s="12"/>
      <c r="T160" s="12"/>
    </row>
    <row r="161" spans="1:20" s="38" customFormat="1">
      <c r="A161" s="255"/>
      <c r="B161" s="5">
        <v>2</v>
      </c>
      <c r="C161" s="114"/>
      <c r="D161" s="5"/>
      <c r="E161" s="117"/>
      <c r="F161" s="37"/>
      <c r="G161" s="52" t="str">
        <f>_xlfn.IFNA(IF(VLOOKUP($F161,'3.框架内物料'!$A:$E,2,0)=0,"请勿填写",VLOOKUP($F161,'3.框架内物料'!$A:$E,2,0)),"")</f>
        <v/>
      </c>
      <c r="H161" s="53" t="str">
        <f>_xlfn.IFNA(VLOOKUP($F161,'3.框架内物料'!$A:$E,4,0),"")</f>
        <v/>
      </c>
      <c r="I161" s="52" t="str">
        <f>_xlfn.IFNA(VLOOKUP($F161,'3.框架内物料'!$A:$E,5,0),"")</f>
        <v/>
      </c>
      <c r="J161" s="190"/>
      <c r="K161" s="64"/>
      <c r="L161" s="69"/>
      <c r="M161" s="69"/>
      <c r="N161" s="69"/>
      <c r="O161" s="69"/>
      <c r="P161" s="46">
        <f t="shared" ref="P161" si="48">IFERROR(N161*L161*J161,0)</f>
        <v>0</v>
      </c>
      <c r="Q161" s="46"/>
      <c r="R161" s="135">
        <f t="shared" ref="R161" si="49">Q161-P161</f>
        <v>0</v>
      </c>
      <c r="S161" s="12"/>
      <c r="T161" s="12"/>
    </row>
    <row r="162" spans="1:20" s="38" customFormat="1">
      <c r="A162" s="255"/>
      <c r="B162" s="5">
        <v>3</v>
      </c>
      <c r="C162" s="114"/>
      <c r="D162" s="5"/>
      <c r="E162" s="117"/>
      <c r="F162" s="37"/>
      <c r="G162" s="52" t="str">
        <f>_xlfn.IFNA(IF(VLOOKUP($F162,'3.框架内物料'!$A:$E,2,0)=0,"请勿填写",VLOOKUP($F162,'3.框架内物料'!$A:$E,2,0)),"")</f>
        <v/>
      </c>
      <c r="H162" s="53" t="str">
        <f>_xlfn.IFNA(VLOOKUP($F162,'3.框架内物料'!$A:$E,4,0),"")</f>
        <v/>
      </c>
      <c r="I162" s="52" t="str">
        <f>_xlfn.IFNA(VLOOKUP($F162,'3.框架内物料'!$A:$E,5,0),"")</f>
        <v/>
      </c>
      <c r="J162" s="190"/>
      <c r="K162" s="64"/>
      <c r="L162" s="69"/>
      <c r="M162" s="69"/>
      <c r="N162" s="69"/>
      <c r="O162" s="69"/>
      <c r="P162" s="46">
        <f t="shared" ref="P162" si="50">IFERROR(N162*L162*J162,0)</f>
        <v>0</v>
      </c>
      <c r="Q162" s="46"/>
      <c r="R162" s="135">
        <f t="shared" ref="R162" si="51">Q162-P162</f>
        <v>0</v>
      </c>
      <c r="S162" s="12"/>
      <c r="T162" s="12"/>
    </row>
    <row r="163" spans="1:20" s="38" customFormat="1">
      <c r="A163" s="255"/>
      <c r="B163" s="5">
        <v>4</v>
      </c>
      <c r="C163" s="114"/>
      <c r="D163" s="5"/>
      <c r="E163" s="117"/>
      <c r="F163" s="37"/>
      <c r="G163" s="52" t="str">
        <f>_xlfn.IFNA(IF(VLOOKUP($F163,'3.框架内物料'!$A:$E,2,0)=0,"请勿填写",VLOOKUP($F163,'3.框架内物料'!$A:$E,2,0)),"")</f>
        <v/>
      </c>
      <c r="H163" s="53" t="str">
        <f>_xlfn.IFNA(VLOOKUP($F163,'3.框架内物料'!$A:$E,4,0),"")</f>
        <v/>
      </c>
      <c r="I163" s="52" t="str">
        <f>_xlfn.IFNA(VLOOKUP($F163,'3.框架内物料'!$A:$E,5,0),"")</f>
        <v/>
      </c>
      <c r="J163" s="190"/>
      <c r="K163" s="64"/>
      <c r="L163" s="69"/>
      <c r="M163" s="69"/>
      <c r="N163" s="69"/>
      <c r="O163" s="69"/>
      <c r="P163" s="46">
        <f t="shared" ref="P163" si="52">IFERROR(N163*L163*J163,0)</f>
        <v>0</v>
      </c>
      <c r="Q163" s="46"/>
      <c r="R163" s="135">
        <f t="shared" ref="R163" si="53">Q163-P163</f>
        <v>0</v>
      </c>
      <c r="S163" s="12"/>
      <c r="T163" s="12"/>
    </row>
    <row r="164" spans="1:20" s="38" customFormat="1">
      <c r="A164" s="255"/>
      <c r="B164" s="5">
        <v>5</v>
      </c>
      <c r="C164" s="114"/>
      <c r="D164" s="5"/>
      <c r="E164" s="117"/>
      <c r="F164" s="40" t="s">
        <v>682</v>
      </c>
      <c r="G164" s="52" t="str">
        <f>IF(F164="框架外物料","请勿填写",IF(F164="据实结算","请勿填写",""))</f>
        <v>请勿填写</v>
      </c>
      <c r="H164" s="35"/>
      <c r="I164" s="11" t="s">
        <v>1299</v>
      </c>
      <c r="J164" s="186"/>
      <c r="K164" s="64"/>
      <c r="L164" s="69"/>
      <c r="M164" s="69"/>
      <c r="N164" s="69"/>
      <c r="O164" s="69"/>
      <c r="P164" s="46">
        <f t="shared" si="46"/>
        <v>0</v>
      </c>
      <c r="Q164" s="46"/>
      <c r="R164" s="135">
        <f t="shared" si="47"/>
        <v>0</v>
      </c>
      <c r="S164" s="12"/>
      <c r="T164" s="12"/>
    </row>
    <row r="165" spans="1:20" ht="14.1" customHeight="1">
      <c r="A165" s="256"/>
      <c r="B165" s="123"/>
      <c r="C165" s="125"/>
      <c r="D165" s="158"/>
      <c r="E165" s="125"/>
      <c r="F165" s="124"/>
      <c r="G165" s="124" t="str">
        <f>_xlfn.IFNA(IF(VLOOKUP($F165,'3.框架内物料'!$A:$E,2,0)=0,"请勿填写",VLOOKUP($F165,'3.框架内物料'!$A:$E,2,0)),"")</f>
        <v/>
      </c>
      <c r="H165" s="124" t="str">
        <f>_xlfn.IFNA(VLOOKUP($F165,'3.框架内物料'!$A:$E,4,0),"")</f>
        <v/>
      </c>
      <c r="I165" s="158" t="str">
        <f>_xlfn.IFNA(VLOOKUP($F165,'3.框架内物料'!$A:$E,5,0),"")</f>
        <v/>
      </c>
      <c r="J165" s="124"/>
      <c r="K165" s="252" t="s">
        <v>718</v>
      </c>
      <c r="L165" s="252"/>
      <c r="M165" s="252"/>
      <c r="N165" s="252"/>
      <c r="O165" s="253"/>
      <c r="P165" s="128">
        <f>SUM(P160:P164)</f>
        <v>140000</v>
      </c>
      <c r="Q165" s="128">
        <f>SUM(Q160:Q164)</f>
        <v>0</v>
      </c>
      <c r="R165" s="136">
        <f t="shared" ref="R165" si="54">Q165-P165</f>
        <v>-140000</v>
      </c>
      <c r="S165" s="13"/>
      <c r="T165" s="13"/>
    </row>
    <row r="166" spans="1:20" s="38" customFormat="1" ht="15" customHeight="1">
      <c r="A166" s="257" t="s">
        <v>1249</v>
      </c>
      <c r="B166" s="5">
        <v>1</v>
      </c>
      <c r="C166" s="117"/>
      <c r="D166" s="5"/>
      <c r="E166" s="114"/>
      <c r="F166" s="37" t="s">
        <v>685</v>
      </c>
      <c r="G166" s="52" t="str">
        <f>_xlfn.IFNA(IF(VLOOKUP($F166,'3.框架内物料'!$A:$E,2,0)=0,"请勿填写",VLOOKUP($F166,'3.框架内物料'!$A:$E,2,0)),"")</f>
        <v>请勿填写</v>
      </c>
      <c r="H166" s="53" t="str">
        <f>_xlfn.IFNA(VLOOKUP($F166,'3.框架内物料'!$A:$E,4,0),"")</f>
        <v>报批及安保-场地费用-管理费用-政府监管-场地文化报批</v>
      </c>
      <c r="I166" s="52" t="str">
        <f>_xlfn.IFNA(VLOOKUP($F166,'3.框架内物料'!$A:$E,5,0),"")</f>
        <v>项</v>
      </c>
      <c r="J166" s="186"/>
      <c r="K166" s="64"/>
      <c r="L166" s="69"/>
      <c r="M166" s="69"/>
      <c r="N166" s="69"/>
      <c r="O166" s="69"/>
      <c r="P166" s="46">
        <f t="shared" ref="P166:P167" si="55">IFERROR(N166*L166*J166,0)</f>
        <v>0</v>
      </c>
      <c r="Q166" s="46"/>
      <c r="R166" s="135">
        <f t="shared" ref="R166:R167" si="56">Q166-P166</f>
        <v>0</v>
      </c>
      <c r="S166" s="12"/>
      <c r="T166" s="12"/>
    </row>
    <row r="167" spans="1:20" s="38" customFormat="1">
      <c r="A167" s="255"/>
      <c r="B167" s="5">
        <v>2</v>
      </c>
      <c r="C167" s="117"/>
      <c r="D167" s="5"/>
      <c r="E167" s="114"/>
      <c r="F167" s="37"/>
      <c r="G167" s="52" t="str">
        <f>_xlfn.IFNA(IF(VLOOKUP($F167,'3.框架内物料'!$A:$E,2,0)=0,"请勿填写",VLOOKUP($F167,'3.框架内物料'!$A:$E,2,0)),"")</f>
        <v/>
      </c>
      <c r="H167" s="53" t="str">
        <f>_xlfn.IFNA(VLOOKUP($F167,'3.框架内物料'!$A:$E,4,0),"")</f>
        <v/>
      </c>
      <c r="I167" s="52" t="str">
        <f>_xlfn.IFNA(VLOOKUP($F167,'3.框架内物料'!$A:$E,5,0),"")</f>
        <v/>
      </c>
      <c r="J167" s="186"/>
      <c r="K167" s="64"/>
      <c r="L167" s="69"/>
      <c r="M167" s="69"/>
      <c r="N167" s="69"/>
      <c r="O167" s="69"/>
      <c r="P167" s="46">
        <f t="shared" si="55"/>
        <v>0</v>
      </c>
      <c r="Q167" s="46"/>
      <c r="R167" s="135">
        <f t="shared" si="56"/>
        <v>0</v>
      </c>
      <c r="S167" s="12"/>
      <c r="T167" s="12"/>
    </row>
    <row r="168" spans="1:20" s="38" customFormat="1">
      <c r="A168" s="255"/>
      <c r="B168" s="5">
        <v>3</v>
      </c>
      <c r="C168" s="117"/>
      <c r="D168" s="5"/>
      <c r="E168" s="114"/>
      <c r="F168" s="40" t="s">
        <v>682</v>
      </c>
      <c r="G168" s="52" t="str">
        <f>IF(F168="框架外物料","请勿填写",IF(F168="据实结算","请勿填写",""))</f>
        <v>请勿填写</v>
      </c>
      <c r="H168" s="35"/>
      <c r="I168" s="11" t="s">
        <v>1299</v>
      </c>
      <c r="J168" s="186"/>
      <c r="K168" s="64"/>
      <c r="L168" s="69"/>
      <c r="M168" s="69"/>
      <c r="N168" s="69"/>
      <c r="O168" s="69"/>
      <c r="P168" s="46">
        <f t="shared" ref="P168" si="57">IFERROR(N168*L168*J168,0)</f>
        <v>0</v>
      </c>
      <c r="Q168" s="46"/>
      <c r="R168" s="135">
        <f t="shared" ref="R168" si="58">Q168-P168</f>
        <v>0</v>
      </c>
      <c r="S168" s="12"/>
      <c r="T168" s="12"/>
    </row>
    <row r="169" spans="1:20" ht="14.1" customHeight="1">
      <c r="A169" s="256"/>
      <c r="B169" s="123"/>
      <c r="C169" s="125"/>
      <c r="D169" s="158"/>
      <c r="E169" s="125"/>
      <c r="F169" s="124"/>
      <c r="G169" s="124" t="str">
        <f>_xlfn.IFNA(IF(VLOOKUP($F169,'3.框架内物料'!$A:$E,2,0)=0,"请勿填写",VLOOKUP($F169,'3.框架内物料'!$A:$E,2,0)),"")</f>
        <v/>
      </c>
      <c r="H169" s="124" t="str">
        <f>_xlfn.IFNA(VLOOKUP($F169,'3.框架内物料'!$A:$E,4,0),"")</f>
        <v/>
      </c>
      <c r="I169" s="158" t="str">
        <f>_xlfn.IFNA(VLOOKUP($F169,'3.框架内物料'!$A:$E,5,0),"")</f>
        <v/>
      </c>
      <c r="J169" s="124"/>
      <c r="K169" s="252" t="s">
        <v>719</v>
      </c>
      <c r="L169" s="252"/>
      <c r="M169" s="252"/>
      <c r="N169" s="252"/>
      <c r="O169" s="253"/>
      <c r="P169" s="128">
        <f>SUM(P166:P167)</f>
        <v>0</v>
      </c>
      <c r="Q169" s="128">
        <f>SUM(Q166:Q167)</f>
        <v>0</v>
      </c>
      <c r="R169" s="136">
        <f t="shared" ref="R169" si="59">Q169-P169</f>
        <v>0</v>
      </c>
      <c r="S169" s="13"/>
      <c r="T169" s="13"/>
    </row>
    <row r="170" spans="1:20" s="38" customFormat="1" ht="42.75">
      <c r="A170" s="257" t="s">
        <v>720</v>
      </c>
      <c r="B170" s="5">
        <v>1</v>
      </c>
      <c r="C170" s="114"/>
      <c r="D170" s="10"/>
      <c r="E170" s="114" t="s">
        <v>1302</v>
      </c>
      <c r="F170" s="37" t="s">
        <v>649</v>
      </c>
      <c r="G170" s="52" t="str">
        <f>_xlfn.IFNA(IF(VLOOKUP($F170,'3.框架内物料'!$A:$E,2,0)=0,"请勿填写",VLOOKUP($F170,'3.框架内物料'!$A:$E,2,0)),"")</f>
        <v>请勿填写</v>
      </c>
      <c r="H170" s="53" t="str">
        <f>_xlfn.IFNA(VLOOKUP($F170,'3.框架内物料'!$A:$E,4,0),"")</f>
        <v>代垫付相关-代垫付本金-指定第三方本金-由我方指定的第三方，且我方确认费用明细，只需乙方提供代付款，无需管理及运营的费用为代垫付。</v>
      </c>
      <c r="I170" s="52" t="str">
        <f>_xlfn.IFNA(VLOOKUP($F170,'3.框架内物料'!$A:$E,5,0),"")</f>
        <v>项</v>
      </c>
      <c r="J170" s="186"/>
      <c r="K170" s="64"/>
      <c r="L170" s="69"/>
      <c r="M170" s="69"/>
      <c r="N170" s="69"/>
      <c r="O170" s="69"/>
      <c r="P170" s="46">
        <f t="shared" ref="P170:P172" si="60">IFERROR(N170*L170*J170,0)</f>
        <v>0</v>
      </c>
      <c r="Q170" s="46"/>
      <c r="R170" s="135">
        <f t="shared" ref="R170:R172" si="61">Q170-P170</f>
        <v>0</v>
      </c>
      <c r="S170" s="12"/>
      <c r="T170" s="12"/>
    </row>
    <row r="171" spans="1:20" s="38" customFormat="1" ht="42.75">
      <c r="A171" s="255"/>
      <c r="B171" s="5">
        <v>2</v>
      </c>
      <c r="C171" s="114"/>
      <c r="D171" s="10"/>
      <c r="E171" s="114" t="s">
        <v>1303</v>
      </c>
      <c r="F171" s="37" t="s">
        <v>631</v>
      </c>
      <c r="G171" s="52" t="str">
        <f>_xlfn.IFNA(IF(VLOOKUP($F171,'3.框架内物料'!$A:$E,2,0)=0,"请勿填写",VLOOKUP($F171,'3.框架内物料'!$A:$E,2,0)),"")</f>
        <v>请勿填写</v>
      </c>
      <c r="H171" s="53" t="str">
        <f>_xlfn.IFNA(VLOOKUP($F171,'3.框架内物料'!$A:$E,4,0),"")</f>
        <v>代垫付相关-代垫付本金-指定第三方本金-由我方指定的第三方，且我方确认费用明细，只需乙方提供代付款，无需管理及运营的费用为代垫付。</v>
      </c>
      <c r="I171" s="52" t="str">
        <f>_xlfn.IFNA(VLOOKUP($F171,'3.框架内物料'!$A:$E,5,0),"")</f>
        <v>项</v>
      </c>
      <c r="J171" s="186"/>
      <c r="K171" s="64"/>
      <c r="L171" s="69"/>
      <c r="M171" s="69"/>
      <c r="N171" s="69"/>
      <c r="O171" s="69"/>
      <c r="P171" s="46">
        <f t="shared" ref="P171" si="62">IFERROR(N171*L171*J171,0)</f>
        <v>0</v>
      </c>
      <c r="Q171" s="46"/>
      <c r="R171" s="135">
        <f t="shared" ref="R171" si="63">Q171-P171</f>
        <v>0</v>
      </c>
      <c r="S171" s="12"/>
      <c r="T171" s="12"/>
    </row>
    <row r="172" spans="1:20" s="38" customFormat="1">
      <c r="A172" s="255"/>
      <c r="B172" s="5">
        <v>3</v>
      </c>
      <c r="C172" s="114"/>
      <c r="D172" s="10"/>
      <c r="E172" s="114"/>
      <c r="F172" s="40" t="s">
        <v>682</v>
      </c>
      <c r="G172" s="52" t="str">
        <f>IF(F172="框架外物料","请勿填写",IF(F172="据实结算","请勿填写",""))</f>
        <v>请勿填写</v>
      </c>
      <c r="H172" s="35"/>
      <c r="I172" s="11" t="s">
        <v>1299</v>
      </c>
      <c r="J172" s="186"/>
      <c r="K172" s="64"/>
      <c r="L172" s="69"/>
      <c r="M172" s="69"/>
      <c r="N172" s="69"/>
      <c r="O172" s="69"/>
      <c r="P172" s="46">
        <f t="shared" si="60"/>
        <v>0</v>
      </c>
      <c r="Q172" s="46"/>
      <c r="R172" s="135">
        <f t="shared" si="61"/>
        <v>0</v>
      </c>
      <c r="S172" s="12"/>
      <c r="T172" s="12"/>
    </row>
    <row r="173" spans="1:20" ht="14.1" customHeight="1">
      <c r="A173" s="256"/>
      <c r="B173" s="123"/>
      <c r="C173" s="124"/>
      <c r="D173" s="158"/>
      <c r="E173" s="125"/>
      <c r="F173" s="124"/>
      <c r="G173" s="124"/>
      <c r="H173" s="124"/>
      <c r="I173" s="158"/>
      <c r="J173" s="124"/>
      <c r="K173" s="252" t="s">
        <v>722</v>
      </c>
      <c r="L173" s="252"/>
      <c r="M173" s="252"/>
      <c r="N173" s="252"/>
      <c r="O173" s="253"/>
      <c r="P173" s="128">
        <f>SUM(P170:P172)</f>
        <v>0</v>
      </c>
      <c r="Q173" s="128">
        <f>SUM(Q170:Q172)</f>
        <v>0</v>
      </c>
      <c r="R173" s="136">
        <f t="shared" ref="R173" si="64">Q173-P173</f>
        <v>0</v>
      </c>
      <c r="S173" s="13"/>
      <c r="T173" s="13"/>
    </row>
    <row r="174" spans="1:20">
      <c r="A174" s="283" t="s">
        <v>1623</v>
      </c>
      <c r="B174" s="283"/>
      <c r="C174" s="283"/>
      <c r="D174" s="283"/>
      <c r="E174" s="283"/>
      <c r="F174" s="283"/>
      <c r="G174" s="283"/>
      <c r="H174" s="283"/>
      <c r="I174" s="283"/>
      <c r="J174" s="283"/>
      <c r="K174" s="283"/>
      <c r="L174" s="283"/>
      <c r="M174" s="283"/>
      <c r="N174" s="283"/>
      <c r="O174" s="283"/>
      <c r="P174" s="49">
        <f>P47+P55+P66+P72+P159+P169+P165+P173+P141+P78</f>
        <v>8318095.9479999999</v>
      </c>
      <c r="Q174" s="49">
        <f>Q47+Q55+Q66+Q72+Q159+Q169+Q165+Q173+Q141+Q78</f>
        <v>0</v>
      </c>
      <c r="R174" s="49">
        <f>R47+R55+R66+R72+R159+R169+R165+R173+R141+R78</f>
        <v>-8318095.9479999999</v>
      </c>
      <c r="S174" s="16"/>
      <c r="T174" s="16"/>
    </row>
    <row r="175" spans="1:20" s="38" customFormat="1" ht="28.5">
      <c r="A175" s="273" t="s">
        <v>1300</v>
      </c>
      <c r="B175" s="5">
        <v>1</v>
      </c>
      <c r="C175" s="114"/>
      <c r="D175" s="10"/>
      <c r="E175" s="114"/>
      <c r="F175" s="37" t="s">
        <v>664</v>
      </c>
      <c r="G175" s="52" t="str">
        <f>_xlfn.IFNA(IF(VLOOKUP($F175,'3.框架内物料'!$A:$E,2,0)=0,"请勿填写",VLOOKUP($F175,'3.框架内物料'!$A:$E,2,0)),"")</f>
        <v>请勿填写</v>
      </c>
      <c r="H175" s="53" t="str">
        <f>_xlfn.IFNA(VLOOKUP($F175,'3.框架内物料'!$A:$E,4,0),"")</f>
        <v>服务费税费-项目服务费-项目服务费-场地采买、酒店用房服务费-服务费比例</v>
      </c>
      <c r="I175" s="52" t="str">
        <f>_xlfn.IFNA(VLOOKUP($F175,'3.框架内物料'!$A:$E,5,0),"")</f>
        <v>项</v>
      </c>
      <c r="J175" s="191">
        <f>_xlfn.IFNA(VLOOKUP($F175,'3.框架内物料'!$A:$F,6,0),"")</f>
        <v>0.06</v>
      </c>
      <c r="K175" s="64"/>
      <c r="L175" s="152">
        <f>P165+SUM(P88:P96)</f>
        <v>2294950</v>
      </c>
      <c r="M175" s="152">
        <f>Q165+Q85</f>
        <v>0</v>
      </c>
      <c r="N175" s="152">
        <v>1</v>
      </c>
      <c r="O175" s="152">
        <v>1</v>
      </c>
      <c r="P175" s="46">
        <f t="shared" ref="P175:P181" si="65">IFERROR(N175*L175*J175,0)</f>
        <v>137697</v>
      </c>
      <c r="Q175" s="46">
        <f t="shared" ref="Q175:Q181" si="66">IFERROR(K175*M175*O175,0)</f>
        <v>0</v>
      </c>
      <c r="R175" s="135">
        <f t="shared" ref="R175:R182" si="67">Q175-P175</f>
        <v>-137697</v>
      </c>
      <c r="S175" s="12"/>
      <c r="T175" s="12"/>
    </row>
    <row r="176" spans="1:20" s="38" customFormat="1" ht="28.5">
      <c r="A176" s="274"/>
      <c r="B176" s="5">
        <v>2</v>
      </c>
      <c r="C176" s="114"/>
      <c r="D176" s="10"/>
      <c r="E176" s="114"/>
      <c r="F176" s="37" t="s">
        <v>665</v>
      </c>
      <c r="G176" s="52" t="str">
        <f>_xlfn.IFNA(IF(VLOOKUP($F176,'3.框架内物料'!$A:$E,2,0)=0,"请勿填写",VLOOKUP($F176,'3.框架内物料'!$A:$E,2,0)),"")</f>
        <v>请勿填写</v>
      </c>
      <c r="H176" s="53" t="str">
        <f>_xlfn.IFNA(VLOOKUP($F176,'3.框架内物料'!$A:$E,4,0),"")</f>
        <v>服务费税费-项目服务费-项目服务费-机票、用车、用餐等第三方资源-服务费比例</v>
      </c>
      <c r="I176" s="52" t="str">
        <f>_xlfn.IFNA(VLOOKUP($F176,'3.框架内物料'!$A:$E,5,0),"")</f>
        <v>项</v>
      </c>
      <c r="J176" s="191">
        <f>_xlfn.IFNA(VLOOKUP($F176,'3.框架内物料'!$A:$F,6,0),"")</f>
        <v>0.06</v>
      </c>
      <c r="K176" s="64"/>
      <c r="L176" s="152">
        <f>P141-SUM(P88:P96)</f>
        <v>4885138.88</v>
      </c>
      <c r="M176" s="152">
        <f>Q141-Q85</f>
        <v>0</v>
      </c>
      <c r="N176" s="152">
        <v>1</v>
      </c>
      <c r="O176" s="152">
        <v>1</v>
      </c>
      <c r="P176" s="46">
        <f t="shared" si="65"/>
        <v>293108.33279999997</v>
      </c>
      <c r="Q176" s="46">
        <f t="shared" ref="Q176:Q178" si="68">IFERROR(K176*M176*O176,0)</f>
        <v>0</v>
      </c>
      <c r="R176" s="135">
        <f t="shared" ref="R176:R178" si="69">Q176-P176</f>
        <v>-293108.33279999997</v>
      </c>
      <c r="S176" s="12"/>
      <c r="T176" s="12"/>
    </row>
    <row r="177" spans="1:20" s="38" customFormat="1" ht="28.5">
      <c r="A177" s="274"/>
      <c r="B177" s="5">
        <v>2</v>
      </c>
      <c r="C177" s="114"/>
      <c r="D177" s="10"/>
      <c r="E177" s="114"/>
      <c r="F177" s="37" t="s">
        <v>666</v>
      </c>
      <c r="G177" s="52" t="str">
        <f>_xlfn.IFNA(IF(VLOOKUP($F177,'3.框架内物料'!$A:$E,2,0)=0,"请勿填写",VLOOKUP($F177,'3.框架内物料'!$A:$E,2,0)),"")</f>
        <v>请勿填写</v>
      </c>
      <c r="H177" s="53" t="str">
        <f>_xlfn.IFNA(VLOOKUP($F177,'3.框架内物料'!$A:$E,4,0),"")</f>
        <v>服务费税费-项目服务费-项目服务费-制作搭建、AVL设备、第三方人员服务费-服务费比例</v>
      </c>
      <c r="I177" s="52" t="str">
        <f>_xlfn.IFNA(VLOOKUP($F177,'3.框架内物料'!$A:$E,5,0),"")</f>
        <v>项</v>
      </c>
      <c r="J177" s="191">
        <f>_xlfn.IFNA(VLOOKUP($F177,'3.框架内物料'!$A:$F,6,0),"")</f>
        <v>0.1</v>
      </c>
      <c r="K177" s="64"/>
      <c r="L177" s="152">
        <f>P47+P55+P66</f>
        <v>636504.66799999995</v>
      </c>
      <c r="M177" s="152">
        <f>Q47+Q55+Q66</f>
        <v>0</v>
      </c>
      <c r="N177" s="152">
        <v>1</v>
      </c>
      <c r="O177" s="152">
        <v>1</v>
      </c>
      <c r="P177" s="46">
        <f t="shared" si="65"/>
        <v>63650.466799999995</v>
      </c>
      <c r="Q177" s="46">
        <f t="shared" ref="Q177" si="70">IFERROR(K177*M177*O177,0)</f>
        <v>0</v>
      </c>
      <c r="R177" s="135">
        <f t="shared" ref="R177" si="71">Q177-P177</f>
        <v>-63650.466799999995</v>
      </c>
      <c r="S177" s="12"/>
      <c r="T177" s="12"/>
    </row>
    <row r="178" spans="1:20" s="38" customFormat="1" ht="28.5">
      <c r="A178" s="274"/>
      <c r="B178" s="5">
        <v>2</v>
      </c>
      <c r="C178" s="114"/>
      <c r="D178" s="10"/>
      <c r="E178" s="114"/>
      <c r="F178" s="37" t="s">
        <v>667</v>
      </c>
      <c r="G178" s="52" t="str">
        <f>_xlfn.IFNA(IF(VLOOKUP($F178,'3.框架内物料'!$A:$E,2,0)=0,"请勿填写",VLOOKUP($F178,'3.框架内物料'!$A:$E,2,0)),"")</f>
        <v>请勿填写</v>
      </c>
      <c r="H178" s="53" t="str">
        <f>_xlfn.IFNA(VLOOKUP($F178,'3.框架内物料'!$A:$E,4,0),"")</f>
        <v>服务费税费-项目服务费-项目服务费-物资采买、其他代垫付服务费-服务费比例</v>
      </c>
      <c r="I178" s="52" t="str">
        <f>_xlfn.IFNA(VLOOKUP($F178,'3.框架内物料'!$A:$E,5,0),"")</f>
        <v>项</v>
      </c>
      <c r="J178" s="191">
        <f>_xlfn.IFNA(VLOOKUP($F178,'3.框架内物料'!$A:$F,6,0),"")</f>
        <v>0.06</v>
      </c>
      <c r="K178" s="64"/>
      <c r="L178" s="152">
        <f>P159</f>
        <v>282400.40000000002</v>
      </c>
      <c r="M178" s="152">
        <f>Q159+Q173-Q171</f>
        <v>0</v>
      </c>
      <c r="N178" s="152">
        <v>1</v>
      </c>
      <c r="O178" s="152">
        <v>1</v>
      </c>
      <c r="P178" s="46">
        <f t="shared" si="65"/>
        <v>16944.024000000001</v>
      </c>
      <c r="Q178" s="46">
        <f t="shared" si="68"/>
        <v>0</v>
      </c>
      <c r="R178" s="135">
        <f t="shared" si="69"/>
        <v>-16944.024000000001</v>
      </c>
      <c r="S178" s="12"/>
      <c r="T178" s="12"/>
    </row>
    <row r="179" spans="1:20" s="38" customFormat="1" ht="28.5">
      <c r="A179" s="274"/>
      <c r="B179" s="5">
        <v>2</v>
      </c>
      <c r="C179" s="114"/>
      <c r="D179" s="10"/>
      <c r="E179" s="114"/>
      <c r="F179" s="37" t="s">
        <v>668</v>
      </c>
      <c r="G179" s="52" t="str">
        <f>_xlfn.IFNA(IF(VLOOKUP($F179,'3.框架内物料'!$A:$E,2,0)=0,"请勿填写",VLOOKUP($F179,'3.框架内物料'!$A:$E,2,0)),"")</f>
        <v>请勿填写</v>
      </c>
      <c r="H179" s="53" t="str">
        <f>_xlfn.IFNA(VLOOKUP($F179,'3.框架内物料'!$A:$E,4,0),"")</f>
        <v>服务费税费-项目服务费-项目服务费-onsite人员服务费-服务费比例</v>
      </c>
      <c r="I179" s="52" t="str">
        <f>_xlfn.IFNA(VLOOKUP($F179,'3.框架内物料'!$A:$E,5,0),"")</f>
        <v>项</v>
      </c>
      <c r="J179" s="191">
        <f>_xlfn.IFNA(VLOOKUP($F179,'3.框架内物料'!$A:$F,6,0),"")</f>
        <v>0.06</v>
      </c>
      <c r="K179" s="64"/>
      <c r="L179" s="152">
        <f>P70</f>
        <v>178080</v>
      </c>
      <c r="M179" s="152">
        <f>Q72</f>
        <v>0</v>
      </c>
      <c r="N179" s="152">
        <v>1</v>
      </c>
      <c r="O179" s="152">
        <v>1</v>
      </c>
      <c r="P179" s="46">
        <f t="shared" si="65"/>
        <v>10684.8</v>
      </c>
      <c r="Q179" s="46">
        <f t="shared" si="66"/>
        <v>0</v>
      </c>
      <c r="R179" s="135">
        <f t="shared" si="67"/>
        <v>-10684.8</v>
      </c>
      <c r="S179" s="12"/>
      <c r="T179" s="12"/>
    </row>
    <row r="180" spans="1:20" s="38" customFormat="1" ht="28.5">
      <c r="A180" s="274"/>
      <c r="B180" s="5">
        <v>2</v>
      </c>
      <c r="C180" s="114"/>
      <c r="D180" s="10"/>
      <c r="E180" s="114"/>
      <c r="F180" s="37" t="s">
        <v>632</v>
      </c>
      <c r="G180" s="52" t="str">
        <f>_xlfn.IFNA(IF(VLOOKUP($F180,'3.框架内物料'!$A:$E,2,0)=0,"请勿填写",VLOOKUP($F180,'3.框架内物料'!$A:$E,2,0)),"")</f>
        <v>请勿填写</v>
      </c>
      <c r="H180" s="53" t="str">
        <f>_xlfn.IFNA(VLOOKUP($F180,'3.框架内物料'!$A:$E,4,0),"")</f>
        <v>服务费税费-项目税费-无票垫付费-第三方无票垫付服务费-服务费比例</v>
      </c>
      <c r="I180" s="52" t="str">
        <f>_xlfn.IFNA(VLOOKUP($F180,'3.框架内物料'!$A:$E,5,0),"")</f>
        <v>项</v>
      </c>
      <c r="J180" s="191">
        <f>_xlfn.IFNA(VLOOKUP($F180,'3.框架内物料'!$A:$F,6,0),"")</f>
        <v>0.1</v>
      </c>
      <c r="K180" s="64"/>
      <c r="L180" s="152">
        <f>P171</f>
        <v>0</v>
      </c>
      <c r="M180" s="152">
        <f>Q171</f>
        <v>0</v>
      </c>
      <c r="N180" s="152">
        <v>1</v>
      </c>
      <c r="O180" s="152">
        <v>1</v>
      </c>
      <c r="P180" s="46">
        <f t="shared" si="65"/>
        <v>0</v>
      </c>
      <c r="Q180" s="46">
        <f t="shared" ref="Q180" si="72">IFERROR(K180*M180*O180,0)</f>
        <v>0</v>
      </c>
      <c r="R180" s="135">
        <f t="shared" ref="R180" si="73">Q180-P180</f>
        <v>0</v>
      </c>
      <c r="S180" s="12"/>
      <c r="T180" s="12"/>
    </row>
    <row r="181" spans="1:20" s="38" customFormat="1">
      <c r="A181" s="255"/>
      <c r="B181" s="5">
        <v>3</v>
      </c>
      <c r="C181" s="114"/>
      <c r="D181" s="10"/>
      <c r="E181" s="114"/>
      <c r="F181" s="37"/>
      <c r="G181" s="52"/>
      <c r="H181" s="53"/>
      <c r="I181" s="52"/>
      <c r="J181" s="191"/>
      <c r="K181" s="64"/>
      <c r="L181" s="69"/>
      <c r="M181" s="69"/>
      <c r="N181" s="69"/>
      <c r="O181" s="69"/>
      <c r="P181" s="46">
        <f t="shared" si="65"/>
        <v>0</v>
      </c>
      <c r="Q181" s="46">
        <f t="shared" si="66"/>
        <v>0</v>
      </c>
      <c r="R181" s="135">
        <f t="shared" si="67"/>
        <v>0</v>
      </c>
      <c r="S181" s="12"/>
      <c r="T181" s="12"/>
    </row>
    <row r="182" spans="1:20" ht="14.1" customHeight="1">
      <c r="A182" s="256"/>
      <c r="B182" s="123"/>
      <c r="C182" s="124"/>
      <c r="D182" s="158"/>
      <c r="E182" s="125"/>
      <c r="F182" s="124"/>
      <c r="G182" s="124"/>
      <c r="H182" s="124"/>
      <c r="I182" s="158"/>
      <c r="J182" s="124"/>
      <c r="K182" s="252" t="s">
        <v>1301</v>
      </c>
      <c r="L182" s="252"/>
      <c r="M182" s="252"/>
      <c r="N182" s="252"/>
      <c r="O182" s="253"/>
      <c r="P182" s="128">
        <f>SUM(P175:P181)</f>
        <v>522084.62359999993</v>
      </c>
      <c r="Q182" s="128">
        <f>SUM(Q175:Q181)</f>
        <v>0</v>
      </c>
      <c r="R182" s="136">
        <f t="shared" si="67"/>
        <v>-522084.62359999993</v>
      </c>
      <c r="S182" s="13"/>
      <c r="T182" s="13"/>
    </row>
    <row r="183" spans="1:20" s="20" customFormat="1" ht="16.5">
      <c r="A183" s="150"/>
      <c r="B183" s="148"/>
      <c r="C183" s="282" t="s">
        <v>1229</v>
      </c>
      <c r="D183" s="282"/>
      <c r="E183" s="182" t="s">
        <v>775</v>
      </c>
      <c r="F183" s="280" t="s">
        <v>675</v>
      </c>
      <c r="G183" s="281"/>
      <c r="H183" s="149" t="s">
        <v>20</v>
      </c>
      <c r="I183" s="280" t="s">
        <v>676</v>
      </c>
      <c r="J183" s="281"/>
      <c r="K183" s="275">
        <v>0.06</v>
      </c>
      <c r="L183" s="276"/>
      <c r="M183" s="277" t="s">
        <v>677</v>
      </c>
      <c r="N183" s="278"/>
      <c r="O183" s="279"/>
      <c r="P183" s="49">
        <f>P182+P174</f>
        <v>8840180.5715999994</v>
      </c>
      <c r="Q183" s="49">
        <f t="shared" ref="Q183:R183" si="74">Q182+Q174</f>
        <v>0</v>
      </c>
      <c r="R183" s="49">
        <f t="shared" si="74"/>
        <v>-8840180.5715999994</v>
      </c>
      <c r="S183" s="151"/>
      <c r="T183" s="151"/>
    </row>
    <row r="184" spans="1:20">
      <c r="A184" s="249" t="s">
        <v>22</v>
      </c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1"/>
      <c r="P184" s="61"/>
      <c r="Q184" s="61"/>
      <c r="R184" s="61"/>
      <c r="S184" s="17"/>
      <c r="T184" s="17"/>
    </row>
    <row r="185" spans="1:20" ht="15" customHeight="1">
      <c r="A185" s="247" t="s">
        <v>1471</v>
      </c>
      <c r="B185" s="247"/>
      <c r="C185" s="247"/>
      <c r="D185" s="247"/>
      <c r="E185" s="247"/>
      <c r="F185" s="247"/>
      <c r="G185" s="247"/>
      <c r="H185" s="247"/>
      <c r="I185" s="247"/>
      <c r="J185" s="247"/>
      <c r="K185" s="247"/>
      <c r="L185" s="247"/>
      <c r="M185" s="248"/>
      <c r="N185" s="248"/>
      <c r="O185" s="70" t="s">
        <v>539</v>
      </c>
      <c r="P185" s="50">
        <f>IFERROR((1-(P186+P187+P188)),0)</f>
        <v>0.36429721019611394</v>
      </c>
      <c r="Q185" s="50">
        <f>IFERROR((1-(Q186+Q187+Q188)),0)</f>
        <v>1</v>
      </c>
      <c r="R185" s="51"/>
      <c r="S185" s="13"/>
      <c r="T185" s="13"/>
    </row>
    <row r="186" spans="1:20" ht="15" customHeight="1">
      <c r="A186" s="247" t="s">
        <v>683</v>
      </c>
      <c r="B186" s="247"/>
      <c r="C186" s="247"/>
      <c r="D186" s="247"/>
      <c r="E186" s="247"/>
      <c r="F186" s="247"/>
      <c r="G186" s="247"/>
      <c r="H186" s="247"/>
      <c r="I186" s="247"/>
      <c r="J186" s="247"/>
      <c r="K186" s="247"/>
      <c r="L186" s="247"/>
      <c r="M186" s="248" t="s">
        <v>638</v>
      </c>
      <c r="N186" s="248"/>
      <c r="O186" s="70" t="s">
        <v>539</v>
      </c>
      <c r="P186" s="50">
        <f>IFERROR(SUMIF('2.报价结算清单'!$F$7:$F$1087,$A$186,'2.报价结算清单'!$P$7:$P$1087)/$P$174,0)</f>
        <v>0.11236557090024084</v>
      </c>
      <c r="Q186" s="50">
        <f>IFERROR(SUMIF('2.报价结算清单'!$F$7:$F$1087,$A$186,'2.报价结算清单'!$Q$7:$Q$1087)/$Q$174,0)</f>
        <v>0</v>
      </c>
      <c r="R186" s="51"/>
      <c r="S186" s="13"/>
      <c r="T186" s="13"/>
    </row>
    <row r="187" spans="1:20" ht="15" customHeight="1">
      <c r="A187" s="247" t="s">
        <v>1472</v>
      </c>
      <c r="B187" s="247"/>
      <c r="C187" s="247"/>
      <c r="D187" s="247"/>
      <c r="E187" s="247"/>
      <c r="F187" s="247"/>
      <c r="G187" s="247"/>
      <c r="H187" s="247"/>
      <c r="I187" s="247"/>
      <c r="J187" s="247"/>
      <c r="K187" s="247"/>
      <c r="L187" s="247"/>
      <c r="M187" s="248"/>
      <c r="N187" s="248"/>
      <c r="O187" s="70" t="s">
        <v>539</v>
      </c>
      <c r="P187" s="50">
        <f>IFERROR(SUMIF('2.报价结算清单'!$F$7:$F$1087,$A$187,'2.报价结算清单'!$P$7:$P$1087)/$P$174,0)</f>
        <v>0.52333721890364526</v>
      </c>
      <c r="Q187" s="50">
        <f>IFERROR(SUMIF('2.报价结算清单'!$F$7:$F$1087,$A$187,'2.报价结算清单'!$Q$7:$Q$1087)/$Q$174,0)</f>
        <v>0</v>
      </c>
      <c r="R187" s="51"/>
      <c r="S187" s="13"/>
      <c r="T187" s="13"/>
    </row>
    <row r="188" spans="1:20" ht="15" customHeight="1">
      <c r="A188" s="247" t="s">
        <v>540</v>
      </c>
      <c r="B188" s="247"/>
      <c r="C188" s="247"/>
      <c r="D188" s="247"/>
      <c r="E188" s="247"/>
      <c r="F188" s="247"/>
      <c r="G188" s="247"/>
      <c r="H188" s="247"/>
      <c r="I188" s="247"/>
      <c r="J188" s="247"/>
      <c r="K188" s="247"/>
      <c r="L188" s="247"/>
      <c r="M188" s="248" t="s">
        <v>533</v>
      </c>
      <c r="N188" s="248"/>
      <c r="O188" s="70" t="s">
        <v>539</v>
      </c>
      <c r="P188" s="50">
        <f>IFERROR($P$173/$P$174,0)</f>
        <v>0</v>
      </c>
      <c r="Q188" s="50">
        <f>IFERROR($Q$173/$Q$174,0)</f>
        <v>0</v>
      </c>
      <c r="R188" s="51"/>
      <c r="S188" s="13"/>
      <c r="T188" s="13"/>
    </row>
    <row r="190" spans="1:20">
      <c r="H190" s="154"/>
    </row>
  </sheetData>
  <sheetProtection formatCells="0" formatColumns="0" formatRows="0" insertRows="0" insertHyperlinks="0" deleteRows="0" autoFilter="0"/>
  <autoFilter ref="A6:W188" xr:uid="{00000000-0001-0000-0100-000000000000}"/>
  <mergeCells count="39">
    <mergeCell ref="A175:A182"/>
    <mergeCell ref="K182:O182"/>
    <mergeCell ref="K183:L183"/>
    <mergeCell ref="M183:O183"/>
    <mergeCell ref="A166:A169"/>
    <mergeCell ref="A170:A173"/>
    <mergeCell ref="K169:O169"/>
    <mergeCell ref="K173:O173"/>
    <mergeCell ref="I183:J183"/>
    <mergeCell ref="F183:G183"/>
    <mergeCell ref="C183:D183"/>
    <mergeCell ref="A174:O174"/>
    <mergeCell ref="S1:T1"/>
    <mergeCell ref="A7:A47"/>
    <mergeCell ref="K47:O47"/>
    <mergeCell ref="A48:A55"/>
    <mergeCell ref="A56:A66"/>
    <mergeCell ref="K55:O55"/>
    <mergeCell ref="K66:O66"/>
    <mergeCell ref="A1:R5"/>
    <mergeCell ref="A67:A72"/>
    <mergeCell ref="A73:A78"/>
    <mergeCell ref="A79:A141"/>
    <mergeCell ref="A142:A159"/>
    <mergeCell ref="A160:A165"/>
    <mergeCell ref="K72:O72"/>
    <mergeCell ref="K78:O78"/>
    <mergeCell ref="K141:O141"/>
    <mergeCell ref="K159:O159"/>
    <mergeCell ref="K165:O165"/>
    <mergeCell ref="A188:L188"/>
    <mergeCell ref="M186:N186"/>
    <mergeCell ref="M188:N188"/>
    <mergeCell ref="A186:L186"/>
    <mergeCell ref="A184:O184"/>
    <mergeCell ref="A185:L185"/>
    <mergeCell ref="M185:N185"/>
    <mergeCell ref="A187:L187"/>
    <mergeCell ref="M187:N187"/>
  </mergeCells>
  <phoneticPr fontId="9" type="noConversion"/>
  <dataValidations count="4">
    <dataValidation type="list" allowBlank="1" showInputMessage="1" showErrorMessage="1" sqref="H183" xr:uid="{00000000-0002-0000-0100-000000000000}">
      <formula1>"是,否"</formula1>
    </dataValidation>
    <dataValidation type="list" allowBlank="1" showInputMessage="1" showErrorMessage="1" sqref="K183" xr:uid="{C24F6F68-857E-5647-839A-4F75562B89C0}">
      <formula1>"0%,1%,3%,6%,13%"</formula1>
    </dataValidation>
    <dataValidation type="list" allowBlank="1" showInputMessage="1" showErrorMessage="1" sqref="E183" xr:uid="{9D1B43E1-175E-4C49-8176-43558324F529}">
      <formula1>"CNY, USD, JPY , HKD"</formula1>
    </dataValidation>
    <dataValidation type="list" showInputMessage="1" sqref="F172 F21 F49 F51 F53:F54 F41 F65 F71 F77 F164 F168 F7:F11 F16 F37:F38 F44:F46 F29:F35 F135:F140 F143:F158 F88:F124" xr:uid="{835591B2-5A2E-4540-8C53-0FD53A700AC8}">
      <formula1>"据实结算,框架外物料,"</formula1>
    </dataValidation>
  </dataValidations>
  <printOptions horizontalCentered="1" verticalCentered="1"/>
  <pageMargins left="1" right="1" top="1" bottom="1" header="0.5" footer="0.5"/>
  <pageSetup paperSize="9" scale="31" orientation="landscape" r:id="rId1"/>
  <colBreaks count="1" manualBreakCount="1">
    <brk id="16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'3.框架内物料'!$A$2:$A$583</xm:f>
          </x14:formula1>
          <xm:sqref>F175:F182 F173 F169:F171 F165:F167 F125 F66:F70 F72:F76 F12:F15 F52 F50 F47:F48 F159:F163 F141:F142 F17 F55:F63 D64:E64 F78:F87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585"/>
  <sheetViews>
    <sheetView zoomScale="125" zoomScaleNormal="150" workbookViewId="0">
      <pane ySplit="1" topLeftCell="A212" activePane="bottomLeft" state="frozen"/>
      <selection activeCell="G9" sqref="A9:G20"/>
      <selection pane="bottomLeft" activeCell="D591" sqref="D591"/>
    </sheetView>
  </sheetViews>
  <sheetFormatPr defaultColWidth="11.625" defaultRowHeight="14.25"/>
  <cols>
    <col min="1" max="1" width="16.625" style="73" bestFit="1" customWidth="1"/>
    <col min="2" max="2" width="19.125" style="73" bestFit="1" customWidth="1"/>
    <col min="3" max="3" width="13" style="73" bestFit="1" customWidth="1"/>
    <col min="4" max="4" width="52.625" style="73" customWidth="1"/>
    <col min="5" max="5" width="12.5" style="73" customWidth="1"/>
    <col min="6" max="6" width="13.5" style="63" bestFit="1" customWidth="1"/>
    <col min="7" max="7" width="13" style="57" bestFit="1" customWidth="1"/>
    <col min="8" max="8" width="8" style="57" customWidth="1"/>
    <col min="9" max="9" width="13" style="60" bestFit="1" customWidth="1"/>
    <col min="10" max="16384" width="11.625" style="54"/>
  </cols>
  <sheetData>
    <row r="1" spans="1:9" ht="28.5">
      <c r="A1" s="75" t="s">
        <v>1233</v>
      </c>
      <c r="B1" s="75" t="s">
        <v>1232</v>
      </c>
      <c r="C1" s="75" t="s">
        <v>783</v>
      </c>
      <c r="D1" s="75" t="s">
        <v>726</v>
      </c>
      <c r="E1" s="75" t="s">
        <v>545</v>
      </c>
      <c r="F1" s="139" t="s">
        <v>653</v>
      </c>
      <c r="G1" s="55" t="s">
        <v>686</v>
      </c>
      <c r="H1" s="55" t="s">
        <v>723</v>
      </c>
      <c r="I1" s="58" t="s">
        <v>724</v>
      </c>
    </row>
    <row r="2" spans="1:9" ht="28.5">
      <c r="A2" s="74" t="s">
        <v>534</v>
      </c>
      <c r="B2" s="72"/>
      <c r="C2" s="72" t="s">
        <v>1305</v>
      </c>
      <c r="D2" s="76" t="s">
        <v>784</v>
      </c>
      <c r="E2" s="72" t="s">
        <v>23</v>
      </c>
      <c r="F2" s="62">
        <f>VLOOKUP(A2,[1]基准价格!$A:$G,7,0)</f>
        <v>106</v>
      </c>
      <c r="G2" s="56">
        <f>SUMIF('2.报价结算清单'!$F$7:$F$679,$A2,'2.报价结算清单'!$L$7:$L$679)</f>
        <v>0</v>
      </c>
      <c r="H2" s="56">
        <f>SUMIF('2.报价结算清单'!$F$7:$F$679,$A2,'2.报价结算清单'!$N$7:$N$679)</f>
        <v>0</v>
      </c>
      <c r="I2" s="59">
        <f>SUMIF('2.报价结算清单'!$F$7:$F$679,A2,'2.报价结算清单'!$P$7:$P$679)</f>
        <v>0</v>
      </c>
    </row>
    <row r="3" spans="1:9" ht="28.5">
      <c r="A3" s="74" t="s">
        <v>47</v>
      </c>
      <c r="B3" s="72"/>
      <c r="C3" s="72" t="s">
        <v>1305</v>
      </c>
      <c r="D3" s="76" t="s">
        <v>785</v>
      </c>
      <c r="E3" s="72" t="s">
        <v>23</v>
      </c>
      <c r="F3" s="62">
        <f>VLOOKUP(A3,[1]基准价格!$A:$G,7,0)</f>
        <v>416.67</v>
      </c>
      <c r="G3" s="56">
        <f>SUMIF('2.报价结算清单'!$F$7:$F$679,$A3,'2.报价结算清单'!$L$7:$L$679)</f>
        <v>0</v>
      </c>
      <c r="H3" s="56">
        <f>SUMIF('2.报价结算清单'!$F$7:$F$679,$A3,'2.报价结算清单'!$N$7:$N$679)</f>
        <v>0</v>
      </c>
      <c r="I3" s="59">
        <f>SUMIF('2.报价结算清单'!$F$7:$F$679,A3,'2.报价结算清单'!$P$7:$P$679)</f>
        <v>0</v>
      </c>
    </row>
    <row r="4" spans="1:9" ht="28.5">
      <c r="A4" s="74" t="s">
        <v>48</v>
      </c>
      <c r="B4" s="72"/>
      <c r="C4" s="72" t="s">
        <v>1305</v>
      </c>
      <c r="D4" s="76" t="s">
        <v>786</v>
      </c>
      <c r="E4" s="72" t="s">
        <v>23</v>
      </c>
      <c r="F4" s="62">
        <f>VLOOKUP(A4,[1]基准价格!$A:$G,7,0)</f>
        <v>410</v>
      </c>
      <c r="G4" s="56">
        <f>SUMIF('2.报价结算清单'!$F$7:$F$679,$A4,'2.报价结算清单'!$L$7:$L$679)</f>
        <v>0</v>
      </c>
      <c r="H4" s="56">
        <f>SUMIF('2.报价结算清单'!$F$7:$F$679,$A4,'2.报价结算清单'!$N$7:$N$679)</f>
        <v>0</v>
      </c>
      <c r="I4" s="59">
        <f>SUMIF('2.报价结算清单'!$F$7:$F$679,A4,'2.报价结算清单'!$P$7:$P$679)</f>
        <v>0</v>
      </c>
    </row>
    <row r="5" spans="1:9" ht="28.5">
      <c r="A5" s="74" t="s">
        <v>564</v>
      </c>
      <c r="B5" s="72"/>
      <c r="C5" s="72" t="s">
        <v>1305</v>
      </c>
      <c r="D5" s="76" t="s">
        <v>787</v>
      </c>
      <c r="E5" s="72" t="s">
        <v>23</v>
      </c>
      <c r="F5" s="62">
        <f>VLOOKUP(A5,[1]基准价格!$A:$G,7,0)</f>
        <v>493.33</v>
      </c>
      <c r="G5" s="56">
        <f>SUMIF('2.报价结算清单'!$F$7:$F$679,$A5,'2.报价结算清单'!$L$7:$L$679)</f>
        <v>0</v>
      </c>
      <c r="H5" s="56">
        <f>SUMIF('2.报价结算清单'!$F$7:$F$679,$A5,'2.报价结算清单'!$N$7:$N$679)</f>
        <v>0</v>
      </c>
      <c r="I5" s="59">
        <f>SUMIF('2.报价结算清单'!$F$7:$F$679,A5,'2.报价结算清单'!$P$7:$P$679)</f>
        <v>0</v>
      </c>
    </row>
    <row r="6" spans="1:9" ht="28.5">
      <c r="A6" s="74" t="s">
        <v>49</v>
      </c>
      <c r="B6" s="72"/>
      <c r="C6" s="72" t="s">
        <v>1305</v>
      </c>
      <c r="D6" s="76" t="s">
        <v>788</v>
      </c>
      <c r="E6" s="72" t="s">
        <v>23</v>
      </c>
      <c r="F6" s="62">
        <f>VLOOKUP(A6,[1]基准价格!$A:$G,7,0)</f>
        <v>247.45</v>
      </c>
      <c r="G6" s="56">
        <f>SUMIF('2.报价结算清单'!$F$7:$F$679,$A6,'2.报价结算清单'!$L$7:$L$679)</f>
        <v>44</v>
      </c>
      <c r="H6" s="56">
        <f>SUMIF('2.报价结算清单'!$F$7:$F$679,$A6,'2.报价结算清单'!$N$7:$N$679)</f>
        <v>5</v>
      </c>
      <c r="I6" s="59">
        <f>SUMIF('2.报价结算清单'!$F$7:$F$679,A6,'2.报价结算清单'!$P$7:$P$679)</f>
        <v>19796</v>
      </c>
    </row>
    <row r="7" spans="1:9" ht="28.5">
      <c r="A7" s="74" t="s">
        <v>50</v>
      </c>
      <c r="B7" s="72"/>
      <c r="C7" s="72" t="s">
        <v>1305</v>
      </c>
      <c r="D7" s="76" t="s">
        <v>789</v>
      </c>
      <c r="E7" s="72" t="s">
        <v>23</v>
      </c>
      <c r="F7" s="62">
        <f>VLOOKUP(A7,[1]基准价格!$A:$G,7,0)</f>
        <v>254.4</v>
      </c>
      <c r="G7" s="56">
        <f>SUMIF('2.报价结算清单'!$F$7:$F$679,$A7,'2.报价结算清单'!$L$7:$L$679)</f>
        <v>0</v>
      </c>
      <c r="H7" s="56">
        <f>SUMIF('2.报价结算清单'!$F$7:$F$679,$A7,'2.报价结算清单'!$N$7:$N$679)</f>
        <v>0</v>
      </c>
      <c r="I7" s="59">
        <f>SUMIF('2.报价结算清单'!$F$7:$F$679,A7,'2.报价结算清单'!$P$7:$P$679)</f>
        <v>0</v>
      </c>
    </row>
    <row r="8" spans="1:9" ht="28.5">
      <c r="A8" s="74" t="s">
        <v>51</v>
      </c>
      <c r="B8" s="72"/>
      <c r="C8" s="72" t="s">
        <v>1305</v>
      </c>
      <c r="D8" s="76" t="s">
        <v>790</v>
      </c>
      <c r="E8" s="72" t="s">
        <v>23</v>
      </c>
      <c r="F8" s="62">
        <f>VLOOKUP(A8,[1]基准价格!$A:$G,7,0)</f>
        <v>326.67</v>
      </c>
      <c r="G8" s="56">
        <f>SUMIF('2.报价结算清单'!$F$7:$F$679,$A8,'2.报价结算清单'!$L$7:$L$679)</f>
        <v>0</v>
      </c>
      <c r="H8" s="56">
        <f>SUMIF('2.报价结算清单'!$F$7:$F$679,$A8,'2.报价结算清单'!$N$7:$N$679)</f>
        <v>0</v>
      </c>
      <c r="I8" s="59">
        <f>SUMIF('2.报价结算清单'!$F$7:$F$679,A8,'2.报价结算清单'!$P$7:$P$679)</f>
        <v>0</v>
      </c>
    </row>
    <row r="9" spans="1:9" ht="28.5">
      <c r="A9" s="74" t="s">
        <v>52</v>
      </c>
      <c r="B9" s="72"/>
      <c r="C9" s="72" t="s">
        <v>1305</v>
      </c>
      <c r="D9" s="76" t="s">
        <v>791</v>
      </c>
      <c r="E9" s="72" t="s">
        <v>23</v>
      </c>
      <c r="F9" s="62">
        <f>VLOOKUP(A9,[1]基准价格!$A:$G,7,0)</f>
        <v>553.33000000000004</v>
      </c>
      <c r="G9" s="56">
        <f>SUMIF('2.报价结算清单'!$F$7:$F$679,$A9,'2.报价结算清单'!$L$7:$L$679)</f>
        <v>0</v>
      </c>
      <c r="H9" s="56">
        <f>SUMIF('2.报价结算清单'!$F$7:$F$679,$A9,'2.报价结算清单'!$N$7:$N$679)</f>
        <v>0</v>
      </c>
      <c r="I9" s="59">
        <f>SUMIF('2.报价结算清单'!$F$7:$F$679,A9,'2.报价结算清单'!$P$7:$P$679)</f>
        <v>0</v>
      </c>
    </row>
    <row r="10" spans="1:9" ht="28.5">
      <c r="A10" s="74" t="s">
        <v>53</v>
      </c>
      <c r="B10" s="72"/>
      <c r="C10" s="72" t="s">
        <v>1305</v>
      </c>
      <c r="D10" s="76" t="s">
        <v>792</v>
      </c>
      <c r="E10" s="72" t="s">
        <v>23</v>
      </c>
      <c r="F10" s="62">
        <f>VLOOKUP(A10,[1]基准价格!$A:$G,7,0)</f>
        <v>356.67</v>
      </c>
      <c r="G10" s="56">
        <f>SUMIF('2.报价结算清单'!$F$7:$F$679,$A10,'2.报价结算清单'!$L$7:$L$679)</f>
        <v>0</v>
      </c>
      <c r="H10" s="56">
        <f>SUMIF('2.报价结算清单'!$F$7:$F$679,$A10,'2.报价结算清单'!$N$7:$N$679)</f>
        <v>0</v>
      </c>
      <c r="I10" s="59">
        <f>SUMIF('2.报价结算清单'!$F$7:$F$679,A10,'2.报价结算清单'!$P$7:$P$679)</f>
        <v>0</v>
      </c>
    </row>
    <row r="11" spans="1:9">
      <c r="A11" s="74" t="s">
        <v>54</v>
      </c>
      <c r="B11" s="72"/>
      <c r="C11" s="72" t="s">
        <v>1305</v>
      </c>
      <c r="D11" s="76" t="s">
        <v>793</v>
      </c>
      <c r="E11" s="72" t="s">
        <v>23</v>
      </c>
      <c r="F11" s="62">
        <f>VLOOKUP(A11,[1]基准价格!$A:$G,7,0)</f>
        <v>318</v>
      </c>
      <c r="G11" s="56">
        <f>SUMIF('2.报价结算清单'!$F$7:$F$679,$A11,'2.报价结算清单'!$L$7:$L$679)</f>
        <v>0</v>
      </c>
      <c r="H11" s="56">
        <f>SUMIF('2.报价结算清单'!$F$7:$F$679,$A11,'2.报价结算清单'!$N$7:$N$679)</f>
        <v>0</v>
      </c>
      <c r="I11" s="59">
        <f>SUMIF('2.报价结算清单'!$F$7:$F$679,A11,'2.报价结算清单'!$P$7:$P$679)</f>
        <v>0</v>
      </c>
    </row>
    <row r="12" spans="1:9">
      <c r="A12" s="74" t="s">
        <v>55</v>
      </c>
      <c r="B12" s="72"/>
      <c r="C12" s="72" t="s">
        <v>1305</v>
      </c>
      <c r="D12" s="76" t="s">
        <v>794</v>
      </c>
      <c r="E12" s="72" t="s">
        <v>23</v>
      </c>
      <c r="F12" s="62">
        <f>VLOOKUP(A12,[1]基准价格!$A:$G,7,0)</f>
        <v>580</v>
      </c>
      <c r="G12" s="56">
        <f>SUMIF('2.报价结算清单'!$F$7:$F$679,$A12,'2.报价结算清单'!$L$7:$L$679)</f>
        <v>0</v>
      </c>
      <c r="H12" s="56">
        <f>SUMIF('2.报价结算清单'!$F$7:$F$679,$A12,'2.报价结算清单'!$N$7:$N$679)</f>
        <v>0</v>
      </c>
      <c r="I12" s="59">
        <f>SUMIF('2.报价结算清单'!$F$7:$F$679,A12,'2.报价结算清单'!$P$7:$P$679)</f>
        <v>0</v>
      </c>
    </row>
    <row r="13" spans="1:9">
      <c r="A13" s="74" t="s">
        <v>56</v>
      </c>
      <c r="B13" s="72"/>
      <c r="C13" s="72" t="s">
        <v>1305</v>
      </c>
      <c r="D13" s="76" t="s">
        <v>795</v>
      </c>
      <c r="E13" s="72" t="s">
        <v>23</v>
      </c>
      <c r="F13" s="62">
        <f>VLOOKUP(A13,[1]基准价格!$A:$G,7,0)</f>
        <v>436.67</v>
      </c>
      <c r="G13" s="56">
        <f>SUMIF('2.报价结算清单'!$F$7:$F$679,$A13,'2.报价结算清单'!$L$7:$L$679)</f>
        <v>0</v>
      </c>
      <c r="H13" s="56">
        <f>SUMIF('2.报价结算清单'!$F$7:$F$679,$A13,'2.报价结算清单'!$N$7:$N$679)</f>
        <v>0</v>
      </c>
      <c r="I13" s="59">
        <f>SUMIF('2.报价结算清单'!$F$7:$F$679,A13,'2.报价结算清单'!$P$7:$P$679)</f>
        <v>0</v>
      </c>
    </row>
    <row r="14" spans="1:9">
      <c r="A14" s="74" t="s">
        <v>57</v>
      </c>
      <c r="B14" s="72"/>
      <c r="C14" s="72" t="s">
        <v>1305</v>
      </c>
      <c r="D14" s="76" t="s">
        <v>796</v>
      </c>
      <c r="E14" s="72" t="s">
        <v>23</v>
      </c>
      <c r="F14" s="62">
        <f>VLOOKUP(A14,[1]基准价格!$A:$G,7,0)</f>
        <v>402.8</v>
      </c>
      <c r="G14" s="56">
        <f>SUMIF('2.报价结算清单'!$F$7:$F$679,$A14,'2.报价结算清单'!$L$7:$L$679)</f>
        <v>0</v>
      </c>
      <c r="H14" s="56">
        <f>SUMIF('2.报价结算清单'!$F$7:$F$679,$A14,'2.报价结算清单'!$N$7:$N$679)</f>
        <v>0</v>
      </c>
      <c r="I14" s="59">
        <f>SUMIF('2.报价结算清单'!$F$7:$F$679,A14,'2.报价结算清单'!$P$7:$P$679)</f>
        <v>0</v>
      </c>
    </row>
    <row r="15" spans="1:9">
      <c r="A15" s="74" t="s">
        <v>58</v>
      </c>
      <c r="B15" s="72"/>
      <c r="C15" s="72" t="s">
        <v>1305</v>
      </c>
      <c r="D15" s="76" t="s">
        <v>797</v>
      </c>
      <c r="E15" s="72" t="s">
        <v>23</v>
      </c>
      <c r="F15" s="62">
        <f>VLOOKUP(A15,[1]基准价格!$A:$G,7,0)</f>
        <v>614.79999999999995</v>
      </c>
      <c r="G15" s="56">
        <f>SUMIF('2.报价结算清单'!$F$7:$F$679,$A15,'2.报价结算清单'!$L$7:$L$679)</f>
        <v>0</v>
      </c>
      <c r="H15" s="56">
        <f>SUMIF('2.报价结算清单'!$F$7:$F$679,$A15,'2.报价结算清单'!$N$7:$N$679)</f>
        <v>0</v>
      </c>
      <c r="I15" s="59">
        <f>SUMIF('2.报价结算清单'!$F$7:$F$679,A15,'2.报价结算清单'!$P$7:$P$679)</f>
        <v>0</v>
      </c>
    </row>
    <row r="16" spans="1:9">
      <c r="A16" s="74" t="s">
        <v>59</v>
      </c>
      <c r="B16" s="72"/>
      <c r="C16" s="72" t="s">
        <v>1305</v>
      </c>
      <c r="D16" s="76" t="s">
        <v>798</v>
      </c>
      <c r="E16" s="72" t="s">
        <v>23</v>
      </c>
      <c r="F16" s="62">
        <f>VLOOKUP(A16,[1]基准价格!$A:$G,7,0)</f>
        <v>560</v>
      </c>
      <c r="G16" s="56">
        <f>SUMIF('2.报价结算清单'!$F$7:$F$679,$A16,'2.报价结算清单'!$L$7:$L$679)</f>
        <v>0</v>
      </c>
      <c r="H16" s="56">
        <f>SUMIF('2.报价结算清单'!$F$7:$F$679,$A16,'2.报价结算清单'!$N$7:$N$679)</f>
        <v>0</v>
      </c>
      <c r="I16" s="59">
        <f>SUMIF('2.报价结算清单'!$F$7:$F$679,A16,'2.报价结算清单'!$P$7:$P$679)</f>
        <v>0</v>
      </c>
    </row>
    <row r="17" spans="1:9">
      <c r="A17" s="74" t="s">
        <v>60</v>
      </c>
      <c r="B17" s="72"/>
      <c r="C17" s="72" t="s">
        <v>1305</v>
      </c>
      <c r="D17" s="76" t="s">
        <v>799</v>
      </c>
      <c r="E17" s="72" t="s">
        <v>23</v>
      </c>
      <c r="F17" s="62">
        <f>VLOOKUP(A17,[1]基准价格!$A:$G,7,0)</f>
        <v>487.6</v>
      </c>
      <c r="G17" s="56">
        <f>SUMIF('2.报价结算清单'!$F$7:$F$679,$A17,'2.报价结算清单'!$L$7:$L$679)</f>
        <v>0</v>
      </c>
      <c r="H17" s="56">
        <f>SUMIF('2.报价结算清单'!$F$7:$F$679,$A17,'2.报价结算清单'!$N$7:$N$679)</f>
        <v>0</v>
      </c>
      <c r="I17" s="59">
        <f>SUMIF('2.报价结算清单'!$F$7:$F$679,A17,'2.报价结算清单'!$P$7:$P$679)</f>
        <v>0</v>
      </c>
    </row>
    <row r="18" spans="1:9">
      <c r="A18" s="74" t="s">
        <v>61</v>
      </c>
      <c r="B18" s="72"/>
      <c r="C18" s="72" t="s">
        <v>1305</v>
      </c>
      <c r="D18" s="76" t="s">
        <v>800</v>
      </c>
      <c r="E18" s="72" t="s">
        <v>23</v>
      </c>
      <c r="F18" s="62">
        <f>VLOOKUP(A18,[1]基准价格!$A:$G,7,0)</f>
        <v>826.8</v>
      </c>
      <c r="G18" s="56">
        <f>SUMIF('2.报价结算清单'!$F$7:$F$679,$A18,'2.报价结算清单'!$L$7:$L$679)</f>
        <v>0</v>
      </c>
      <c r="H18" s="56">
        <f>SUMIF('2.报价结算清单'!$F$7:$F$679,$A18,'2.报价结算清单'!$N$7:$N$679)</f>
        <v>0</v>
      </c>
      <c r="I18" s="59">
        <f>SUMIF('2.报价结算清单'!$F$7:$F$679,A18,'2.报价结算清单'!$P$7:$P$679)</f>
        <v>0</v>
      </c>
    </row>
    <row r="19" spans="1:9">
      <c r="A19" s="74" t="s">
        <v>62</v>
      </c>
      <c r="B19" s="72"/>
      <c r="C19" s="72" t="s">
        <v>1305</v>
      </c>
      <c r="D19" s="76" t="s">
        <v>801</v>
      </c>
      <c r="E19" s="72" t="s">
        <v>23</v>
      </c>
      <c r="F19" s="62">
        <f>VLOOKUP(A19,[1]基准价格!$A:$G,7,0)</f>
        <v>614.79999999999995</v>
      </c>
      <c r="G19" s="56">
        <f>SUMIF('2.报价结算清单'!$F$7:$F$679,$A19,'2.报价结算清单'!$L$7:$L$679)</f>
        <v>0</v>
      </c>
      <c r="H19" s="56">
        <f>SUMIF('2.报价结算清单'!$F$7:$F$679,$A19,'2.报价结算清单'!$N$7:$N$679)</f>
        <v>0</v>
      </c>
      <c r="I19" s="59">
        <f>SUMIF('2.报价结算清单'!$F$7:$F$679,A19,'2.报价结算清单'!$P$7:$P$679)</f>
        <v>0</v>
      </c>
    </row>
    <row r="20" spans="1:9">
      <c r="A20" s="74" t="s">
        <v>63</v>
      </c>
      <c r="B20" s="72"/>
      <c r="C20" s="72" t="s">
        <v>1305</v>
      </c>
      <c r="D20" s="76" t="s">
        <v>802</v>
      </c>
      <c r="E20" s="72" t="s">
        <v>23</v>
      </c>
      <c r="F20" s="62">
        <f>VLOOKUP(A20,[1]基准价格!$A:$G,7,0)</f>
        <v>90.1</v>
      </c>
      <c r="G20" s="56">
        <f>SUMIF('2.报价结算清单'!$F$7:$F$679,$A20,'2.报价结算清单'!$L$7:$L$679)</f>
        <v>0</v>
      </c>
      <c r="H20" s="56">
        <f>SUMIF('2.报价结算清单'!$F$7:$F$679,$A20,'2.报价结算清单'!$N$7:$N$679)</f>
        <v>0</v>
      </c>
      <c r="I20" s="59">
        <f>SUMIF('2.报价结算清单'!$F$7:$F$679,A20,'2.报价结算清单'!$P$7:$P$679)</f>
        <v>0</v>
      </c>
    </row>
    <row r="21" spans="1:9">
      <c r="A21" s="74" t="s">
        <v>64</v>
      </c>
      <c r="B21" s="72"/>
      <c r="C21" s="72" t="s">
        <v>1305</v>
      </c>
      <c r="D21" s="76" t="s">
        <v>803</v>
      </c>
      <c r="E21" s="72" t="s">
        <v>23</v>
      </c>
      <c r="F21" s="62">
        <f>VLOOKUP(A21,[1]基准价格!$A:$G,7,0)</f>
        <v>106</v>
      </c>
      <c r="G21" s="56">
        <f>SUMIF('2.报价结算清单'!$F$7:$F$679,$A21,'2.报价结算清单'!$L$7:$L$679)</f>
        <v>0</v>
      </c>
      <c r="H21" s="56">
        <f>SUMIF('2.报价结算清单'!$F$7:$F$679,$A21,'2.报价结算清单'!$N$7:$N$679)</f>
        <v>0</v>
      </c>
      <c r="I21" s="59">
        <f>SUMIF('2.报价结算清单'!$F$7:$F$679,A21,'2.报价结算清单'!$P$7:$P$679)</f>
        <v>0</v>
      </c>
    </row>
    <row r="22" spans="1:9" ht="28.5">
      <c r="A22" s="74" t="s">
        <v>65</v>
      </c>
      <c r="B22" s="72"/>
      <c r="C22" s="72" t="s">
        <v>1305</v>
      </c>
      <c r="D22" s="76" t="s">
        <v>804</v>
      </c>
      <c r="E22" s="72" t="s">
        <v>23</v>
      </c>
      <c r="F22" s="62">
        <f>VLOOKUP(A22,[1]基准价格!$A:$G,7,0)</f>
        <v>131.66999999999999</v>
      </c>
      <c r="G22" s="56">
        <f>SUMIF('2.报价结算清单'!$F$7:$F$679,$A22,'2.报价结算清单'!$L$7:$L$679)</f>
        <v>0</v>
      </c>
      <c r="H22" s="56">
        <f>SUMIF('2.报价结算清单'!$F$7:$F$679,$A22,'2.报价结算清单'!$N$7:$N$679)</f>
        <v>0</v>
      </c>
      <c r="I22" s="59">
        <f>SUMIF('2.报价结算清单'!$F$7:$F$679,A22,'2.报价结算清单'!$P$7:$P$679)</f>
        <v>0</v>
      </c>
    </row>
    <row r="23" spans="1:9">
      <c r="A23" s="74" t="s">
        <v>66</v>
      </c>
      <c r="B23" s="72"/>
      <c r="C23" s="72" t="s">
        <v>1305</v>
      </c>
      <c r="D23" s="76" t="s">
        <v>805</v>
      </c>
      <c r="E23" s="72" t="s">
        <v>23</v>
      </c>
      <c r="F23" s="62">
        <f>VLOOKUP(A23,[1]基准价格!$A:$G,7,0)</f>
        <v>157.97</v>
      </c>
      <c r="G23" s="56">
        <f>SUMIF('2.报价结算清单'!$F$7:$F$679,$A23,'2.报价结算清单'!$L$7:$L$679)</f>
        <v>0</v>
      </c>
      <c r="H23" s="56">
        <f>SUMIF('2.报价结算清单'!$F$7:$F$679,$A23,'2.报价结算清单'!$N$7:$N$679)</f>
        <v>0</v>
      </c>
      <c r="I23" s="59">
        <f>SUMIF('2.报价结算清单'!$F$7:$F$679,A23,'2.报价结算清单'!$P$7:$P$679)</f>
        <v>0</v>
      </c>
    </row>
    <row r="24" spans="1:9">
      <c r="A24" s="74" t="s">
        <v>67</v>
      </c>
      <c r="B24" s="72"/>
      <c r="C24" s="72" t="s">
        <v>1305</v>
      </c>
      <c r="D24" s="76" t="s">
        <v>806</v>
      </c>
      <c r="E24" s="72" t="s">
        <v>23</v>
      </c>
      <c r="F24" s="62">
        <f>VLOOKUP(A24,[1]基准价格!$A:$G,7,0)</f>
        <v>174.14</v>
      </c>
      <c r="G24" s="56">
        <f>SUMIF('2.报价结算清单'!$F$7:$F$679,$A24,'2.报价结算清单'!$L$7:$L$679)</f>
        <v>0</v>
      </c>
      <c r="H24" s="56">
        <f>SUMIF('2.报价结算清单'!$F$7:$F$679,$A24,'2.报价结算清单'!$N$7:$N$679)</f>
        <v>0</v>
      </c>
      <c r="I24" s="59">
        <f>SUMIF('2.报价结算清单'!$F$7:$F$679,A24,'2.报价结算清单'!$P$7:$P$679)</f>
        <v>0</v>
      </c>
    </row>
    <row r="25" spans="1:9">
      <c r="A25" s="74" t="s">
        <v>68</v>
      </c>
      <c r="B25" s="72"/>
      <c r="C25" s="72" t="s">
        <v>1305</v>
      </c>
      <c r="D25" s="76" t="s">
        <v>807</v>
      </c>
      <c r="E25" s="72" t="s">
        <v>24</v>
      </c>
      <c r="F25" s="62">
        <f>VLOOKUP(A25,[1]基准价格!$A:$G,7,0)</f>
        <v>162.41</v>
      </c>
      <c r="G25" s="56">
        <f>SUMIF('2.报价结算清单'!$F$7:$F$679,$A25,'2.报价结算清单'!$L$7:$L$679)</f>
        <v>0</v>
      </c>
      <c r="H25" s="56">
        <f>SUMIF('2.报价结算清单'!$F$7:$F$679,$A25,'2.报价结算清单'!$N$7:$N$679)</f>
        <v>0</v>
      </c>
      <c r="I25" s="59">
        <f>SUMIF('2.报价结算清单'!$F$7:$F$679,A25,'2.报价结算清单'!$P$7:$P$679)</f>
        <v>0</v>
      </c>
    </row>
    <row r="26" spans="1:9">
      <c r="A26" s="74" t="s">
        <v>69</v>
      </c>
      <c r="B26" s="72"/>
      <c r="C26" s="72" t="s">
        <v>1305</v>
      </c>
      <c r="D26" s="76" t="s">
        <v>808</v>
      </c>
      <c r="E26" s="72" t="s">
        <v>24</v>
      </c>
      <c r="F26" s="62">
        <f>VLOOKUP(A26,[1]基准价格!$A:$G,7,0)</f>
        <v>209.07</v>
      </c>
      <c r="G26" s="56">
        <f>SUMIF('2.报价结算清单'!$F$7:$F$679,$A26,'2.报价结算清单'!$L$7:$L$679)</f>
        <v>0</v>
      </c>
      <c r="H26" s="56">
        <f>SUMIF('2.报价结算清单'!$F$7:$F$679,$A26,'2.报价结算清单'!$N$7:$N$679)</f>
        <v>0</v>
      </c>
      <c r="I26" s="59">
        <f>SUMIF('2.报价结算清单'!$F$7:$F$679,A26,'2.报价结算清单'!$P$7:$P$679)</f>
        <v>0</v>
      </c>
    </row>
    <row r="27" spans="1:9">
      <c r="A27" s="74" t="s">
        <v>70</v>
      </c>
      <c r="B27" s="72"/>
      <c r="C27" s="72" t="s">
        <v>1305</v>
      </c>
      <c r="D27" s="76" t="s">
        <v>809</v>
      </c>
      <c r="E27" s="72" t="s">
        <v>24</v>
      </c>
      <c r="F27" s="62">
        <f>VLOOKUP(A27,[1]基准价格!$A:$G,7,0)</f>
        <v>246.94</v>
      </c>
      <c r="G27" s="56">
        <f>SUMIF('2.报价结算清单'!$F$7:$F$679,$A27,'2.报价结算清单'!$L$7:$L$679)</f>
        <v>0</v>
      </c>
      <c r="H27" s="56">
        <f>SUMIF('2.报价结算清单'!$F$7:$F$679,$A27,'2.报价结算清单'!$N$7:$N$679)</f>
        <v>0</v>
      </c>
      <c r="I27" s="59">
        <f>SUMIF('2.报价结算清单'!$F$7:$F$679,A27,'2.报价结算清单'!$P$7:$P$679)</f>
        <v>0</v>
      </c>
    </row>
    <row r="28" spans="1:9">
      <c r="A28" s="74" t="s">
        <v>71</v>
      </c>
      <c r="B28" s="72"/>
      <c r="C28" s="72" t="s">
        <v>1305</v>
      </c>
      <c r="D28" s="76" t="s">
        <v>810</v>
      </c>
      <c r="E28" s="72" t="s">
        <v>24</v>
      </c>
      <c r="F28" s="62">
        <f>VLOOKUP(A28,[1]基准价格!$A:$G,7,0)</f>
        <v>137.66</v>
      </c>
      <c r="G28" s="56">
        <f>SUMIF('2.报价结算清单'!$F$7:$F$679,$A28,'2.报价结算清单'!$L$7:$L$679)</f>
        <v>0</v>
      </c>
      <c r="H28" s="56">
        <f>SUMIF('2.报价结算清单'!$F$7:$F$679,$A28,'2.报价结算清单'!$N$7:$N$679)</f>
        <v>0</v>
      </c>
      <c r="I28" s="59">
        <f>SUMIF('2.报价结算清单'!$F$7:$F$679,A28,'2.报价结算清单'!$P$7:$P$679)</f>
        <v>0</v>
      </c>
    </row>
    <row r="29" spans="1:9">
      <c r="A29" s="74" t="s">
        <v>72</v>
      </c>
      <c r="B29" s="72"/>
      <c r="C29" s="72" t="s">
        <v>1305</v>
      </c>
      <c r="D29" s="76" t="s">
        <v>811</v>
      </c>
      <c r="E29" s="72" t="s">
        <v>24</v>
      </c>
      <c r="F29" s="62">
        <f>VLOOKUP(A29,[1]基准价格!$A:$G,7,0)</f>
        <v>166.8</v>
      </c>
      <c r="G29" s="56">
        <f>SUMIF('2.报价结算清单'!$F$7:$F$679,$A29,'2.报价结算清单'!$L$7:$L$679)</f>
        <v>0</v>
      </c>
      <c r="H29" s="56">
        <f>SUMIF('2.报价结算清单'!$F$7:$F$679,$A29,'2.报价结算清单'!$N$7:$N$679)</f>
        <v>0</v>
      </c>
      <c r="I29" s="59">
        <f>SUMIF('2.报价结算清单'!$F$7:$F$679,A29,'2.报价结算清单'!$P$7:$P$679)</f>
        <v>0</v>
      </c>
    </row>
    <row r="30" spans="1:9">
      <c r="A30" s="74" t="s">
        <v>73</v>
      </c>
      <c r="B30" s="72"/>
      <c r="C30" s="72" t="s">
        <v>1305</v>
      </c>
      <c r="D30" s="76" t="s">
        <v>812</v>
      </c>
      <c r="E30" s="72" t="s">
        <v>24</v>
      </c>
      <c r="F30" s="62">
        <f>VLOOKUP(A30,[1]基准价格!$A:$G,7,0)</f>
        <v>210.95</v>
      </c>
      <c r="G30" s="56">
        <f>SUMIF('2.报价结算清单'!$F$7:$F$679,$A30,'2.报价结算清单'!$L$7:$L$679)</f>
        <v>0</v>
      </c>
      <c r="H30" s="56">
        <f>SUMIF('2.报价结算清单'!$F$7:$F$679,$A30,'2.报价结算清单'!$N$7:$N$679)</f>
        <v>0</v>
      </c>
      <c r="I30" s="59">
        <f>SUMIF('2.报价结算清单'!$F$7:$F$679,A30,'2.报价结算清单'!$P$7:$P$679)</f>
        <v>0</v>
      </c>
    </row>
    <row r="31" spans="1:9">
      <c r="A31" s="74" t="s">
        <v>74</v>
      </c>
      <c r="B31" s="72"/>
      <c r="C31" s="72" t="s">
        <v>1305</v>
      </c>
      <c r="D31" s="76" t="s">
        <v>813</v>
      </c>
      <c r="E31" s="72" t="s">
        <v>24</v>
      </c>
      <c r="F31" s="62">
        <f>VLOOKUP(A31,[1]基准价格!$A:$G,7,0)</f>
        <v>42.4</v>
      </c>
      <c r="G31" s="56">
        <f>SUMIF('2.报价结算清单'!$F$7:$F$679,$A31,'2.报价结算清单'!$L$7:$L$679)</f>
        <v>0</v>
      </c>
      <c r="H31" s="56">
        <f>SUMIF('2.报价结算清单'!$F$7:$F$679,$A31,'2.报价结算清单'!$N$7:$N$679)</f>
        <v>0</v>
      </c>
      <c r="I31" s="59">
        <f>SUMIF('2.报价结算清单'!$F$7:$F$679,A31,'2.报价结算清单'!$P$7:$P$679)</f>
        <v>0</v>
      </c>
    </row>
    <row r="32" spans="1:9">
      <c r="A32" s="74" t="s">
        <v>75</v>
      </c>
      <c r="B32" s="72"/>
      <c r="C32" s="72" t="s">
        <v>1305</v>
      </c>
      <c r="D32" s="76" t="s">
        <v>814</v>
      </c>
      <c r="E32" s="72" t="s">
        <v>23</v>
      </c>
      <c r="F32" s="62">
        <f>VLOOKUP(A32,[1]基准价格!$A:$G,7,0)</f>
        <v>51.67</v>
      </c>
      <c r="G32" s="56">
        <f>SUMIF('2.报价结算清单'!$F$7:$F$679,$A32,'2.报价结算清单'!$L$7:$L$679)</f>
        <v>0</v>
      </c>
      <c r="H32" s="56">
        <f>SUMIF('2.报价结算清单'!$F$7:$F$679,$A32,'2.报价结算清单'!$N$7:$N$679)</f>
        <v>0</v>
      </c>
      <c r="I32" s="59">
        <f>SUMIF('2.报价结算清单'!$F$7:$F$679,A32,'2.报价结算清单'!$P$7:$P$679)</f>
        <v>0</v>
      </c>
    </row>
    <row r="33" spans="1:9">
      <c r="A33" s="74" t="s">
        <v>76</v>
      </c>
      <c r="B33" s="72"/>
      <c r="C33" s="72" t="s">
        <v>1305</v>
      </c>
      <c r="D33" s="76" t="s">
        <v>815</v>
      </c>
      <c r="E33" s="72" t="s">
        <v>23</v>
      </c>
      <c r="F33" s="62">
        <f>VLOOKUP(A33,[1]基准价格!$A:$G,7,0)</f>
        <v>125</v>
      </c>
      <c r="G33" s="56">
        <f>SUMIF('2.报价结算清单'!$F$7:$F$679,$A33,'2.报价结算清单'!$L$7:$L$679)</f>
        <v>0</v>
      </c>
      <c r="H33" s="56">
        <f>SUMIF('2.报价结算清单'!$F$7:$F$679,$A33,'2.报价结算清单'!$N$7:$N$679)</f>
        <v>0</v>
      </c>
      <c r="I33" s="59">
        <f>SUMIF('2.报价结算清单'!$F$7:$F$679,A33,'2.报价结算清单'!$P$7:$P$679)</f>
        <v>0</v>
      </c>
    </row>
    <row r="34" spans="1:9">
      <c r="A34" s="74" t="s">
        <v>77</v>
      </c>
      <c r="B34" s="72"/>
      <c r="C34" s="72" t="s">
        <v>1305</v>
      </c>
      <c r="D34" s="76" t="s">
        <v>816</v>
      </c>
      <c r="E34" s="72" t="s">
        <v>23</v>
      </c>
      <c r="F34" s="62">
        <f>VLOOKUP(A34,[1]基准价格!$A:$G,7,0)</f>
        <v>55.3</v>
      </c>
      <c r="G34" s="56">
        <f>SUMIF('2.报价结算清单'!$F$7:$F$679,$A34,'2.报价结算清单'!$L$7:$L$679)</f>
        <v>0</v>
      </c>
      <c r="H34" s="56">
        <f>SUMIF('2.报价结算清单'!$F$7:$F$679,$A34,'2.报价结算清单'!$N$7:$N$679)</f>
        <v>0</v>
      </c>
      <c r="I34" s="59">
        <f>SUMIF('2.报价结算清单'!$F$7:$F$679,A34,'2.报价结算清单'!$P$7:$P$679)</f>
        <v>0</v>
      </c>
    </row>
    <row r="35" spans="1:9">
      <c r="A35" s="74" t="s">
        <v>78</v>
      </c>
      <c r="B35" s="72"/>
      <c r="C35" s="72" t="s">
        <v>1305</v>
      </c>
      <c r="D35" s="76" t="s">
        <v>817</v>
      </c>
      <c r="E35" s="72" t="s">
        <v>23</v>
      </c>
      <c r="F35" s="62">
        <f>VLOOKUP(A35,[1]基准价格!$A:$G,7,0)</f>
        <v>91.88</v>
      </c>
      <c r="G35" s="56">
        <f>SUMIF('2.报价结算清单'!$F$7:$F$679,$A35,'2.报价结算清单'!$L$7:$L$679)</f>
        <v>0</v>
      </c>
      <c r="H35" s="56">
        <f>SUMIF('2.报价结算清单'!$F$7:$F$679,$A35,'2.报价结算清单'!$N$7:$N$679)</f>
        <v>0</v>
      </c>
      <c r="I35" s="59">
        <f>SUMIF('2.报价结算清单'!$F$7:$F$679,A35,'2.报价结算清单'!$P$7:$P$679)</f>
        <v>0</v>
      </c>
    </row>
    <row r="36" spans="1:9">
      <c r="A36" s="74" t="s">
        <v>79</v>
      </c>
      <c r="B36" s="72"/>
      <c r="C36" s="72" t="s">
        <v>1305</v>
      </c>
      <c r="D36" s="76" t="s">
        <v>818</v>
      </c>
      <c r="E36" s="72" t="s">
        <v>23</v>
      </c>
      <c r="F36" s="62">
        <f>VLOOKUP(A36,[1]基准价格!$A:$G,7,0)</f>
        <v>64.319999999999993</v>
      </c>
      <c r="G36" s="56">
        <f>SUMIF('2.报价结算清单'!$F$7:$F$679,$A36,'2.报价结算清单'!$L$7:$L$679)</f>
        <v>0</v>
      </c>
      <c r="H36" s="56">
        <f>SUMIF('2.报价结算清单'!$F$7:$F$679,$A36,'2.报价结算清单'!$N$7:$N$679)</f>
        <v>0</v>
      </c>
      <c r="I36" s="59">
        <f>SUMIF('2.报价结算清单'!$F$7:$F$679,A36,'2.报价结算清单'!$P$7:$P$679)</f>
        <v>0</v>
      </c>
    </row>
    <row r="37" spans="1:9">
      <c r="A37" s="74" t="s">
        <v>80</v>
      </c>
      <c r="B37" s="72"/>
      <c r="C37" s="72" t="s">
        <v>1305</v>
      </c>
      <c r="D37" s="76" t="s">
        <v>819</v>
      </c>
      <c r="E37" s="72" t="s">
        <v>23</v>
      </c>
      <c r="F37" s="62">
        <f>VLOOKUP(A37,[1]基准价格!$A:$G,7,0)</f>
        <v>64.87</v>
      </c>
      <c r="G37" s="56">
        <f>SUMIF('2.报价结算清单'!$F$7:$F$679,$A37,'2.报价结算清单'!$L$7:$L$679)</f>
        <v>0</v>
      </c>
      <c r="H37" s="56">
        <f>SUMIF('2.报价结算清单'!$F$7:$F$679,$A37,'2.报价结算清单'!$N$7:$N$679)</f>
        <v>0</v>
      </c>
      <c r="I37" s="59">
        <f>SUMIF('2.报价结算清单'!$F$7:$F$679,A37,'2.报价结算清单'!$P$7:$P$679)</f>
        <v>0</v>
      </c>
    </row>
    <row r="38" spans="1:9">
      <c r="A38" s="74" t="s">
        <v>81</v>
      </c>
      <c r="B38" s="72"/>
      <c r="C38" s="72" t="s">
        <v>1305</v>
      </c>
      <c r="D38" s="76" t="s">
        <v>820</v>
      </c>
      <c r="E38" s="72" t="s">
        <v>23</v>
      </c>
      <c r="F38" s="62">
        <f>VLOOKUP(A38,[1]基准价格!$A:$G,7,0)</f>
        <v>62.87</v>
      </c>
      <c r="G38" s="56">
        <f>SUMIF('2.报价结算清单'!$F$7:$F$679,$A38,'2.报价结算清单'!$L$7:$L$679)</f>
        <v>0</v>
      </c>
      <c r="H38" s="56">
        <f>SUMIF('2.报价结算清单'!$F$7:$F$679,$A38,'2.报价结算清单'!$N$7:$N$679)</f>
        <v>0</v>
      </c>
      <c r="I38" s="59">
        <f>SUMIF('2.报价结算清单'!$F$7:$F$679,A38,'2.报价结算清单'!$P$7:$P$679)</f>
        <v>0</v>
      </c>
    </row>
    <row r="39" spans="1:9">
      <c r="A39" s="74" t="s">
        <v>82</v>
      </c>
      <c r="B39" s="72"/>
      <c r="C39" s="72" t="s">
        <v>1305</v>
      </c>
      <c r="D39" s="76" t="s">
        <v>821</v>
      </c>
      <c r="E39" s="72" t="s">
        <v>23</v>
      </c>
      <c r="F39" s="62">
        <f>VLOOKUP(A39,[1]基准价格!$A:$G,7,0)</f>
        <v>186.67</v>
      </c>
      <c r="G39" s="56">
        <f>SUMIF('2.报价结算清单'!$F$7:$F$679,$A39,'2.报价结算清单'!$L$7:$L$679)</f>
        <v>0</v>
      </c>
      <c r="H39" s="56">
        <f>SUMIF('2.报价结算清单'!$F$7:$F$679,$A39,'2.报价结算清单'!$N$7:$N$679)</f>
        <v>0</v>
      </c>
      <c r="I39" s="59">
        <f>SUMIF('2.报价结算清单'!$F$7:$F$679,A39,'2.报价结算清单'!$P$7:$P$679)</f>
        <v>0</v>
      </c>
    </row>
    <row r="40" spans="1:9">
      <c r="A40" s="74" t="s">
        <v>83</v>
      </c>
      <c r="B40" s="72"/>
      <c r="C40" s="72" t="s">
        <v>1305</v>
      </c>
      <c r="D40" s="76" t="s">
        <v>822</v>
      </c>
      <c r="E40" s="72" t="s">
        <v>23</v>
      </c>
      <c r="F40" s="62">
        <f>VLOOKUP(A40,[1]基准价格!$A:$G,7,0)</f>
        <v>206.67</v>
      </c>
      <c r="G40" s="56">
        <f>SUMIF('2.报价结算清单'!$F$7:$F$679,$A40,'2.报价结算清单'!$L$7:$L$679)</f>
        <v>0</v>
      </c>
      <c r="H40" s="56">
        <f>SUMIF('2.报价结算清单'!$F$7:$F$679,$A40,'2.报价结算清单'!$N$7:$N$679)</f>
        <v>0</v>
      </c>
      <c r="I40" s="59">
        <f>SUMIF('2.报价结算清单'!$F$7:$F$679,A40,'2.报价结算清单'!$P$7:$P$679)</f>
        <v>0</v>
      </c>
    </row>
    <row r="41" spans="1:9">
      <c r="A41" s="74" t="s">
        <v>84</v>
      </c>
      <c r="B41" s="72"/>
      <c r="C41" s="72" t="s">
        <v>1305</v>
      </c>
      <c r="D41" s="76" t="s">
        <v>823</v>
      </c>
      <c r="E41" s="72" t="s">
        <v>23</v>
      </c>
      <c r="F41" s="62">
        <f>VLOOKUP(A41,[1]基准价格!$A:$G,7,0)</f>
        <v>46.67</v>
      </c>
      <c r="G41" s="56">
        <f>SUMIF('2.报价结算清单'!$F$7:$F$679,$A41,'2.报价结算清单'!$L$7:$L$679)</f>
        <v>0</v>
      </c>
      <c r="H41" s="56">
        <f>SUMIF('2.报价结算清单'!$F$7:$F$679,$A41,'2.报价结算清单'!$N$7:$N$679)</f>
        <v>0</v>
      </c>
      <c r="I41" s="59">
        <f>SUMIF('2.报价结算清单'!$F$7:$F$679,A41,'2.报价结算清单'!$P$7:$P$679)</f>
        <v>0</v>
      </c>
    </row>
    <row r="42" spans="1:9">
      <c r="A42" s="74" t="s">
        <v>85</v>
      </c>
      <c r="B42" s="72"/>
      <c r="C42" s="72" t="s">
        <v>1305</v>
      </c>
      <c r="D42" s="76" t="s">
        <v>824</v>
      </c>
      <c r="E42" s="72" t="s">
        <v>23</v>
      </c>
      <c r="F42" s="62">
        <f>VLOOKUP(A42,[1]基准价格!$A:$G,7,0)</f>
        <v>75</v>
      </c>
      <c r="G42" s="56">
        <f>SUMIF('2.报价结算清单'!$F$7:$F$679,$A42,'2.报价结算清单'!$L$7:$L$679)</f>
        <v>0</v>
      </c>
      <c r="H42" s="56">
        <f>SUMIF('2.报价结算清单'!$F$7:$F$679,$A42,'2.报价结算清单'!$N$7:$N$679)</f>
        <v>0</v>
      </c>
      <c r="I42" s="59">
        <f>SUMIF('2.报价结算清单'!$F$7:$F$679,A42,'2.报价结算清单'!$P$7:$P$679)</f>
        <v>0</v>
      </c>
    </row>
    <row r="43" spans="1:9">
      <c r="A43" s="74" t="s">
        <v>86</v>
      </c>
      <c r="B43" s="72"/>
      <c r="C43" s="72" t="s">
        <v>1305</v>
      </c>
      <c r="D43" s="76" t="s">
        <v>825</v>
      </c>
      <c r="E43" s="72" t="s">
        <v>23</v>
      </c>
      <c r="F43" s="62">
        <f>VLOOKUP(A43,[1]基准价格!$A:$G,7,0)</f>
        <v>126.67</v>
      </c>
      <c r="G43" s="56">
        <f>SUMIF('2.报价结算清单'!$F$7:$F$679,$A43,'2.报价结算清单'!$L$7:$L$679)</f>
        <v>0</v>
      </c>
      <c r="H43" s="56">
        <f>SUMIF('2.报价结算清单'!$F$7:$F$679,$A43,'2.报价结算清单'!$N$7:$N$679)</f>
        <v>0</v>
      </c>
      <c r="I43" s="59">
        <f>SUMIF('2.报价结算清单'!$F$7:$F$679,A43,'2.报价结算清单'!$P$7:$P$679)</f>
        <v>0</v>
      </c>
    </row>
    <row r="44" spans="1:9">
      <c r="A44" s="74" t="s">
        <v>87</v>
      </c>
      <c r="B44" s="72"/>
      <c r="C44" s="72" t="s">
        <v>1305</v>
      </c>
      <c r="D44" s="76" t="s">
        <v>826</v>
      </c>
      <c r="E44" s="72" t="s">
        <v>23</v>
      </c>
      <c r="F44" s="62">
        <f>VLOOKUP(A44,[1]基准价格!$A:$G,7,0)</f>
        <v>173.33</v>
      </c>
      <c r="G44" s="56">
        <f>SUMIF('2.报价结算清单'!$F$7:$F$679,$A44,'2.报价结算清单'!$L$7:$L$679)</f>
        <v>6</v>
      </c>
      <c r="H44" s="56">
        <f>SUMIF('2.报价结算清单'!$F$7:$F$679,$A44,'2.报价结算清单'!$N$7:$N$679)</f>
        <v>4</v>
      </c>
      <c r="I44" s="59">
        <f>SUMIF('2.报价结算清单'!$F$7:$F$679,A44,'2.报价结算清单'!$P$7:$P$679)</f>
        <v>4159.92</v>
      </c>
    </row>
    <row r="45" spans="1:9">
      <c r="A45" s="74" t="s">
        <v>88</v>
      </c>
      <c r="B45" s="72"/>
      <c r="C45" s="72" t="s">
        <v>1305</v>
      </c>
      <c r="D45" s="76" t="s">
        <v>827</v>
      </c>
      <c r="E45" s="72" t="s">
        <v>23</v>
      </c>
      <c r="F45" s="62">
        <f>VLOOKUP(A45,[1]基准价格!$A:$G,7,0)</f>
        <v>222.6</v>
      </c>
      <c r="G45" s="56">
        <f>SUMIF('2.报价结算清单'!$F$7:$F$679,$A45,'2.报价结算清单'!$L$7:$L$679)</f>
        <v>40</v>
      </c>
      <c r="H45" s="56">
        <f>SUMIF('2.报价结算清单'!$F$7:$F$679,$A45,'2.报价结算清单'!$N$7:$N$679)</f>
        <v>2</v>
      </c>
      <c r="I45" s="59">
        <f>SUMIF('2.报价结算清单'!$F$7:$F$679,A45,'2.报价结算清单'!$P$7:$P$679)</f>
        <v>17808</v>
      </c>
    </row>
    <row r="46" spans="1:9">
      <c r="A46" s="74" t="s">
        <v>89</v>
      </c>
      <c r="B46" s="72"/>
      <c r="C46" s="72" t="s">
        <v>1305</v>
      </c>
      <c r="D46" s="76" t="s">
        <v>828</v>
      </c>
      <c r="E46" s="72" t="s">
        <v>23</v>
      </c>
      <c r="F46" s="62">
        <f>VLOOKUP(A46,[1]基准价格!$A:$G,7,0)</f>
        <v>180</v>
      </c>
      <c r="G46" s="56">
        <f>SUMIF('2.报价结算清单'!$F$7:$F$679,$A46,'2.报价结算清单'!$L$7:$L$679)</f>
        <v>0</v>
      </c>
      <c r="H46" s="56">
        <f>SUMIF('2.报价结算清单'!$F$7:$F$679,$A46,'2.报价结算清单'!$N$7:$N$679)</f>
        <v>0</v>
      </c>
      <c r="I46" s="59">
        <f>SUMIF('2.报价结算清单'!$F$7:$F$679,A46,'2.报价结算清单'!$P$7:$P$679)</f>
        <v>0</v>
      </c>
    </row>
    <row r="47" spans="1:9">
      <c r="A47" s="74" t="s">
        <v>90</v>
      </c>
      <c r="B47" s="72"/>
      <c r="C47" s="72" t="s">
        <v>1305</v>
      </c>
      <c r="D47" s="76" t="s">
        <v>829</v>
      </c>
      <c r="E47" s="72" t="s">
        <v>23</v>
      </c>
      <c r="F47" s="62">
        <f>VLOOKUP(A47,[1]基准价格!$A:$G,7,0)</f>
        <v>212</v>
      </c>
      <c r="G47" s="56">
        <f>SUMIF('2.报价结算清单'!$F$7:$F$679,$A47,'2.报价结算清单'!$L$7:$L$679)</f>
        <v>0</v>
      </c>
      <c r="H47" s="56">
        <f>SUMIF('2.报价结算清单'!$F$7:$F$679,$A47,'2.报价结算清单'!$N$7:$N$679)</f>
        <v>0</v>
      </c>
      <c r="I47" s="59">
        <f>SUMIF('2.报价结算清单'!$F$7:$F$679,A47,'2.报价结算清单'!$P$7:$P$679)</f>
        <v>0</v>
      </c>
    </row>
    <row r="48" spans="1:9">
      <c r="A48" s="74" t="s">
        <v>91</v>
      </c>
      <c r="B48" s="72"/>
      <c r="C48" s="72" t="s">
        <v>1305</v>
      </c>
      <c r="D48" s="76" t="s">
        <v>830</v>
      </c>
      <c r="E48" s="72" t="s">
        <v>23</v>
      </c>
      <c r="F48" s="62">
        <f>VLOOKUP(A48,[1]基准价格!$A:$G,7,0)</f>
        <v>250</v>
      </c>
      <c r="G48" s="56">
        <f>SUMIF('2.报价结算清单'!$F$7:$F$679,$A48,'2.报价结算清单'!$L$7:$L$679)</f>
        <v>0</v>
      </c>
      <c r="H48" s="56">
        <f>SUMIF('2.报价结算清单'!$F$7:$F$679,$A48,'2.报价结算清单'!$N$7:$N$679)</f>
        <v>0</v>
      </c>
      <c r="I48" s="59">
        <f>SUMIF('2.报价结算清单'!$F$7:$F$679,A48,'2.报价结算清单'!$P$7:$P$679)</f>
        <v>0</v>
      </c>
    </row>
    <row r="49" spans="1:9">
      <c r="A49" s="74" t="s">
        <v>92</v>
      </c>
      <c r="B49" s="72"/>
      <c r="C49" s="72" t="s">
        <v>1305</v>
      </c>
      <c r="D49" s="76" t="s">
        <v>831</v>
      </c>
      <c r="E49" s="72" t="s">
        <v>23</v>
      </c>
      <c r="F49" s="62">
        <f>VLOOKUP(A49,[1]基准价格!$A:$G,7,0)</f>
        <v>296.8</v>
      </c>
      <c r="G49" s="56">
        <f>SUMIF('2.报价结算清单'!$F$7:$F$679,$A49,'2.报价结算清单'!$L$7:$L$679)</f>
        <v>0</v>
      </c>
      <c r="H49" s="56">
        <f>SUMIF('2.报价结算清单'!$F$7:$F$679,$A49,'2.报价结算清单'!$N$7:$N$679)</f>
        <v>0</v>
      </c>
      <c r="I49" s="59">
        <f>SUMIF('2.报价结算清单'!$F$7:$F$679,A49,'2.报价结算清单'!$P$7:$P$679)</f>
        <v>0</v>
      </c>
    </row>
    <row r="50" spans="1:9">
      <c r="A50" s="74" t="s">
        <v>93</v>
      </c>
      <c r="B50" s="72"/>
      <c r="C50" s="72" t="s">
        <v>1305</v>
      </c>
      <c r="D50" s="76" t="s">
        <v>832</v>
      </c>
      <c r="E50" s="72" t="s">
        <v>23</v>
      </c>
      <c r="F50" s="62">
        <f>VLOOKUP(A50,[1]基准价格!$A:$G,7,0)</f>
        <v>316.67</v>
      </c>
      <c r="G50" s="56">
        <f>SUMIF('2.报价结算清单'!$F$7:$F$679,$A50,'2.报价结算清单'!$L$7:$L$679)</f>
        <v>0</v>
      </c>
      <c r="H50" s="56">
        <f>SUMIF('2.报价结算清单'!$F$7:$F$679,$A50,'2.报价结算清单'!$N$7:$N$679)</f>
        <v>0</v>
      </c>
      <c r="I50" s="59">
        <f>SUMIF('2.报价结算清单'!$F$7:$F$679,A50,'2.报价结算清单'!$P$7:$P$679)</f>
        <v>0</v>
      </c>
    </row>
    <row r="51" spans="1:9">
      <c r="A51" s="74" t="s">
        <v>94</v>
      </c>
      <c r="B51" s="72"/>
      <c r="C51" s="72" t="s">
        <v>1305</v>
      </c>
      <c r="D51" s="76" t="s">
        <v>833</v>
      </c>
      <c r="E51" s="72" t="s">
        <v>23</v>
      </c>
      <c r="F51" s="62">
        <f>VLOOKUP(A51,[1]基准价格!$A:$G,7,0)</f>
        <v>350</v>
      </c>
      <c r="G51" s="56">
        <f>SUMIF('2.报价结算清单'!$F$7:$F$679,$A51,'2.报价结算清单'!$L$7:$L$679)</f>
        <v>0</v>
      </c>
      <c r="H51" s="56">
        <f>SUMIF('2.报价结算清单'!$F$7:$F$679,$A51,'2.报价结算清单'!$N$7:$N$679)</f>
        <v>0</v>
      </c>
      <c r="I51" s="59">
        <f>SUMIF('2.报价结算清单'!$F$7:$F$679,A51,'2.报价结算清单'!$P$7:$P$679)</f>
        <v>0</v>
      </c>
    </row>
    <row r="52" spans="1:9">
      <c r="A52" s="74" t="s">
        <v>95</v>
      </c>
      <c r="B52" s="72"/>
      <c r="C52" s="72" t="s">
        <v>1305</v>
      </c>
      <c r="D52" s="76" t="s">
        <v>834</v>
      </c>
      <c r="E52" s="72" t="s">
        <v>23</v>
      </c>
      <c r="F52" s="62">
        <f>VLOOKUP(A52,[1]基准价格!$A:$G,7,0)</f>
        <v>433.33</v>
      </c>
      <c r="G52" s="56">
        <f>SUMIF('2.报价结算清单'!$F$7:$F$679,$A52,'2.报价结算清单'!$L$7:$L$679)</f>
        <v>0</v>
      </c>
      <c r="H52" s="56">
        <f>SUMIF('2.报价结算清单'!$F$7:$F$679,$A52,'2.报价结算清单'!$N$7:$N$679)</f>
        <v>0</v>
      </c>
      <c r="I52" s="59">
        <f>SUMIF('2.报价结算清单'!$F$7:$F$679,A52,'2.报价结算清单'!$P$7:$P$679)</f>
        <v>0</v>
      </c>
    </row>
    <row r="53" spans="1:9">
      <c r="A53" s="74" t="s">
        <v>96</v>
      </c>
      <c r="B53" s="72"/>
      <c r="C53" s="72" t="s">
        <v>1305</v>
      </c>
      <c r="D53" s="76" t="s">
        <v>835</v>
      </c>
      <c r="E53" s="72" t="s">
        <v>23</v>
      </c>
      <c r="F53" s="62">
        <f>VLOOKUP(A53,[1]基准价格!$A:$G,7,0)</f>
        <v>161.08000000000001</v>
      </c>
      <c r="G53" s="56">
        <f>SUMIF('2.报价结算清单'!$F$7:$F$679,$A53,'2.报价结算清单'!$L$7:$L$679)</f>
        <v>0</v>
      </c>
      <c r="H53" s="56">
        <f>SUMIF('2.报价结算清单'!$F$7:$F$679,$A53,'2.报价结算清单'!$N$7:$N$679)</f>
        <v>0</v>
      </c>
      <c r="I53" s="59">
        <f>SUMIF('2.报价结算清单'!$F$7:$F$679,A53,'2.报价结算清单'!$P$7:$P$679)</f>
        <v>0</v>
      </c>
    </row>
    <row r="54" spans="1:9">
      <c r="A54" s="74" t="s">
        <v>97</v>
      </c>
      <c r="B54" s="72"/>
      <c r="C54" s="72" t="s">
        <v>1305</v>
      </c>
      <c r="D54" s="76" t="s">
        <v>836</v>
      </c>
      <c r="E54" s="72" t="s">
        <v>23</v>
      </c>
      <c r="F54" s="62">
        <f>VLOOKUP(A54,[1]基准价格!$A:$G,7,0)</f>
        <v>50.57</v>
      </c>
      <c r="G54" s="56">
        <f>SUMIF('2.报价结算清单'!$F$7:$F$679,$A54,'2.报价结算清单'!$L$7:$L$679)</f>
        <v>0</v>
      </c>
      <c r="H54" s="56">
        <f>SUMIF('2.报价结算清单'!$F$7:$F$679,$A54,'2.报价结算清单'!$N$7:$N$679)</f>
        <v>0</v>
      </c>
      <c r="I54" s="59">
        <f>SUMIF('2.报价结算清单'!$F$7:$F$679,A54,'2.报价结算清单'!$P$7:$P$679)</f>
        <v>0</v>
      </c>
    </row>
    <row r="55" spans="1:9">
      <c r="A55" s="74" t="s">
        <v>98</v>
      </c>
      <c r="B55" s="72"/>
      <c r="C55" s="72" t="s">
        <v>1305</v>
      </c>
      <c r="D55" s="76" t="s">
        <v>837</v>
      </c>
      <c r="E55" s="72" t="s">
        <v>23</v>
      </c>
      <c r="F55" s="62">
        <f>VLOOKUP(A55,[1]基准价格!$A:$G,7,0)</f>
        <v>63.6</v>
      </c>
      <c r="G55" s="56">
        <f>SUMIF('2.报价结算清单'!$F$7:$F$679,$A55,'2.报价结算清单'!$L$7:$L$679)</f>
        <v>0</v>
      </c>
      <c r="H55" s="56">
        <f>SUMIF('2.报价结算清单'!$F$7:$F$679,$A55,'2.报价结算清单'!$N$7:$N$679)</f>
        <v>0</v>
      </c>
      <c r="I55" s="59">
        <f>SUMIF('2.报价结算清单'!$F$7:$F$679,A55,'2.报价结算清单'!$P$7:$P$679)</f>
        <v>0</v>
      </c>
    </row>
    <row r="56" spans="1:9">
      <c r="A56" s="74" t="s">
        <v>99</v>
      </c>
      <c r="B56" s="72"/>
      <c r="C56" s="72" t="s">
        <v>1305</v>
      </c>
      <c r="D56" s="76" t="s">
        <v>838</v>
      </c>
      <c r="E56" s="72" t="s">
        <v>23</v>
      </c>
      <c r="F56" s="62">
        <f>VLOOKUP(A56,[1]基准价格!$A:$G,7,0)</f>
        <v>240.42</v>
      </c>
      <c r="G56" s="56">
        <f>SUMIF('2.报价结算清单'!$F$7:$F$679,$A56,'2.报价结算清单'!$L$7:$L$679)</f>
        <v>0</v>
      </c>
      <c r="H56" s="56">
        <f>SUMIF('2.报价结算清单'!$F$7:$F$679,$A56,'2.报价结算清单'!$N$7:$N$679)</f>
        <v>0</v>
      </c>
      <c r="I56" s="59">
        <f>SUMIF('2.报价结算清单'!$F$7:$F$679,A56,'2.报价结算清单'!$P$7:$P$679)</f>
        <v>0</v>
      </c>
    </row>
    <row r="57" spans="1:9">
      <c r="A57" s="74" t="s">
        <v>100</v>
      </c>
      <c r="B57" s="72"/>
      <c r="C57" s="72" t="s">
        <v>1305</v>
      </c>
      <c r="D57" s="76" t="s">
        <v>839</v>
      </c>
      <c r="E57" s="72" t="s">
        <v>23</v>
      </c>
      <c r="F57" s="62">
        <f>VLOOKUP(A57,[1]基准价格!$A:$G,7,0)</f>
        <v>212</v>
      </c>
      <c r="G57" s="56">
        <f>SUMIF('2.报价结算清单'!$F$7:$F$679,$A57,'2.报价结算清单'!$L$7:$L$679)</f>
        <v>0</v>
      </c>
      <c r="H57" s="56">
        <f>SUMIF('2.报价结算清单'!$F$7:$F$679,$A57,'2.报价结算清单'!$N$7:$N$679)</f>
        <v>0</v>
      </c>
      <c r="I57" s="59">
        <f>SUMIF('2.报价结算清单'!$F$7:$F$679,A57,'2.报价结算清单'!$P$7:$P$679)</f>
        <v>0</v>
      </c>
    </row>
    <row r="58" spans="1:9">
      <c r="A58" s="74" t="s">
        <v>101</v>
      </c>
      <c r="B58" s="72"/>
      <c r="C58" s="72" t="s">
        <v>1305</v>
      </c>
      <c r="D58" s="76" t="s">
        <v>840</v>
      </c>
      <c r="E58" s="72" t="s">
        <v>23</v>
      </c>
      <c r="F58" s="62">
        <f>VLOOKUP(A58,[1]基准价格!$A:$G,7,0)</f>
        <v>310.19</v>
      </c>
      <c r="G58" s="56">
        <f>SUMIF('2.报价结算清单'!$F$7:$F$679,$A58,'2.报价结算清单'!$L$7:$L$679)</f>
        <v>0</v>
      </c>
      <c r="H58" s="56">
        <f>SUMIF('2.报价结算清单'!$F$7:$F$679,$A58,'2.报价结算清单'!$N$7:$N$679)</f>
        <v>0</v>
      </c>
      <c r="I58" s="59">
        <f>SUMIF('2.报价结算清单'!$F$7:$F$679,A58,'2.报价结算清单'!$P$7:$P$679)</f>
        <v>0</v>
      </c>
    </row>
    <row r="59" spans="1:9">
      <c r="A59" s="74" t="s">
        <v>102</v>
      </c>
      <c r="B59" s="72"/>
      <c r="C59" s="72" t="s">
        <v>1305</v>
      </c>
      <c r="D59" s="76" t="s">
        <v>841</v>
      </c>
      <c r="E59" s="72" t="s">
        <v>23</v>
      </c>
      <c r="F59" s="62">
        <f>VLOOKUP(A59,[1]基准价格!$A:$G,7,0)</f>
        <v>1390.56</v>
      </c>
      <c r="G59" s="56">
        <f>SUMIF('2.报价结算清单'!$F$7:$F$679,$A59,'2.报价结算清单'!$L$7:$L$679)</f>
        <v>0</v>
      </c>
      <c r="H59" s="56">
        <f>SUMIF('2.报价结算清单'!$F$7:$F$679,$A59,'2.报价结算清单'!$N$7:$N$679)</f>
        <v>0</v>
      </c>
      <c r="I59" s="59">
        <f>SUMIF('2.报价结算清单'!$F$7:$F$679,A59,'2.报价结算清单'!$P$7:$P$679)</f>
        <v>0</v>
      </c>
    </row>
    <row r="60" spans="1:9">
      <c r="A60" s="74" t="s">
        <v>103</v>
      </c>
      <c r="B60" s="72"/>
      <c r="C60" s="72" t="s">
        <v>1305</v>
      </c>
      <c r="D60" s="76" t="s">
        <v>842</v>
      </c>
      <c r="E60" s="72" t="s">
        <v>23</v>
      </c>
      <c r="F60" s="62">
        <f>VLOOKUP(A60,[1]基准价格!$A:$G,7,0)</f>
        <v>65</v>
      </c>
      <c r="G60" s="56">
        <f>SUMIF('2.报价结算清单'!$F$7:$F$679,$A60,'2.报价结算清单'!$L$7:$L$679)</f>
        <v>0</v>
      </c>
      <c r="H60" s="56">
        <f>SUMIF('2.报价结算清单'!$F$7:$F$679,$A60,'2.报价结算清单'!$N$7:$N$679)</f>
        <v>0</v>
      </c>
      <c r="I60" s="59">
        <f>SUMIF('2.报价结算清单'!$F$7:$F$679,A60,'2.报价结算清单'!$P$7:$P$679)</f>
        <v>0</v>
      </c>
    </row>
    <row r="61" spans="1:9">
      <c r="A61" s="74" t="s">
        <v>104</v>
      </c>
      <c r="B61" s="72"/>
      <c r="C61" s="72" t="s">
        <v>1305</v>
      </c>
      <c r="D61" s="76" t="s">
        <v>843</v>
      </c>
      <c r="E61" s="72" t="s">
        <v>23</v>
      </c>
      <c r="F61" s="62">
        <f>VLOOKUP(A61,[1]基准价格!$A:$G,7,0)</f>
        <v>623.33000000000004</v>
      </c>
      <c r="G61" s="56">
        <f>SUMIF('2.报价结算清单'!$F$7:$F$679,$A61,'2.报价结算清单'!$L$7:$L$679)</f>
        <v>0</v>
      </c>
      <c r="H61" s="56">
        <f>SUMIF('2.报价结算清单'!$F$7:$F$679,$A61,'2.报价结算清单'!$N$7:$N$679)</f>
        <v>0</v>
      </c>
      <c r="I61" s="59">
        <f>SUMIF('2.报价结算清单'!$F$7:$F$679,A61,'2.报价结算清单'!$P$7:$P$679)</f>
        <v>0</v>
      </c>
    </row>
    <row r="62" spans="1:9">
      <c r="A62" s="74" t="s">
        <v>105</v>
      </c>
      <c r="B62" s="72"/>
      <c r="C62" s="72" t="s">
        <v>1305</v>
      </c>
      <c r="D62" s="76" t="s">
        <v>844</v>
      </c>
      <c r="E62" s="72" t="s">
        <v>23</v>
      </c>
      <c r="F62" s="62">
        <f>VLOOKUP(A62,[1]基准价格!$A:$G,7,0)</f>
        <v>226.67</v>
      </c>
      <c r="G62" s="56">
        <f>SUMIF('2.报价结算清单'!$F$7:$F$679,$A62,'2.报价结算清单'!$L$7:$L$679)</f>
        <v>0</v>
      </c>
      <c r="H62" s="56">
        <f>SUMIF('2.报价结算清单'!$F$7:$F$679,$A62,'2.报价结算清单'!$N$7:$N$679)</f>
        <v>0</v>
      </c>
      <c r="I62" s="59">
        <f>SUMIF('2.报价结算清单'!$F$7:$F$679,A62,'2.报价结算清单'!$P$7:$P$679)</f>
        <v>0</v>
      </c>
    </row>
    <row r="63" spans="1:9">
      <c r="A63" s="74" t="s">
        <v>106</v>
      </c>
      <c r="B63" s="72"/>
      <c r="C63" s="72" t="s">
        <v>1305</v>
      </c>
      <c r="D63" s="76" t="s">
        <v>845</v>
      </c>
      <c r="E63" s="72" t="s">
        <v>25</v>
      </c>
      <c r="F63" s="62">
        <f>VLOOKUP(A63,[1]基准价格!$A:$G,7,0)</f>
        <v>1933.33</v>
      </c>
      <c r="G63" s="56">
        <f>SUMIF('2.报价结算清单'!$F$7:$F$679,$A63,'2.报价结算清单'!$L$7:$L$679)</f>
        <v>0</v>
      </c>
      <c r="H63" s="56">
        <f>SUMIF('2.报价结算清单'!$F$7:$F$679,$A63,'2.报价结算清单'!$N$7:$N$679)</f>
        <v>0</v>
      </c>
      <c r="I63" s="59">
        <f>SUMIF('2.报价结算清单'!$F$7:$F$679,A63,'2.报价结算清单'!$P$7:$P$679)</f>
        <v>0</v>
      </c>
    </row>
    <row r="64" spans="1:9">
      <c r="A64" s="74" t="s">
        <v>107</v>
      </c>
      <c r="B64" s="72"/>
      <c r="C64" s="72" t="s">
        <v>1305</v>
      </c>
      <c r="D64" s="76" t="s">
        <v>846</v>
      </c>
      <c r="E64" s="72" t="s">
        <v>25</v>
      </c>
      <c r="F64" s="62">
        <f>VLOOKUP(A64,[1]基准价格!$A:$G,7,0)</f>
        <v>2433.33</v>
      </c>
      <c r="G64" s="56">
        <f>SUMIF('2.报价结算清单'!$F$7:$F$679,$A64,'2.报价结算清单'!$L$7:$L$679)</f>
        <v>0</v>
      </c>
      <c r="H64" s="56">
        <f>SUMIF('2.报价结算清单'!$F$7:$F$679,$A64,'2.报价结算清单'!$N$7:$N$679)</f>
        <v>0</v>
      </c>
      <c r="I64" s="59">
        <f>SUMIF('2.报价结算清单'!$F$7:$F$679,A64,'2.报价结算清单'!$P$7:$P$679)</f>
        <v>0</v>
      </c>
    </row>
    <row r="65" spans="1:9">
      <c r="A65" s="74" t="s">
        <v>108</v>
      </c>
      <c r="B65" s="72"/>
      <c r="C65" s="72" t="s">
        <v>1305</v>
      </c>
      <c r="D65" s="76" t="s">
        <v>847</v>
      </c>
      <c r="E65" s="72" t="s">
        <v>25</v>
      </c>
      <c r="F65" s="62">
        <f>VLOOKUP(A65,[1]基准价格!$A:$G,7,0)</f>
        <v>1616.67</v>
      </c>
      <c r="G65" s="56">
        <f>SUMIF('2.报价结算清单'!$F$7:$F$679,$A65,'2.报价结算清单'!$L$7:$L$679)</f>
        <v>0</v>
      </c>
      <c r="H65" s="56">
        <f>SUMIF('2.报价结算清单'!$F$7:$F$679,$A65,'2.报价结算清单'!$N$7:$N$679)</f>
        <v>0</v>
      </c>
      <c r="I65" s="59">
        <f>SUMIF('2.报价结算清单'!$F$7:$F$679,A65,'2.报价结算清单'!$P$7:$P$679)</f>
        <v>0</v>
      </c>
    </row>
    <row r="66" spans="1:9">
      <c r="A66" s="74" t="s">
        <v>109</v>
      </c>
      <c r="B66" s="72"/>
      <c r="C66" s="72" t="s">
        <v>1305</v>
      </c>
      <c r="D66" s="76" t="s">
        <v>848</v>
      </c>
      <c r="E66" s="72" t="s">
        <v>25</v>
      </c>
      <c r="F66" s="62">
        <f>VLOOKUP(A66,[1]基准价格!$A:$G,7,0)</f>
        <v>1933.33</v>
      </c>
      <c r="G66" s="56">
        <f>SUMIF('2.报价结算清单'!$F$7:$F$679,$A66,'2.报价结算清单'!$L$7:$L$679)</f>
        <v>0</v>
      </c>
      <c r="H66" s="56">
        <f>SUMIF('2.报价结算清单'!$F$7:$F$679,$A66,'2.报价结算清单'!$N$7:$N$679)</f>
        <v>0</v>
      </c>
      <c r="I66" s="59">
        <f>SUMIF('2.报价结算清单'!$F$7:$F$679,A66,'2.报价结算清单'!$P$7:$P$679)</f>
        <v>0</v>
      </c>
    </row>
    <row r="67" spans="1:9">
      <c r="A67" s="74" t="s">
        <v>110</v>
      </c>
      <c r="B67" s="72"/>
      <c r="C67" s="72" t="s">
        <v>1305</v>
      </c>
      <c r="D67" s="76" t="s">
        <v>849</v>
      </c>
      <c r="E67" s="72" t="s">
        <v>25</v>
      </c>
      <c r="F67" s="62">
        <f>VLOOKUP(A67,[1]基准价格!$A:$G,7,0)</f>
        <v>2650</v>
      </c>
      <c r="G67" s="56">
        <f>SUMIF('2.报价结算清单'!$F$7:$F$679,$A67,'2.报价结算清单'!$L$7:$L$679)</f>
        <v>0</v>
      </c>
      <c r="H67" s="56">
        <f>SUMIF('2.报价结算清单'!$F$7:$F$679,$A67,'2.报价结算清单'!$N$7:$N$679)</f>
        <v>0</v>
      </c>
      <c r="I67" s="59">
        <f>SUMIF('2.报价结算清单'!$F$7:$F$679,A67,'2.报价结算清单'!$P$7:$P$679)</f>
        <v>0</v>
      </c>
    </row>
    <row r="68" spans="1:9">
      <c r="A68" s="74" t="s">
        <v>111</v>
      </c>
      <c r="B68" s="72"/>
      <c r="C68" s="72" t="s">
        <v>1305</v>
      </c>
      <c r="D68" s="76" t="s">
        <v>850</v>
      </c>
      <c r="E68" s="72" t="s">
        <v>25</v>
      </c>
      <c r="F68" s="62">
        <f>VLOOKUP(A68,[1]基准价格!$A:$G,7,0)</f>
        <v>2650</v>
      </c>
      <c r="G68" s="56">
        <f>SUMIF('2.报价结算清单'!$F$7:$F$679,$A68,'2.报价结算清单'!$L$7:$L$679)</f>
        <v>8</v>
      </c>
      <c r="H68" s="56">
        <f>SUMIF('2.报价结算清单'!$F$7:$F$679,$A68,'2.报价结算清单'!$N$7:$N$679)</f>
        <v>2</v>
      </c>
      <c r="I68" s="59">
        <f>SUMIF('2.报价结算清单'!$F$7:$F$679,A68,'2.报价结算清单'!$P$7:$P$679)</f>
        <v>42400</v>
      </c>
    </row>
    <row r="69" spans="1:9">
      <c r="A69" s="74" t="s">
        <v>112</v>
      </c>
      <c r="B69" s="72"/>
      <c r="C69" s="72" t="s">
        <v>1305</v>
      </c>
      <c r="D69" s="76" t="s">
        <v>851</v>
      </c>
      <c r="E69" s="72" t="s">
        <v>25</v>
      </c>
      <c r="F69" s="62">
        <f>VLOOKUP(A69,[1]基准价格!$A:$G,7,0)</f>
        <v>2650</v>
      </c>
      <c r="G69" s="56">
        <f>SUMIF('2.报价结算清单'!$F$7:$F$679,$A69,'2.报价结算清单'!$L$7:$L$679)</f>
        <v>0</v>
      </c>
      <c r="H69" s="56">
        <f>SUMIF('2.报价结算清单'!$F$7:$F$679,$A69,'2.报价结算清单'!$N$7:$N$679)</f>
        <v>0</v>
      </c>
      <c r="I69" s="59">
        <f>SUMIF('2.报价结算清单'!$F$7:$F$679,A69,'2.报价结算清单'!$P$7:$P$679)</f>
        <v>0</v>
      </c>
    </row>
    <row r="70" spans="1:9">
      <c r="A70" s="74" t="s">
        <v>113</v>
      </c>
      <c r="B70" s="72"/>
      <c r="C70" s="72" t="s">
        <v>1305</v>
      </c>
      <c r="D70" s="76" t="s">
        <v>852</v>
      </c>
      <c r="E70" s="72" t="s">
        <v>25</v>
      </c>
      <c r="F70" s="62">
        <f>VLOOKUP(A70,[1]基准价格!$A:$G,7,0)</f>
        <v>2650</v>
      </c>
      <c r="G70" s="56">
        <f>SUMIF('2.报价结算清单'!$F$7:$F$679,$A70,'2.报价结算清单'!$L$7:$L$679)</f>
        <v>0</v>
      </c>
      <c r="H70" s="56">
        <f>SUMIF('2.报价结算清单'!$F$7:$F$679,$A70,'2.报价结算清单'!$N$7:$N$679)</f>
        <v>0</v>
      </c>
      <c r="I70" s="59">
        <f>SUMIF('2.报价结算清单'!$F$7:$F$679,A70,'2.报价结算清单'!$P$7:$P$679)</f>
        <v>0</v>
      </c>
    </row>
    <row r="71" spans="1:9">
      <c r="A71" s="74" t="s">
        <v>114</v>
      </c>
      <c r="B71" s="72"/>
      <c r="C71" s="72" t="s">
        <v>1305</v>
      </c>
      <c r="D71" s="76" t="s">
        <v>853</v>
      </c>
      <c r="E71" s="72" t="s">
        <v>23</v>
      </c>
      <c r="F71" s="62">
        <f>VLOOKUP(A71,[1]基准价格!$A:$G,7,0)</f>
        <v>16.11</v>
      </c>
      <c r="G71" s="56">
        <f>SUMIF('2.报价结算清单'!$F$7:$F$679,$A71,'2.报价结算清单'!$L$7:$L$679)</f>
        <v>0</v>
      </c>
      <c r="H71" s="56">
        <f>SUMIF('2.报价结算清单'!$F$7:$F$679,$A71,'2.报价结算清单'!$N$7:$N$679)</f>
        <v>0</v>
      </c>
      <c r="I71" s="59">
        <f>SUMIF('2.报价结算清单'!$F$7:$F$679,A71,'2.报价结算清单'!$P$7:$P$679)</f>
        <v>0</v>
      </c>
    </row>
    <row r="72" spans="1:9">
      <c r="A72" s="74" t="s">
        <v>115</v>
      </c>
      <c r="B72" s="72"/>
      <c r="C72" s="72" t="s">
        <v>1305</v>
      </c>
      <c r="D72" s="76" t="s">
        <v>854</v>
      </c>
      <c r="E72" s="72" t="s">
        <v>23</v>
      </c>
      <c r="F72" s="62">
        <f>VLOOKUP(A72,[1]基准价格!$A:$G,7,0)</f>
        <v>21.2</v>
      </c>
      <c r="G72" s="56">
        <f>SUMIF('2.报价结算清单'!$F$7:$F$679,$A72,'2.报价结算清单'!$L$7:$L$679)</f>
        <v>0</v>
      </c>
      <c r="H72" s="56">
        <f>SUMIF('2.报价结算清单'!$F$7:$F$679,$A72,'2.报价结算清单'!$N$7:$N$679)</f>
        <v>0</v>
      </c>
      <c r="I72" s="59">
        <f>SUMIF('2.报价结算清单'!$F$7:$F$679,A72,'2.报价结算清单'!$P$7:$P$679)</f>
        <v>0</v>
      </c>
    </row>
    <row r="73" spans="1:9">
      <c r="A73" s="74" t="s">
        <v>116</v>
      </c>
      <c r="B73" s="72"/>
      <c r="C73" s="72" t="s">
        <v>1305</v>
      </c>
      <c r="D73" s="76" t="s">
        <v>855</v>
      </c>
      <c r="E73" s="72" t="s">
        <v>23</v>
      </c>
      <c r="F73" s="62">
        <f>VLOOKUP(A73,[1]基准价格!$A:$G,7,0)</f>
        <v>28.229999999999997</v>
      </c>
      <c r="G73" s="56">
        <f>SUMIF('2.报价结算清单'!$F$7:$F$679,$A73,'2.报价结算清单'!$L$7:$L$679)</f>
        <v>0</v>
      </c>
      <c r="H73" s="56">
        <f>SUMIF('2.报价结算清单'!$F$7:$F$679,$A73,'2.报价结算清单'!$N$7:$N$679)</f>
        <v>0</v>
      </c>
      <c r="I73" s="59">
        <f>SUMIF('2.报价结算清单'!$F$7:$F$679,A73,'2.报价结算清单'!$P$7:$P$679)</f>
        <v>0</v>
      </c>
    </row>
    <row r="74" spans="1:9">
      <c r="A74" s="74" t="s">
        <v>117</v>
      </c>
      <c r="B74" s="72"/>
      <c r="C74" s="72" t="s">
        <v>1305</v>
      </c>
      <c r="D74" s="76" t="s">
        <v>856</v>
      </c>
      <c r="E74" s="72" t="s">
        <v>23</v>
      </c>
      <c r="F74" s="62">
        <f>VLOOKUP(A74,[1]基准价格!$A:$G,7,0)</f>
        <v>40.630000000000003</v>
      </c>
      <c r="G74" s="56">
        <f>SUMIF('2.报价结算清单'!$F$7:$F$679,$A74,'2.报价结算清单'!$L$7:$L$679)</f>
        <v>0</v>
      </c>
      <c r="H74" s="56">
        <f>SUMIF('2.报价结算清单'!$F$7:$F$679,$A74,'2.报价结算清单'!$N$7:$N$679)</f>
        <v>0</v>
      </c>
      <c r="I74" s="59">
        <f>SUMIF('2.报价结算清单'!$F$7:$F$679,A74,'2.报价结算清单'!$P$7:$P$679)</f>
        <v>0</v>
      </c>
    </row>
    <row r="75" spans="1:9">
      <c r="A75" s="74" t="s">
        <v>118</v>
      </c>
      <c r="B75" s="72"/>
      <c r="C75" s="72" t="s">
        <v>1305</v>
      </c>
      <c r="D75" s="76" t="s">
        <v>857</v>
      </c>
      <c r="E75" s="72" t="s">
        <v>23</v>
      </c>
      <c r="F75" s="62">
        <f>VLOOKUP(A75,[1]基准价格!$A:$G,7,0)</f>
        <v>10.6</v>
      </c>
      <c r="G75" s="56">
        <f>SUMIF('2.报价结算清单'!$F$7:$F$679,$A75,'2.报价结算清单'!$L$7:$L$679)</f>
        <v>0</v>
      </c>
      <c r="H75" s="56">
        <f>SUMIF('2.报价结算清单'!$F$7:$F$679,$A75,'2.报价结算清单'!$N$7:$N$679)</f>
        <v>0</v>
      </c>
      <c r="I75" s="59">
        <f>SUMIF('2.报价结算清单'!$F$7:$F$679,A75,'2.报价结算清单'!$P$7:$P$679)</f>
        <v>0</v>
      </c>
    </row>
    <row r="76" spans="1:9">
      <c r="A76" s="74" t="s">
        <v>119</v>
      </c>
      <c r="B76" s="72"/>
      <c r="C76" s="72" t="s">
        <v>1305</v>
      </c>
      <c r="D76" s="76" t="s">
        <v>858</v>
      </c>
      <c r="E76" s="72" t="s">
        <v>23</v>
      </c>
      <c r="F76" s="62">
        <f>VLOOKUP(A76,[1]基准价格!$A:$G,7,0)</f>
        <v>15.9</v>
      </c>
      <c r="G76" s="56">
        <f>SUMIF('2.报价结算清单'!$F$7:$F$679,$A76,'2.报价结算清单'!$L$7:$L$679)</f>
        <v>0</v>
      </c>
      <c r="H76" s="56">
        <f>SUMIF('2.报价结算清单'!$F$7:$F$679,$A76,'2.报价结算清单'!$N$7:$N$679)</f>
        <v>0</v>
      </c>
      <c r="I76" s="59">
        <f>SUMIF('2.报价结算清单'!$F$7:$F$679,A76,'2.报价结算清单'!$P$7:$P$679)</f>
        <v>0</v>
      </c>
    </row>
    <row r="77" spans="1:9">
      <c r="A77" s="74" t="s">
        <v>120</v>
      </c>
      <c r="B77" s="72"/>
      <c r="C77" s="72" t="s">
        <v>1305</v>
      </c>
      <c r="D77" s="76" t="s">
        <v>859</v>
      </c>
      <c r="E77" s="72" t="s">
        <v>23</v>
      </c>
      <c r="F77" s="62">
        <f>VLOOKUP(A77,[1]基准价格!$A:$G,7,0)</f>
        <v>95.4</v>
      </c>
      <c r="G77" s="56">
        <f>SUMIF('2.报价结算清单'!$F$7:$F$679,$A77,'2.报价结算清单'!$L$7:$L$679)</f>
        <v>0</v>
      </c>
      <c r="H77" s="56">
        <f>SUMIF('2.报价结算清单'!$F$7:$F$679,$A77,'2.报价结算清单'!$N$7:$N$679)</f>
        <v>0</v>
      </c>
      <c r="I77" s="59">
        <f>SUMIF('2.报价结算清单'!$F$7:$F$679,A77,'2.报价结算清单'!$P$7:$P$679)</f>
        <v>0</v>
      </c>
    </row>
    <row r="78" spans="1:9">
      <c r="A78" s="74" t="s">
        <v>121</v>
      </c>
      <c r="B78" s="72"/>
      <c r="C78" s="72" t="s">
        <v>1305</v>
      </c>
      <c r="D78" s="76" t="s">
        <v>860</v>
      </c>
      <c r="E78" s="72" t="s">
        <v>23</v>
      </c>
      <c r="F78" s="62">
        <f>VLOOKUP(A78,[1]基准价格!$A:$G,7,0)</f>
        <v>95.4</v>
      </c>
      <c r="G78" s="56">
        <f>SUMIF('2.报价结算清单'!$F$7:$F$679,$A78,'2.报价结算清单'!$L$7:$L$679)</f>
        <v>0</v>
      </c>
      <c r="H78" s="56">
        <f>SUMIF('2.报价结算清单'!$F$7:$F$679,$A78,'2.报价结算清单'!$N$7:$N$679)</f>
        <v>0</v>
      </c>
      <c r="I78" s="59">
        <f>SUMIF('2.报价结算清单'!$F$7:$F$679,A78,'2.报价结算清单'!$P$7:$P$679)</f>
        <v>0</v>
      </c>
    </row>
    <row r="79" spans="1:9">
      <c r="A79" s="74" t="s">
        <v>122</v>
      </c>
      <c r="B79" s="72"/>
      <c r="C79" s="72" t="s">
        <v>1305</v>
      </c>
      <c r="D79" s="76" t="s">
        <v>861</v>
      </c>
      <c r="E79" s="72" t="s">
        <v>23</v>
      </c>
      <c r="F79" s="62">
        <f>VLOOKUP(A79,[1]基准价格!$A:$G,7,0)</f>
        <v>106</v>
      </c>
      <c r="G79" s="56">
        <f>SUMIF('2.报价结算清单'!$F$7:$F$679,$A79,'2.报价结算清单'!$L$7:$L$679)</f>
        <v>0</v>
      </c>
      <c r="H79" s="56">
        <f>SUMIF('2.报价结算清单'!$F$7:$F$679,$A79,'2.报价结算清单'!$N$7:$N$679)</f>
        <v>0</v>
      </c>
      <c r="I79" s="59">
        <f>SUMIF('2.报价结算清单'!$F$7:$F$679,A79,'2.报价结算清单'!$P$7:$P$679)</f>
        <v>0</v>
      </c>
    </row>
    <row r="80" spans="1:9">
      <c r="A80" s="74" t="s">
        <v>123</v>
      </c>
      <c r="B80" s="72"/>
      <c r="C80" s="72" t="s">
        <v>1305</v>
      </c>
      <c r="D80" s="76" t="s">
        <v>862</v>
      </c>
      <c r="E80" s="72" t="s">
        <v>23</v>
      </c>
      <c r="F80" s="62">
        <f>VLOOKUP(A80,[1]基准价格!$A:$G,7,0)</f>
        <v>107.06</v>
      </c>
      <c r="G80" s="56">
        <f>SUMIF('2.报价结算清单'!$F$7:$F$679,$A80,'2.报价结算清单'!$L$7:$L$679)</f>
        <v>0</v>
      </c>
      <c r="H80" s="56">
        <f>SUMIF('2.报价结算清单'!$F$7:$F$679,$A80,'2.报价结算清单'!$N$7:$N$679)</f>
        <v>0</v>
      </c>
      <c r="I80" s="59">
        <f>SUMIF('2.报价结算清单'!$F$7:$F$679,A80,'2.报价结算清单'!$P$7:$P$679)</f>
        <v>0</v>
      </c>
    </row>
    <row r="81" spans="1:9">
      <c r="A81" s="74" t="s">
        <v>124</v>
      </c>
      <c r="B81" s="72"/>
      <c r="C81" s="72" t="s">
        <v>1305</v>
      </c>
      <c r="D81" s="76" t="s">
        <v>863</v>
      </c>
      <c r="E81" s="72" t="s">
        <v>23</v>
      </c>
      <c r="F81" s="62">
        <f>VLOOKUP(A81,[1]基准价格!$A:$G,7,0)</f>
        <v>169.6</v>
      </c>
      <c r="G81" s="56">
        <f>SUMIF('2.报价结算清单'!$F$7:$F$679,$A81,'2.报价结算清单'!$L$7:$L$679)</f>
        <v>0</v>
      </c>
      <c r="H81" s="56">
        <f>SUMIF('2.报价结算清单'!$F$7:$F$679,$A81,'2.报价结算清单'!$N$7:$N$679)</f>
        <v>0</v>
      </c>
      <c r="I81" s="59">
        <f>SUMIF('2.报价结算清单'!$F$7:$F$679,A81,'2.报价结算清单'!$P$7:$P$679)</f>
        <v>0</v>
      </c>
    </row>
    <row r="82" spans="1:9">
      <c r="A82" s="74" t="s">
        <v>125</v>
      </c>
      <c r="B82" s="72"/>
      <c r="C82" s="72" t="s">
        <v>1305</v>
      </c>
      <c r="D82" s="76" t="s">
        <v>864</v>
      </c>
      <c r="E82" s="72" t="s">
        <v>23</v>
      </c>
      <c r="F82" s="62">
        <f>VLOOKUP(A82,[1]基准价格!$A:$G,7,0)</f>
        <v>144.61000000000001</v>
      </c>
      <c r="G82" s="56">
        <f>SUMIF('2.报价结算清单'!$F$7:$F$679,$A82,'2.报价结算清单'!$L$7:$L$679)</f>
        <v>0</v>
      </c>
      <c r="H82" s="56">
        <f>SUMIF('2.报价结算清单'!$F$7:$F$679,$A82,'2.报价结算清单'!$N$7:$N$679)</f>
        <v>0</v>
      </c>
      <c r="I82" s="59">
        <f>SUMIF('2.报价结算清单'!$F$7:$F$679,A82,'2.报价结算清单'!$P$7:$P$679)</f>
        <v>0</v>
      </c>
    </row>
    <row r="83" spans="1:9">
      <c r="A83" s="74" t="s">
        <v>126</v>
      </c>
      <c r="B83" s="72"/>
      <c r="C83" s="72" t="s">
        <v>1305</v>
      </c>
      <c r="D83" s="76" t="s">
        <v>865</v>
      </c>
      <c r="E83" s="72" t="s">
        <v>23</v>
      </c>
      <c r="F83" s="62">
        <f>VLOOKUP(A83,[1]基准价格!$A:$G,7,0)</f>
        <v>196.57</v>
      </c>
      <c r="G83" s="56">
        <f>SUMIF('2.报价结算清单'!$F$7:$F$679,$A83,'2.报价结算清单'!$L$7:$L$679)</f>
        <v>0</v>
      </c>
      <c r="H83" s="56">
        <f>SUMIF('2.报价结算清单'!$F$7:$F$679,$A83,'2.报价结算清单'!$N$7:$N$679)</f>
        <v>0</v>
      </c>
      <c r="I83" s="59">
        <f>SUMIF('2.报价结算清单'!$F$7:$F$679,A83,'2.报价结算清单'!$P$7:$P$679)</f>
        <v>0</v>
      </c>
    </row>
    <row r="84" spans="1:9">
      <c r="A84" s="74" t="s">
        <v>127</v>
      </c>
      <c r="B84" s="72"/>
      <c r="C84" s="72" t="s">
        <v>1305</v>
      </c>
      <c r="D84" s="76" t="s">
        <v>866</v>
      </c>
      <c r="E84" s="72" t="s">
        <v>24</v>
      </c>
      <c r="F84" s="62">
        <f>VLOOKUP(A84,[1]基准价格!$A:$G,7,0)</f>
        <v>106</v>
      </c>
      <c r="G84" s="56">
        <f>SUMIF('2.报价结算清单'!$F$7:$F$679,$A84,'2.报价结算清单'!$L$7:$L$679)</f>
        <v>0</v>
      </c>
      <c r="H84" s="56">
        <f>SUMIF('2.报价结算清单'!$F$7:$F$679,$A84,'2.报价结算清单'!$N$7:$N$679)</f>
        <v>0</v>
      </c>
      <c r="I84" s="59">
        <f>SUMIF('2.报价结算清单'!$F$7:$F$679,A84,'2.报价结算清单'!$P$7:$P$679)</f>
        <v>0</v>
      </c>
    </row>
    <row r="85" spans="1:9">
      <c r="A85" s="74" t="s">
        <v>128</v>
      </c>
      <c r="B85" s="72"/>
      <c r="C85" s="72" t="s">
        <v>1305</v>
      </c>
      <c r="D85" s="76" t="s">
        <v>867</v>
      </c>
      <c r="E85" s="72" t="s">
        <v>24</v>
      </c>
      <c r="F85" s="62">
        <f>VLOOKUP(A85,[1]基准价格!$A:$G,7,0)</f>
        <v>122.58181818181816</v>
      </c>
      <c r="G85" s="56">
        <f>SUMIF('2.报价结算清单'!$F$7:$F$679,$A85,'2.报价结算清单'!$L$7:$L$679)</f>
        <v>0</v>
      </c>
      <c r="H85" s="56">
        <f>SUMIF('2.报价结算清单'!$F$7:$F$679,$A85,'2.报价结算清单'!$N$7:$N$679)</f>
        <v>0</v>
      </c>
      <c r="I85" s="59">
        <f>SUMIF('2.报价结算清单'!$F$7:$F$679,A85,'2.报价结算清单'!$P$7:$P$679)</f>
        <v>0</v>
      </c>
    </row>
    <row r="86" spans="1:9">
      <c r="A86" s="74" t="s">
        <v>129</v>
      </c>
      <c r="B86" s="72"/>
      <c r="C86" s="72" t="s">
        <v>1305</v>
      </c>
      <c r="D86" s="76" t="s">
        <v>868</v>
      </c>
      <c r="E86" s="72" t="s">
        <v>24</v>
      </c>
      <c r="F86" s="62">
        <f>VLOOKUP(A86,[1]基准价格!$A:$G,7,0)</f>
        <v>127.2</v>
      </c>
      <c r="G86" s="56">
        <f>SUMIF('2.报价结算清单'!$F$7:$F$679,$A86,'2.报价结算清单'!$L$7:$L$679)</f>
        <v>0</v>
      </c>
      <c r="H86" s="56">
        <f>SUMIF('2.报价结算清单'!$F$7:$F$679,$A86,'2.报价结算清单'!$N$7:$N$679)</f>
        <v>0</v>
      </c>
      <c r="I86" s="59">
        <f>SUMIF('2.报价结算清单'!$F$7:$F$679,A86,'2.报价结算清单'!$P$7:$P$679)</f>
        <v>0</v>
      </c>
    </row>
    <row r="87" spans="1:9">
      <c r="A87" s="74" t="s">
        <v>130</v>
      </c>
      <c r="B87" s="72"/>
      <c r="C87" s="72" t="s">
        <v>1305</v>
      </c>
      <c r="D87" s="76" t="s">
        <v>869</v>
      </c>
      <c r="E87" s="72" t="s">
        <v>24</v>
      </c>
      <c r="F87" s="62">
        <f>VLOOKUP(A87,[1]基准价格!$A:$G,7,0)</f>
        <v>148.4</v>
      </c>
      <c r="G87" s="56">
        <f>SUMIF('2.报价结算清单'!$F$7:$F$679,$A87,'2.报价结算清单'!$L$7:$L$679)</f>
        <v>0</v>
      </c>
      <c r="H87" s="56">
        <f>SUMIF('2.报价结算清单'!$F$7:$F$679,$A87,'2.报价结算清单'!$N$7:$N$679)</f>
        <v>0</v>
      </c>
      <c r="I87" s="59">
        <f>SUMIF('2.报价结算清单'!$F$7:$F$679,A87,'2.报价结算清单'!$P$7:$P$679)</f>
        <v>0</v>
      </c>
    </row>
    <row r="88" spans="1:9">
      <c r="A88" s="74" t="s">
        <v>131</v>
      </c>
      <c r="B88" s="72"/>
      <c r="C88" s="72" t="s">
        <v>1305</v>
      </c>
      <c r="D88" s="76" t="s">
        <v>870</v>
      </c>
      <c r="E88" s="72" t="s">
        <v>24</v>
      </c>
      <c r="F88" s="62">
        <f>VLOOKUP(A88,[1]基准价格!$A:$G,7,0)</f>
        <v>148.4</v>
      </c>
      <c r="G88" s="56">
        <f>SUMIF('2.报价结算清单'!$F$7:$F$679,$A88,'2.报价结算清单'!$L$7:$L$679)</f>
        <v>0</v>
      </c>
      <c r="H88" s="56">
        <f>SUMIF('2.报价结算清单'!$F$7:$F$679,$A88,'2.报价结算清单'!$N$7:$N$679)</f>
        <v>0</v>
      </c>
      <c r="I88" s="59">
        <f>SUMIF('2.报价结算清单'!$F$7:$F$679,A88,'2.报价结算清单'!$P$7:$P$679)</f>
        <v>0</v>
      </c>
    </row>
    <row r="89" spans="1:9">
      <c r="A89" s="74" t="s">
        <v>132</v>
      </c>
      <c r="B89" s="72"/>
      <c r="C89" s="72" t="s">
        <v>1305</v>
      </c>
      <c r="D89" s="76" t="s">
        <v>871</v>
      </c>
      <c r="E89" s="72" t="s">
        <v>23</v>
      </c>
      <c r="F89" s="62">
        <f>VLOOKUP(A89,[1]基准价格!$A:$G,7,0)</f>
        <v>69.819999999999993</v>
      </c>
      <c r="G89" s="56">
        <f>SUMIF('2.报价结算清单'!$F$7:$F$679,$A89,'2.报价结算清单'!$L$7:$L$679)</f>
        <v>0</v>
      </c>
      <c r="H89" s="56">
        <f>SUMIF('2.报价结算清单'!$F$7:$F$679,$A89,'2.报价结算清单'!$N$7:$N$679)</f>
        <v>0</v>
      </c>
      <c r="I89" s="59">
        <f>SUMIF('2.报价结算清单'!$F$7:$F$679,A89,'2.报价结算清单'!$P$7:$P$679)</f>
        <v>0</v>
      </c>
    </row>
    <row r="90" spans="1:9">
      <c r="A90" s="74" t="s">
        <v>133</v>
      </c>
      <c r="B90" s="72"/>
      <c r="C90" s="72" t="s">
        <v>1305</v>
      </c>
      <c r="D90" s="76" t="s">
        <v>872</v>
      </c>
      <c r="E90" s="72" t="s">
        <v>23</v>
      </c>
      <c r="F90" s="62">
        <f>VLOOKUP(A90,[1]基准价格!$A:$G,7,0)</f>
        <v>106</v>
      </c>
      <c r="G90" s="56">
        <f>SUMIF('2.报价结算清单'!$F$7:$F$679,$A90,'2.报价结算清单'!$L$7:$L$679)</f>
        <v>0</v>
      </c>
      <c r="H90" s="56">
        <f>SUMIF('2.报价结算清单'!$F$7:$F$679,$A90,'2.报价结算清单'!$N$7:$N$679)</f>
        <v>0</v>
      </c>
      <c r="I90" s="59">
        <f>SUMIF('2.报价结算清单'!$F$7:$F$679,A90,'2.报价结算清单'!$P$7:$P$679)</f>
        <v>0</v>
      </c>
    </row>
    <row r="91" spans="1:9">
      <c r="A91" s="74" t="s">
        <v>134</v>
      </c>
      <c r="B91" s="72"/>
      <c r="C91" s="72" t="s">
        <v>1305</v>
      </c>
      <c r="D91" s="76" t="s">
        <v>873</v>
      </c>
      <c r="E91" s="72" t="s">
        <v>23</v>
      </c>
      <c r="F91" s="62">
        <f>VLOOKUP(A91,[1]基准价格!$A:$G,7,0)</f>
        <v>137.80000000000001</v>
      </c>
      <c r="G91" s="56">
        <f>SUMIF('2.报价结算清单'!$F$7:$F$679,$A91,'2.报价结算清单'!$L$7:$L$679)</f>
        <v>0</v>
      </c>
      <c r="H91" s="56">
        <f>SUMIF('2.报价结算清单'!$F$7:$F$679,$A91,'2.报价结算清单'!$N$7:$N$679)</f>
        <v>0</v>
      </c>
      <c r="I91" s="59">
        <f>SUMIF('2.报价结算清单'!$F$7:$F$679,A91,'2.报价结算清单'!$P$7:$P$679)</f>
        <v>0</v>
      </c>
    </row>
    <row r="92" spans="1:9">
      <c r="A92" s="74" t="s">
        <v>135</v>
      </c>
      <c r="B92" s="72"/>
      <c r="C92" s="72" t="s">
        <v>1305</v>
      </c>
      <c r="D92" s="76" t="s">
        <v>874</v>
      </c>
      <c r="E92" s="72" t="s">
        <v>23</v>
      </c>
      <c r="F92" s="62">
        <f>VLOOKUP(A92,[1]基准价格!$A:$G,7,0)</f>
        <v>63.6</v>
      </c>
      <c r="G92" s="56">
        <f>SUMIF('2.报价结算清单'!$F$7:$F$679,$A92,'2.报价结算清单'!$L$7:$L$679)</f>
        <v>0</v>
      </c>
      <c r="H92" s="56">
        <f>SUMIF('2.报价结算清单'!$F$7:$F$679,$A92,'2.报价结算清单'!$N$7:$N$679)</f>
        <v>0</v>
      </c>
      <c r="I92" s="59">
        <f>SUMIF('2.报价结算清单'!$F$7:$F$679,A92,'2.报价结算清单'!$P$7:$P$679)</f>
        <v>0</v>
      </c>
    </row>
    <row r="93" spans="1:9">
      <c r="A93" s="74" t="s">
        <v>136</v>
      </c>
      <c r="B93" s="72"/>
      <c r="C93" s="72" t="s">
        <v>1305</v>
      </c>
      <c r="D93" s="76" t="s">
        <v>875</v>
      </c>
      <c r="E93" s="72" t="s">
        <v>23</v>
      </c>
      <c r="F93" s="62">
        <f>VLOOKUP(A93,[1]基准价格!$A:$G,7,0)</f>
        <v>63.6</v>
      </c>
      <c r="G93" s="56">
        <f>SUMIF('2.报价结算清单'!$F$7:$F$679,$A93,'2.报价结算清单'!$L$7:$L$679)</f>
        <v>0</v>
      </c>
      <c r="H93" s="56">
        <f>SUMIF('2.报价结算清单'!$F$7:$F$679,$A93,'2.报价结算清单'!$N$7:$N$679)</f>
        <v>0</v>
      </c>
      <c r="I93" s="59">
        <f>SUMIF('2.报价结算清单'!$F$7:$F$679,A93,'2.报价结算清单'!$P$7:$P$679)</f>
        <v>0</v>
      </c>
    </row>
    <row r="94" spans="1:9">
      <c r="A94" s="74" t="s">
        <v>137</v>
      </c>
      <c r="B94" s="72"/>
      <c r="C94" s="72" t="s">
        <v>1305</v>
      </c>
      <c r="D94" s="76" t="s">
        <v>876</v>
      </c>
      <c r="E94" s="72" t="s">
        <v>23</v>
      </c>
      <c r="F94" s="62">
        <f>VLOOKUP(A94,[1]基准价格!$A:$G,7,0)</f>
        <v>84.8</v>
      </c>
      <c r="G94" s="56">
        <f>SUMIF('2.报价结算清单'!$F$7:$F$679,$A94,'2.报价结算清单'!$L$7:$L$679)</f>
        <v>0</v>
      </c>
      <c r="H94" s="56">
        <f>SUMIF('2.报价结算清单'!$F$7:$F$679,$A94,'2.报价结算清单'!$N$7:$N$679)</f>
        <v>0</v>
      </c>
      <c r="I94" s="59">
        <f>SUMIF('2.报价结算清单'!$F$7:$F$679,A94,'2.报价结算清单'!$P$7:$P$679)</f>
        <v>0</v>
      </c>
    </row>
    <row r="95" spans="1:9">
      <c r="A95" s="74" t="s">
        <v>138</v>
      </c>
      <c r="B95" s="72"/>
      <c r="C95" s="72" t="s">
        <v>1305</v>
      </c>
      <c r="D95" s="76" t="s">
        <v>877</v>
      </c>
      <c r="E95" s="72" t="s">
        <v>23</v>
      </c>
      <c r="F95" s="62">
        <f>VLOOKUP(A95,[1]基准价格!$A:$G,7,0)</f>
        <v>212</v>
      </c>
      <c r="G95" s="56">
        <f>SUMIF('2.报价结算清单'!$F$7:$F$679,$A95,'2.报价结算清单'!$L$7:$L$679)</f>
        <v>0</v>
      </c>
      <c r="H95" s="56">
        <f>SUMIF('2.报价结算清单'!$F$7:$F$679,$A95,'2.报价结算清单'!$N$7:$N$679)</f>
        <v>0</v>
      </c>
      <c r="I95" s="59">
        <f>SUMIF('2.报价结算清单'!$F$7:$F$679,A95,'2.报价结算清单'!$P$7:$P$679)</f>
        <v>0</v>
      </c>
    </row>
    <row r="96" spans="1:9" ht="28.5">
      <c r="A96" s="74" t="s">
        <v>139</v>
      </c>
      <c r="B96" s="72"/>
      <c r="C96" s="72" t="s">
        <v>1305</v>
      </c>
      <c r="D96" s="76" t="s">
        <v>878</v>
      </c>
      <c r="E96" s="72" t="s">
        <v>23</v>
      </c>
      <c r="F96" s="62">
        <f>VLOOKUP(A96,[1]基准价格!$A:$G,7,0)</f>
        <v>79.5</v>
      </c>
      <c r="G96" s="56">
        <f>SUMIF('2.报价结算清单'!$F$7:$F$679,$A96,'2.报价结算清单'!$L$7:$L$679)</f>
        <v>0</v>
      </c>
      <c r="H96" s="56">
        <f>SUMIF('2.报价结算清单'!$F$7:$F$679,$A96,'2.报价结算清单'!$N$7:$N$679)</f>
        <v>0</v>
      </c>
      <c r="I96" s="59">
        <f>SUMIF('2.报价结算清单'!$F$7:$F$679,A96,'2.报价结算清单'!$P$7:$P$679)</f>
        <v>0</v>
      </c>
    </row>
    <row r="97" spans="1:9">
      <c r="A97" s="74" t="s">
        <v>140</v>
      </c>
      <c r="B97" s="72"/>
      <c r="C97" s="72" t="s">
        <v>1305</v>
      </c>
      <c r="D97" s="76" t="s">
        <v>879</v>
      </c>
      <c r="E97" s="72" t="s">
        <v>23</v>
      </c>
      <c r="F97" s="62">
        <f>VLOOKUP(A97,[1]基准价格!$A:$G,7,0)</f>
        <v>120</v>
      </c>
      <c r="G97" s="56">
        <f>SUMIF('2.报价结算清单'!$F$7:$F$679,$A97,'2.报价结算清单'!$L$7:$L$679)</f>
        <v>0</v>
      </c>
      <c r="H97" s="56">
        <f>SUMIF('2.报价结算清单'!$F$7:$F$679,$A97,'2.报价结算清单'!$N$7:$N$679)</f>
        <v>0</v>
      </c>
      <c r="I97" s="59">
        <f>SUMIF('2.报价结算清单'!$F$7:$F$679,A97,'2.报价结算清单'!$P$7:$P$679)</f>
        <v>0</v>
      </c>
    </row>
    <row r="98" spans="1:9">
      <c r="A98" s="74" t="s">
        <v>141</v>
      </c>
      <c r="B98" s="72"/>
      <c r="C98" s="72" t="s">
        <v>1305</v>
      </c>
      <c r="D98" s="76" t="s">
        <v>880</v>
      </c>
      <c r="E98" s="72" t="s">
        <v>24</v>
      </c>
      <c r="F98" s="62">
        <f>VLOOKUP(A98,[1]基准价格!$A:$G,7,0)</f>
        <v>50</v>
      </c>
      <c r="G98" s="56">
        <f>SUMIF('2.报价结算清单'!$F$7:$F$679,$A98,'2.报价结算清单'!$L$7:$L$679)</f>
        <v>0</v>
      </c>
      <c r="H98" s="56">
        <f>SUMIF('2.报价结算清单'!$F$7:$F$679,$A98,'2.报价结算清单'!$N$7:$N$679)</f>
        <v>0</v>
      </c>
      <c r="I98" s="59">
        <f>SUMIF('2.报价结算清单'!$F$7:$F$679,A98,'2.报价结算清单'!$P$7:$P$679)</f>
        <v>0</v>
      </c>
    </row>
    <row r="99" spans="1:9" ht="28.5">
      <c r="A99" s="74" t="s">
        <v>142</v>
      </c>
      <c r="B99" s="72"/>
      <c r="C99" s="72" t="s">
        <v>1305</v>
      </c>
      <c r="D99" s="76" t="s">
        <v>881</v>
      </c>
      <c r="E99" s="72" t="s">
        <v>24</v>
      </c>
      <c r="F99" s="62">
        <f>VLOOKUP(A99,[1]基准价格!$A:$G,7,0)</f>
        <v>106</v>
      </c>
      <c r="G99" s="56">
        <f>SUMIF('2.报价结算清单'!$F$7:$F$679,$A99,'2.报价结算清单'!$L$7:$L$679)</f>
        <v>0</v>
      </c>
      <c r="H99" s="56">
        <f>SUMIF('2.报价结算清单'!$F$7:$F$679,$A99,'2.报价结算清单'!$N$7:$N$679)</f>
        <v>0</v>
      </c>
      <c r="I99" s="59">
        <f>SUMIF('2.报价结算清单'!$F$7:$F$679,A99,'2.报价结算清单'!$P$7:$P$679)</f>
        <v>0</v>
      </c>
    </row>
    <row r="100" spans="1:9" ht="28.5">
      <c r="A100" s="74" t="s">
        <v>143</v>
      </c>
      <c r="B100" s="72"/>
      <c r="C100" s="72" t="s">
        <v>1305</v>
      </c>
      <c r="D100" s="76" t="s">
        <v>882</v>
      </c>
      <c r="E100" s="72" t="s">
        <v>24</v>
      </c>
      <c r="F100" s="62">
        <f>VLOOKUP(A100,[1]基准价格!$A:$G,7,0)</f>
        <v>149</v>
      </c>
      <c r="G100" s="56">
        <f>SUMIF('2.报价结算清单'!$F$7:$F$679,$A100,'2.报价结算清单'!$L$7:$L$679)</f>
        <v>0</v>
      </c>
      <c r="H100" s="56">
        <f>SUMIF('2.报价结算清单'!$F$7:$F$679,$A100,'2.报价结算清单'!$N$7:$N$679)</f>
        <v>0</v>
      </c>
      <c r="I100" s="59">
        <f>SUMIF('2.报价结算清单'!$F$7:$F$679,A100,'2.报价结算清单'!$P$7:$P$679)</f>
        <v>0</v>
      </c>
    </row>
    <row r="101" spans="1:9" ht="28.5">
      <c r="A101" s="74" t="s">
        <v>144</v>
      </c>
      <c r="B101" s="72"/>
      <c r="C101" s="72" t="s">
        <v>1305</v>
      </c>
      <c r="D101" s="76" t="s">
        <v>883</v>
      </c>
      <c r="E101" s="72" t="s">
        <v>24</v>
      </c>
      <c r="F101" s="62">
        <f>VLOOKUP(A101,[1]基准价格!$A:$G,7,0)</f>
        <v>159</v>
      </c>
      <c r="G101" s="56">
        <f>SUMIF('2.报价结算清单'!$F$7:$F$679,$A101,'2.报价结算清单'!$L$7:$L$679)</f>
        <v>0</v>
      </c>
      <c r="H101" s="56">
        <f>SUMIF('2.报价结算清单'!$F$7:$F$679,$A101,'2.报价结算清单'!$N$7:$N$679)</f>
        <v>0</v>
      </c>
      <c r="I101" s="59">
        <f>SUMIF('2.报价结算清单'!$F$7:$F$679,A101,'2.报价结算清单'!$P$7:$P$679)</f>
        <v>0</v>
      </c>
    </row>
    <row r="102" spans="1:9">
      <c r="A102" s="74" t="s">
        <v>145</v>
      </c>
      <c r="B102" s="72"/>
      <c r="C102" s="72" t="s">
        <v>1305</v>
      </c>
      <c r="D102" s="76" t="s">
        <v>884</v>
      </c>
      <c r="E102" s="72" t="s">
        <v>24</v>
      </c>
      <c r="F102" s="62">
        <f>VLOOKUP(A102,[1]基准价格!$A:$G,7,0)</f>
        <v>31</v>
      </c>
      <c r="G102" s="56">
        <f>SUMIF('2.报价结算清单'!$F$7:$F$679,$A102,'2.报价结算清单'!$L$7:$L$679)</f>
        <v>0</v>
      </c>
      <c r="H102" s="56">
        <f>SUMIF('2.报价结算清单'!$F$7:$F$679,$A102,'2.报价结算清单'!$N$7:$N$679)</f>
        <v>0</v>
      </c>
      <c r="I102" s="59">
        <f>SUMIF('2.报价结算清单'!$F$7:$F$679,A102,'2.报价结算清单'!$P$7:$P$679)</f>
        <v>0</v>
      </c>
    </row>
    <row r="103" spans="1:9">
      <c r="A103" s="74" t="s">
        <v>146</v>
      </c>
      <c r="B103" s="72"/>
      <c r="C103" s="72" t="s">
        <v>1305</v>
      </c>
      <c r="D103" s="76" t="s">
        <v>885</v>
      </c>
      <c r="E103" s="72" t="s">
        <v>24</v>
      </c>
      <c r="F103" s="62">
        <f>VLOOKUP(A103,[1]基准价格!$A:$G,7,0)</f>
        <v>31</v>
      </c>
      <c r="G103" s="56">
        <f>SUMIF('2.报价结算清单'!$F$7:$F$679,$A103,'2.报价结算清单'!$L$7:$L$679)</f>
        <v>0</v>
      </c>
      <c r="H103" s="56">
        <f>SUMIF('2.报价结算清单'!$F$7:$F$679,$A103,'2.报价结算清单'!$N$7:$N$679)</f>
        <v>0</v>
      </c>
      <c r="I103" s="59">
        <f>SUMIF('2.报价结算清单'!$F$7:$F$679,A103,'2.报价结算清单'!$P$7:$P$679)</f>
        <v>0</v>
      </c>
    </row>
    <row r="104" spans="1:9" ht="28.5">
      <c r="A104" s="74" t="s">
        <v>147</v>
      </c>
      <c r="B104" s="72"/>
      <c r="C104" s="72" t="s">
        <v>1305</v>
      </c>
      <c r="D104" s="76" t="s">
        <v>886</v>
      </c>
      <c r="E104" s="72" t="s">
        <v>31</v>
      </c>
      <c r="F104" s="62">
        <f>VLOOKUP(A104,[1]基准价格!$A:$G,7,0)</f>
        <v>2120</v>
      </c>
      <c r="G104" s="56">
        <f>SUMIF('2.报价结算清单'!$F$7:$F$679,$A104,'2.报价结算清单'!$L$7:$L$679)</f>
        <v>0</v>
      </c>
      <c r="H104" s="56">
        <f>SUMIF('2.报价结算清单'!$F$7:$F$679,$A104,'2.报价结算清单'!$N$7:$N$679)</f>
        <v>0</v>
      </c>
      <c r="I104" s="59">
        <f>SUMIF('2.报价结算清单'!$F$7:$F$679,A104,'2.报价结算清单'!$P$7:$P$679)</f>
        <v>0</v>
      </c>
    </row>
    <row r="105" spans="1:9">
      <c r="A105" s="74" t="s">
        <v>148</v>
      </c>
      <c r="B105" s="72"/>
      <c r="C105" s="72" t="s">
        <v>1305</v>
      </c>
      <c r="D105" s="76" t="s">
        <v>887</v>
      </c>
      <c r="E105" s="72" t="s">
        <v>31</v>
      </c>
      <c r="F105" s="62">
        <f>VLOOKUP(A105,[1]基准价格!$A:$G,7,0)</f>
        <v>3710</v>
      </c>
      <c r="G105" s="56">
        <f>SUMIF('2.报价结算清单'!$F$7:$F$679,$A105,'2.报价结算清单'!$L$7:$L$679)</f>
        <v>0</v>
      </c>
      <c r="H105" s="56">
        <f>SUMIF('2.报价结算清单'!$F$7:$F$679,$A105,'2.报价结算清单'!$N$7:$N$679)</f>
        <v>0</v>
      </c>
      <c r="I105" s="59">
        <f>SUMIF('2.报价结算清单'!$F$7:$F$679,A105,'2.报价结算清单'!$P$7:$P$679)</f>
        <v>0</v>
      </c>
    </row>
    <row r="106" spans="1:9">
      <c r="A106" s="74" t="s">
        <v>149</v>
      </c>
      <c r="B106" s="72"/>
      <c r="C106" s="72" t="s">
        <v>1305</v>
      </c>
      <c r="D106" s="76" t="s">
        <v>888</v>
      </c>
      <c r="E106" s="72" t="s">
        <v>1213</v>
      </c>
      <c r="F106" s="62">
        <f>VLOOKUP(A106,[1]基准价格!$A:$G,7,0)</f>
        <v>137.80000000000001</v>
      </c>
      <c r="G106" s="56">
        <f>SUMIF('2.报价结算清单'!$F$7:$F$679,$A106,'2.报价结算清单'!$L$7:$L$679)</f>
        <v>0</v>
      </c>
      <c r="H106" s="56">
        <f>SUMIF('2.报价结算清单'!$F$7:$F$679,$A106,'2.报价结算清单'!$N$7:$N$679)</f>
        <v>0</v>
      </c>
      <c r="I106" s="59">
        <f>SUMIF('2.报价结算清单'!$F$7:$F$679,A106,'2.报价结算清单'!$P$7:$P$679)</f>
        <v>0</v>
      </c>
    </row>
    <row r="107" spans="1:9">
      <c r="A107" s="74" t="s">
        <v>150</v>
      </c>
      <c r="B107" s="72"/>
      <c r="C107" s="72" t="s">
        <v>1305</v>
      </c>
      <c r="D107" s="76" t="s">
        <v>889</v>
      </c>
      <c r="E107" s="72" t="s">
        <v>25</v>
      </c>
      <c r="F107" s="62">
        <f>VLOOKUP(A107,[1]基准价格!$A:$G,7,0)</f>
        <v>148.4</v>
      </c>
      <c r="G107" s="56">
        <f>SUMIF('2.报价结算清单'!$F$7:$F$679,$A107,'2.报价结算清单'!$L$7:$L$679)</f>
        <v>0</v>
      </c>
      <c r="H107" s="56">
        <f>SUMIF('2.报价结算清单'!$F$7:$F$679,$A107,'2.报价结算清单'!$N$7:$N$679)</f>
        <v>0</v>
      </c>
      <c r="I107" s="59">
        <f>SUMIF('2.报价结算清单'!$F$7:$F$679,A107,'2.报价结算清单'!$P$7:$P$679)</f>
        <v>0</v>
      </c>
    </row>
    <row r="108" spans="1:9">
      <c r="A108" s="74" t="s">
        <v>151</v>
      </c>
      <c r="B108" s="72"/>
      <c r="C108" s="72" t="s">
        <v>1305</v>
      </c>
      <c r="D108" s="76" t="s">
        <v>890</v>
      </c>
      <c r="E108" s="72" t="s">
        <v>25</v>
      </c>
      <c r="F108" s="62">
        <f>VLOOKUP(A108,[1]基准价格!$A:$G,7,0)</f>
        <v>31.8</v>
      </c>
      <c r="G108" s="56">
        <f>SUMIF('2.报价结算清单'!$F$7:$F$679,$A108,'2.报价结算清单'!$L$7:$L$679)</f>
        <v>0</v>
      </c>
      <c r="H108" s="56">
        <f>SUMIF('2.报价结算清单'!$F$7:$F$679,$A108,'2.报价结算清单'!$N$7:$N$679)</f>
        <v>0</v>
      </c>
      <c r="I108" s="59">
        <f>SUMIF('2.报价结算清单'!$F$7:$F$679,A108,'2.报价结算清单'!$P$7:$P$679)</f>
        <v>0</v>
      </c>
    </row>
    <row r="109" spans="1:9">
      <c r="A109" s="74" t="s">
        <v>152</v>
      </c>
      <c r="B109" s="72"/>
      <c r="C109" s="72" t="s">
        <v>1305</v>
      </c>
      <c r="D109" s="76" t="s">
        <v>891</v>
      </c>
      <c r="E109" s="72" t="s">
        <v>23</v>
      </c>
      <c r="F109" s="62">
        <f>VLOOKUP(A109,[1]基准价格!$A:$G,7,0)</f>
        <v>90.1</v>
      </c>
      <c r="G109" s="56">
        <f>SUMIF('2.报价结算清单'!$F$7:$F$679,$A109,'2.报价结算清单'!$L$7:$L$679)</f>
        <v>0</v>
      </c>
      <c r="H109" s="56">
        <f>SUMIF('2.报价结算清单'!$F$7:$F$679,$A109,'2.报价结算清单'!$N$7:$N$679)</f>
        <v>0</v>
      </c>
      <c r="I109" s="59">
        <f>SUMIF('2.报价结算清单'!$F$7:$F$679,A109,'2.报价结算清单'!$P$7:$P$679)</f>
        <v>0</v>
      </c>
    </row>
    <row r="110" spans="1:9">
      <c r="A110" s="74" t="s">
        <v>153</v>
      </c>
      <c r="B110" s="72"/>
      <c r="C110" s="72" t="s">
        <v>1305</v>
      </c>
      <c r="D110" s="76" t="s">
        <v>892</v>
      </c>
      <c r="E110" s="72" t="s">
        <v>23</v>
      </c>
      <c r="F110" s="62">
        <f>VLOOKUP(A110,[1]基准价格!$A:$G,7,0)</f>
        <v>106</v>
      </c>
      <c r="G110" s="56">
        <f>SUMIF('2.报价结算清单'!$F$7:$F$679,$A110,'2.报价结算清单'!$L$7:$L$679)</f>
        <v>0</v>
      </c>
      <c r="H110" s="56">
        <f>SUMIF('2.报价结算清单'!$F$7:$F$679,$A110,'2.报价结算清单'!$N$7:$N$679)</f>
        <v>0</v>
      </c>
      <c r="I110" s="59">
        <f>SUMIF('2.报价结算清单'!$F$7:$F$679,A110,'2.报价结算清单'!$P$7:$P$679)</f>
        <v>0</v>
      </c>
    </row>
    <row r="111" spans="1:9">
      <c r="A111" s="74" t="s">
        <v>154</v>
      </c>
      <c r="B111" s="72"/>
      <c r="C111" s="72" t="s">
        <v>1305</v>
      </c>
      <c r="D111" s="76" t="s">
        <v>893</v>
      </c>
      <c r="E111" s="72" t="s">
        <v>23</v>
      </c>
      <c r="F111" s="62">
        <f>VLOOKUP(A111,[1]基准价格!$A:$G,7,0)</f>
        <v>190.8</v>
      </c>
      <c r="G111" s="56">
        <f>SUMIF('2.报价结算清单'!$F$7:$F$679,$A111,'2.报价结算清单'!$L$7:$L$679)</f>
        <v>0</v>
      </c>
      <c r="H111" s="56">
        <f>SUMIF('2.报价结算清单'!$F$7:$F$679,$A111,'2.报价结算清单'!$N$7:$N$679)</f>
        <v>0</v>
      </c>
      <c r="I111" s="59">
        <f>SUMIF('2.报价结算清单'!$F$7:$F$679,A111,'2.报价结算清单'!$P$7:$P$679)</f>
        <v>0</v>
      </c>
    </row>
    <row r="112" spans="1:9">
      <c r="A112" s="74" t="s">
        <v>155</v>
      </c>
      <c r="B112" s="72"/>
      <c r="C112" s="72" t="s">
        <v>1305</v>
      </c>
      <c r="D112" s="76" t="s">
        <v>894</v>
      </c>
      <c r="E112" s="72" t="s">
        <v>23</v>
      </c>
      <c r="F112" s="62">
        <f>VLOOKUP(A112,[1]基准价格!$A:$G,7,0)</f>
        <v>50.88</v>
      </c>
      <c r="G112" s="56">
        <f>SUMIF('2.报价结算清单'!$F$7:$F$679,$A112,'2.报价结算清单'!$L$7:$L$679)</f>
        <v>0.24</v>
      </c>
      <c r="H112" s="56">
        <f>SUMIF('2.报价结算清单'!$F$7:$F$679,$A112,'2.报价结算清单'!$N$7:$N$679)</f>
        <v>15</v>
      </c>
      <c r="I112" s="59">
        <f>SUMIF('2.报价结算清单'!$F$7:$F$679,A112,'2.报价结算清单'!$P$7:$P$679)</f>
        <v>183.16799999999998</v>
      </c>
    </row>
    <row r="113" spans="1:9">
      <c r="A113" s="74" t="s">
        <v>156</v>
      </c>
      <c r="B113" s="72"/>
      <c r="C113" s="72" t="s">
        <v>1305</v>
      </c>
      <c r="D113" s="76" t="s">
        <v>895</v>
      </c>
      <c r="E113" s="72" t="s">
        <v>23</v>
      </c>
      <c r="F113" s="62">
        <f>VLOOKUP(A113,[1]基准价格!$A:$G,7,0)</f>
        <v>50.88</v>
      </c>
      <c r="G113" s="56">
        <f>SUMIF('2.报价结算清单'!$F$7:$F$679,$A113,'2.报价结算清单'!$L$7:$L$679)</f>
        <v>0</v>
      </c>
      <c r="H113" s="56">
        <f>SUMIF('2.报价结算清单'!$F$7:$F$679,$A113,'2.报价结算清单'!$N$7:$N$679)</f>
        <v>0</v>
      </c>
      <c r="I113" s="59">
        <f>SUMIF('2.报价结算清单'!$F$7:$F$679,A113,'2.报价结算清单'!$P$7:$P$679)</f>
        <v>0</v>
      </c>
    </row>
    <row r="114" spans="1:9">
      <c r="A114" s="74" t="s">
        <v>157</v>
      </c>
      <c r="B114" s="72"/>
      <c r="C114" s="72" t="s">
        <v>1305</v>
      </c>
      <c r="D114" s="76" t="s">
        <v>896</v>
      </c>
      <c r="E114" s="72" t="s">
        <v>23</v>
      </c>
      <c r="F114" s="62">
        <f>VLOOKUP(A114,[1]基准价格!$A:$G,7,0)</f>
        <v>90.1</v>
      </c>
      <c r="G114" s="56">
        <f>SUMIF('2.报价结算清单'!$F$7:$F$679,$A114,'2.报价结算清单'!$L$7:$L$679)</f>
        <v>0</v>
      </c>
      <c r="H114" s="56">
        <f>SUMIF('2.报价结算清单'!$F$7:$F$679,$A114,'2.报价结算清单'!$N$7:$N$679)</f>
        <v>0</v>
      </c>
      <c r="I114" s="59">
        <f>SUMIF('2.报价结算清单'!$F$7:$F$679,A114,'2.报价结算清单'!$P$7:$P$679)</f>
        <v>0</v>
      </c>
    </row>
    <row r="115" spans="1:9">
      <c r="A115" s="74" t="s">
        <v>158</v>
      </c>
      <c r="B115" s="72"/>
      <c r="C115" s="72" t="s">
        <v>1305</v>
      </c>
      <c r="D115" s="76" t="s">
        <v>897</v>
      </c>
      <c r="E115" s="72" t="s">
        <v>23</v>
      </c>
      <c r="F115" s="62">
        <f>VLOOKUP(A115,[1]基准价格!$A:$G,7,0)</f>
        <v>95.4</v>
      </c>
      <c r="G115" s="56">
        <f>SUMIF('2.报价结算清单'!$F$7:$F$679,$A115,'2.报价结算清单'!$L$7:$L$679)</f>
        <v>0</v>
      </c>
      <c r="H115" s="56">
        <f>SUMIF('2.报价结算清单'!$F$7:$F$679,$A115,'2.报价结算清单'!$N$7:$N$679)</f>
        <v>0</v>
      </c>
      <c r="I115" s="59">
        <f>SUMIF('2.报价结算清单'!$F$7:$F$679,A115,'2.报价结算清单'!$P$7:$P$679)</f>
        <v>0</v>
      </c>
    </row>
    <row r="116" spans="1:9">
      <c r="A116" s="74" t="s">
        <v>159</v>
      </c>
      <c r="B116" s="72"/>
      <c r="C116" s="72" t="s">
        <v>1305</v>
      </c>
      <c r="D116" s="76" t="s">
        <v>898</v>
      </c>
      <c r="E116" s="72" t="s">
        <v>23</v>
      </c>
      <c r="F116" s="62">
        <f>VLOOKUP(A116,[1]基准价格!$A:$G,7,0)</f>
        <v>127.2</v>
      </c>
      <c r="G116" s="56">
        <f>SUMIF('2.报价结算清单'!$F$7:$F$679,$A116,'2.报价结算清单'!$L$7:$L$679)</f>
        <v>0</v>
      </c>
      <c r="H116" s="56">
        <f>SUMIF('2.报价结算清单'!$F$7:$F$679,$A116,'2.报价结算清单'!$N$7:$N$679)</f>
        <v>0</v>
      </c>
      <c r="I116" s="59">
        <f>SUMIF('2.报价结算清单'!$F$7:$F$679,A116,'2.报价结算清单'!$P$7:$P$679)</f>
        <v>0</v>
      </c>
    </row>
    <row r="117" spans="1:9">
      <c r="A117" s="74" t="s">
        <v>160</v>
      </c>
      <c r="B117" s="72"/>
      <c r="C117" s="72" t="s">
        <v>1305</v>
      </c>
      <c r="D117" s="76" t="s">
        <v>899</v>
      </c>
      <c r="E117" s="72" t="s">
        <v>23</v>
      </c>
      <c r="F117" s="62">
        <f>VLOOKUP(A117,[1]基准价格!$A:$G,7,0)</f>
        <v>222.6</v>
      </c>
      <c r="G117" s="56">
        <f>SUMIF('2.报价结算清单'!$F$7:$F$679,$A117,'2.报价结算清单'!$L$7:$L$679)</f>
        <v>0</v>
      </c>
      <c r="H117" s="56">
        <f>SUMIF('2.报价结算清单'!$F$7:$F$679,$A117,'2.报价结算清单'!$N$7:$N$679)</f>
        <v>0</v>
      </c>
      <c r="I117" s="59">
        <f>SUMIF('2.报价结算清单'!$F$7:$F$679,A117,'2.报价结算清单'!$P$7:$P$679)</f>
        <v>0</v>
      </c>
    </row>
    <row r="118" spans="1:9">
      <c r="A118" s="74" t="s">
        <v>161</v>
      </c>
      <c r="B118" s="72"/>
      <c r="C118" s="72" t="s">
        <v>1305</v>
      </c>
      <c r="D118" s="76" t="s">
        <v>900</v>
      </c>
      <c r="E118" s="72" t="s">
        <v>23</v>
      </c>
      <c r="F118" s="62">
        <f>VLOOKUP(A118,[1]基准价格!$A:$G,7,0)</f>
        <v>68.900000000000006</v>
      </c>
      <c r="G118" s="56">
        <f>SUMIF('2.报价结算清单'!$F$7:$F$679,$A118,'2.报价结算清单'!$L$7:$L$679)</f>
        <v>0</v>
      </c>
      <c r="H118" s="56">
        <f>SUMIF('2.报价结算清单'!$F$7:$F$679,$A118,'2.报价结算清单'!$N$7:$N$679)</f>
        <v>0</v>
      </c>
      <c r="I118" s="59">
        <f>SUMIF('2.报价结算清单'!$F$7:$F$679,A118,'2.报价结算清单'!$P$7:$P$679)</f>
        <v>0</v>
      </c>
    </row>
    <row r="119" spans="1:9">
      <c r="A119" s="74" t="s">
        <v>162</v>
      </c>
      <c r="B119" s="72"/>
      <c r="C119" s="72" t="s">
        <v>1305</v>
      </c>
      <c r="D119" s="76" t="s">
        <v>901</v>
      </c>
      <c r="E119" s="72" t="s">
        <v>25</v>
      </c>
      <c r="F119" s="62">
        <f>VLOOKUP(A119,[1]基准价格!$A:$G,7,0)</f>
        <v>90.1</v>
      </c>
      <c r="G119" s="56">
        <f>SUMIF('2.报价结算清单'!$F$7:$F$679,$A119,'2.报价结算清单'!$L$7:$L$679)</f>
        <v>0</v>
      </c>
      <c r="H119" s="56">
        <f>SUMIF('2.报价结算清单'!$F$7:$F$679,$A119,'2.报价结算清单'!$N$7:$N$679)</f>
        <v>0</v>
      </c>
      <c r="I119" s="59">
        <f>SUMIF('2.报价结算清单'!$F$7:$F$679,A119,'2.报价结算清单'!$P$7:$P$679)</f>
        <v>0</v>
      </c>
    </row>
    <row r="120" spans="1:9">
      <c r="A120" s="74" t="s">
        <v>163</v>
      </c>
      <c r="B120" s="72"/>
      <c r="C120" s="72" t="s">
        <v>1305</v>
      </c>
      <c r="D120" s="76" t="s">
        <v>902</v>
      </c>
      <c r="E120" s="72" t="s">
        <v>25</v>
      </c>
      <c r="F120" s="62">
        <f>VLOOKUP(A120,[1]基准价格!$A:$G,7,0)</f>
        <v>116.6</v>
      </c>
      <c r="G120" s="56">
        <f>SUMIF('2.报价结算清单'!$F$7:$F$679,$A120,'2.报价结算清单'!$L$7:$L$679)</f>
        <v>5</v>
      </c>
      <c r="H120" s="56">
        <f>SUMIF('2.报价结算清单'!$F$7:$F$679,$A120,'2.报价结算清单'!$N$7:$N$679)</f>
        <v>2</v>
      </c>
      <c r="I120" s="59">
        <f>SUMIF('2.报价结算清单'!$F$7:$F$679,A120,'2.报价结算清单'!$P$7:$P$679)</f>
        <v>1166</v>
      </c>
    </row>
    <row r="121" spans="1:9">
      <c r="A121" s="74" t="s">
        <v>164</v>
      </c>
      <c r="B121" s="72"/>
      <c r="C121" s="72" t="s">
        <v>1305</v>
      </c>
      <c r="D121" s="76" t="s">
        <v>903</v>
      </c>
      <c r="E121" s="72" t="s">
        <v>25</v>
      </c>
      <c r="F121" s="62">
        <f>VLOOKUP(A121,[1]基准价格!$A:$G,7,0)</f>
        <v>196.1</v>
      </c>
      <c r="G121" s="56">
        <f>SUMIF('2.报价结算清单'!$F$7:$F$679,$A121,'2.报价结算清单'!$L$7:$L$679)</f>
        <v>0</v>
      </c>
      <c r="H121" s="56">
        <f>SUMIF('2.报价结算清单'!$F$7:$F$679,$A121,'2.报价结算清单'!$N$7:$N$679)</f>
        <v>0</v>
      </c>
      <c r="I121" s="59">
        <f>SUMIF('2.报价结算清单'!$F$7:$F$679,A121,'2.报价结算清单'!$P$7:$P$679)</f>
        <v>0</v>
      </c>
    </row>
    <row r="122" spans="1:9">
      <c r="A122" s="74" t="s">
        <v>165</v>
      </c>
      <c r="B122" s="72"/>
      <c r="C122" s="72" t="s">
        <v>1305</v>
      </c>
      <c r="D122" s="76" t="s">
        <v>904</v>
      </c>
      <c r="E122" s="72" t="s">
        <v>25</v>
      </c>
      <c r="F122" s="62">
        <f>VLOOKUP(A122,[1]基准价格!$A:$G,7,0)</f>
        <v>116.6</v>
      </c>
      <c r="G122" s="56">
        <f>SUMIF('2.报价结算清单'!$F$7:$F$679,$A122,'2.报价结算清单'!$L$7:$L$679)</f>
        <v>0</v>
      </c>
      <c r="H122" s="56">
        <f>SUMIF('2.报价结算清单'!$F$7:$F$679,$A122,'2.报价结算清单'!$N$7:$N$679)</f>
        <v>0</v>
      </c>
      <c r="I122" s="59">
        <f>SUMIF('2.报价结算清单'!$F$7:$F$679,A122,'2.报价结算清单'!$P$7:$P$679)</f>
        <v>0</v>
      </c>
    </row>
    <row r="123" spans="1:9">
      <c r="A123" s="74" t="s">
        <v>166</v>
      </c>
      <c r="B123" s="72"/>
      <c r="C123" s="72" t="s">
        <v>1305</v>
      </c>
      <c r="D123" s="76" t="s">
        <v>905</v>
      </c>
      <c r="E123" s="72" t="s">
        <v>25</v>
      </c>
      <c r="F123" s="62">
        <f>VLOOKUP(A123,[1]基准价格!$A:$G,7,0)</f>
        <v>58.3</v>
      </c>
      <c r="G123" s="56">
        <f>SUMIF('2.报价结算清单'!$F$7:$F$679,$A123,'2.报价结算清单'!$L$7:$L$679)</f>
        <v>0</v>
      </c>
      <c r="H123" s="56">
        <f>SUMIF('2.报价结算清单'!$F$7:$F$679,$A123,'2.报价结算清单'!$N$7:$N$679)</f>
        <v>0</v>
      </c>
      <c r="I123" s="59">
        <f>SUMIF('2.报价结算清单'!$F$7:$F$679,A123,'2.报价结算清单'!$P$7:$P$679)</f>
        <v>0</v>
      </c>
    </row>
    <row r="124" spans="1:9">
      <c r="A124" s="74" t="s">
        <v>167</v>
      </c>
      <c r="B124" s="72"/>
      <c r="C124" s="72" t="s">
        <v>1305</v>
      </c>
      <c r="D124" s="76" t="s">
        <v>906</v>
      </c>
      <c r="E124" s="72" t="s">
        <v>25</v>
      </c>
      <c r="F124" s="62">
        <f>VLOOKUP(A124,[1]基准价格!$A:$G,7,0)</f>
        <v>79.5</v>
      </c>
      <c r="G124" s="56">
        <f>SUMIF('2.报价结算清单'!$F$7:$F$679,$A124,'2.报价结算清单'!$L$7:$L$679)</f>
        <v>0</v>
      </c>
      <c r="H124" s="56">
        <f>SUMIF('2.报价结算清单'!$F$7:$F$679,$A124,'2.报价结算清单'!$N$7:$N$679)</f>
        <v>0</v>
      </c>
      <c r="I124" s="59">
        <f>SUMIF('2.报价结算清单'!$F$7:$F$679,A124,'2.报价结算清单'!$P$7:$P$679)</f>
        <v>0</v>
      </c>
    </row>
    <row r="125" spans="1:9">
      <c r="A125" s="74" t="s">
        <v>168</v>
      </c>
      <c r="B125" s="72"/>
      <c r="C125" s="72" t="s">
        <v>1305</v>
      </c>
      <c r="D125" s="76" t="s">
        <v>907</v>
      </c>
      <c r="E125" s="72" t="s">
        <v>25</v>
      </c>
      <c r="F125" s="62">
        <f>VLOOKUP(A125,[1]基准价格!$A:$G,7,0)</f>
        <v>190.8</v>
      </c>
      <c r="G125" s="56">
        <f>SUMIF('2.报价结算清单'!$F$7:$F$679,$A125,'2.报价结算清单'!$L$7:$L$679)</f>
        <v>0</v>
      </c>
      <c r="H125" s="56">
        <f>SUMIF('2.报价结算清单'!$F$7:$F$679,$A125,'2.报价结算清单'!$N$7:$N$679)</f>
        <v>0</v>
      </c>
      <c r="I125" s="59">
        <f>SUMIF('2.报价结算清单'!$F$7:$F$679,A125,'2.报价结算清单'!$P$7:$P$679)</f>
        <v>0</v>
      </c>
    </row>
    <row r="126" spans="1:9">
      <c r="A126" s="74" t="s">
        <v>169</v>
      </c>
      <c r="B126" s="72"/>
      <c r="C126" s="72" t="s">
        <v>1305</v>
      </c>
      <c r="D126" s="76" t="s">
        <v>908</v>
      </c>
      <c r="E126" s="72" t="s">
        <v>25</v>
      </c>
      <c r="F126" s="62">
        <f>VLOOKUP(A126,[1]基准价格!$A:$G,7,0)</f>
        <v>275.60000000000002</v>
      </c>
      <c r="G126" s="56">
        <f>SUMIF('2.报价结算清单'!$F$7:$F$679,$A126,'2.报价结算清单'!$L$7:$L$679)</f>
        <v>0</v>
      </c>
      <c r="H126" s="56">
        <f>SUMIF('2.报价结算清单'!$F$7:$F$679,$A126,'2.报价结算清单'!$N$7:$N$679)</f>
        <v>0</v>
      </c>
      <c r="I126" s="59">
        <f>SUMIF('2.报价结算清单'!$F$7:$F$679,A126,'2.报价结算清单'!$P$7:$P$679)</f>
        <v>0</v>
      </c>
    </row>
    <row r="127" spans="1:9">
      <c r="A127" s="74" t="s">
        <v>170</v>
      </c>
      <c r="B127" s="72"/>
      <c r="C127" s="72" t="s">
        <v>1305</v>
      </c>
      <c r="D127" s="76" t="s">
        <v>909</v>
      </c>
      <c r="E127" s="72" t="s">
        <v>25</v>
      </c>
      <c r="F127" s="62">
        <f>VLOOKUP(A127,[1]基准价格!$A:$G,7,0)</f>
        <v>95.4</v>
      </c>
      <c r="G127" s="56">
        <f>SUMIF('2.报价结算清单'!$F$7:$F$679,$A127,'2.报价结算清单'!$L$7:$L$679)</f>
        <v>0</v>
      </c>
      <c r="H127" s="56">
        <f>SUMIF('2.报价结算清单'!$F$7:$F$679,$A127,'2.报价结算清单'!$N$7:$N$679)</f>
        <v>0</v>
      </c>
      <c r="I127" s="59">
        <f>SUMIF('2.报价结算清单'!$F$7:$F$679,A127,'2.报价结算清单'!$P$7:$P$679)</f>
        <v>0</v>
      </c>
    </row>
    <row r="128" spans="1:9">
      <c r="A128" s="74" t="s">
        <v>171</v>
      </c>
      <c r="B128" s="72"/>
      <c r="C128" s="72" t="s">
        <v>1305</v>
      </c>
      <c r="D128" s="76" t="s">
        <v>910</v>
      </c>
      <c r="E128" s="72" t="s">
        <v>23</v>
      </c>
      <c r="F128" s="62">
        <f>VLOOKUP(A128,[1]基准价格!$A:$G,7,0)</f>
        <v>266.67</v>
      </c>
      <c r="G128" s="56">
        <f>SUMIF('2.报价结算清单'!$F$7:$F$679,$A128,'2.报价结算清单'!$L$7:$L$679)</f>
        <v>0</v>
      </c>
      <c r="H128" s="56">
        <f>SUMIF('2.报价结算清单'!$F$7:$F$679,$A128,'2.报价结算清单'!$N$7:$N$679)</f>
        <v>0</v>
      </c>
      <c r="I128" s="59">
        <f>SUMIF('2.报价结算清单'!$F$7:$F$679,A128,'2.报价结算清单'!$P$7:$P$679)</f>
        <v>0</v>
      </c>
    </row>
    <row r="129" spans="1:9">
      <c r="A129" s="74" t="s">
        <v>172</v>
      </c>
      <c r="B129" s="72"/>
      <c r="C129" s="72" t="s">
        <v>1305</v>
      </c>
      <c r="D129" s="76" t="s">
        <v>911</v>
      </c>
      <c r="E129" s="72" t="s">
        <v>25</v>
      </c>
      <c r="F129" s="62">
        <f>VLOOKUP(A129,[1]基准价格!$A:$G,7,0)</f>
        <v>979.44</v>
      </c>
      <c r="G129" s="56">
        <f>SUMIF('2.报价结算清单'!$F$7:$F$679,$A129,'2.报价结算清单'!$L$7:$L$679)</f>
        <v>4</v>
      </c>
      <c r="H129" s="56">
        <f>SUMIF('2.报价结算清单'!$F$7:$F$679,$A129,'2.报价结算清单'!$N$7:$N$679)</f>
        <v>1</v>
      </c>
      <c r="I129" s="59">
        <f>SUMIF('2.报价结算清单'!$F$7:$F$679,A129,'2.报价结算清单'!$P$7:$P$679)</f>
        <v>3917.76</v>
      </c>
    </row>
    <row r="130" spans="1:9">
      <c r="A130" s="74" t="s">
        <v>173</v>
      </c>
      <c r="B130" s="72"/>
      <c r="C130" s="72" t="s">
        <v>1305</v>
      </c>
      <c r="D130" s="76" t="s">
        <v>912</v>
      </c>
      <c r="E130" s="72" t="s">
        <v>25</v>
      </c>
      <c r="F130" s="62">
        <f>VLOOKUP(A130,[1]基准价格!$A:$G,7,0)</f>
        <v>816.2</v>
      </c>
      <c r="G130" s="56">
        <f>SUMIF('2.报价结算清单'!$F$7:$F$679,$A130,'2.报价结算清单'!$L$7:$L$679)</f>
        <v>4</v>
      </c>
      <c r="H130" s="56">
        <f>SUMIF('2.报价结算清单'!$F$7:$F$679,$A130,'2.报价结算清单'!$N$7:$N$679)</f>
        <v>1</v>
      </c>
      <c r="I130" s="59">
        <f>SUMIF('2.报价结算清单'!$F$7:$F$679,A130,'2.报价结算清单'!$P$7:$P$679)</f>
        <v>3264.8</v>
      </c>
    </row>
    <row r="131" spans="1:9">
      <c r="A131" s="74" t="s">
        <v>174</v>
      </c>
      <c r="B131" s="72"/>
      <c r="C131" s="72" t="s">
        <v>1305</v>
      </c>
      <c r="D131" s="76" t="s">
        <v>913</v>
      </c>
      <c r="E131" s="72" t="s">
        <v>25</v>
      </c>
      <c r="F131" s="62">
        <f>VLOOKUP(A131,[1]基准价格!$A:$G,7,0)</f>
        <v>652.96</v>
      </c>
      <c r="G131" s="56">
        <f>SUMIF('2.报价结算清单'!$F$7:$F$679,$A131,'2.报价结算清单'!$L$7:$L$679)</f>
        <v>0</v>
      </c>
      <c r="H131" s="56">
        <f>SUMIF('2.报价结算清单'!$F$7:$F$679,$A131,'2.报价结算清单'!$N$7:$N$679)</f>
        <v>0</v>
      </c>
      <c r="I131" s="59">
        <f>SUMIF('2.报价结算清单'!$F$7:$F$679,A131,'2.报价结算清单'!$P$7:$P$679)</f>
        <v>0</v>
      </c>
    </row>
    <row r="132" spans="1:9">
      <c r="A132" s="74" t="s">
        <v>175</v>
      </c>
      <c r="B132" s="72"/>
      <c r="C132" s="72" t="s">
        <v>1305</v>
      </c>
      <c r="D132" s="76" t="s">
        <v>914</v>
      </c>
      <c r="E132" s="72" t="s">
        <v>25</v>
      </c>
      <c r="F132" s="62">
        <f>VLOOKUP(A132,[1]基准价格!$A:$G,7,0)</f>
        <v>816.2</v>
      </c>
      <c r="G132" s="56">
        <f>SUMIF('2.报价结算清单'!$F$7:$F$679,$A132,'2.报价结算清单'!$L$7:$L$679)</f>
        <v>0</v>
      </c>
      <c r="H132" s="56">
        <f>SUMIF('2.报价结算清单'!$F$7:$F$679,$A132,'2.报价结算清单'!$N$7:$N$679)</f>
        <v>0</v>
      </c>
      <c r="I132" s="59">
        <f>SUMIF('2.报价结算清单'!$F$7:$F$679,A132,'2.报价结算清单'!$P$7:$P$679)</f>
        <v>0</v>
      </c>
    </row>
    <row r="133" spans="1:9">
      <c r="A133" s="74" t="s">
        <v>176</v>
      </c>
      <c r="B133" s="72"/>
      <c r="C133" s="72" t="s">
        <v>1305</v>
      </c>
      <c r="D133" s="76" t="s">
        <v>915</v>
      </c>
      <c r="E133" s="72" t="s">
        <v>25</v>
      </c>
      <c r="F133" s="62">
        <f>VLOOKUP(A133,[1]基准价格!$A:$G,7,0)</f>
        <v>848</v>
      </c>
      <c r="G133" s="56">
        <f>SUMIF('2.报价结算清单'!$F$7:$F$679,$A133,'2.报价结算清单'!$L$7:$L$679)</f>
        <v>0</v>
      </c>
      <c r="H133" s="56">
        <f>SUMIF('2.报价结算清单'!$F$7:$F$679,$A133,'2.报价结算清单'!$N$7:$N$679)</f>
        <v>0</v>
      </c>
      <c r="I133" s="59">
        <f>SUMIF('2.报价结算清单'!$F$7:$F$679,A133,'2.报价结算清单'!$P$7:$P$679)</f>
        <v>0</v>
      </c>
    </row>
    <row r="134" spans="1:9">
      <c r="A134" s="74" t="s">
        <v>177</v>
      </c>
      <c r="B134" s="72"/>
      <c r="C134" s="72" t="s">
        <v>1305</v>
      </c>
      <c r="D134" s="76" t="s">
        <v>916</v>
      </c>
      <c r="E134" s="72" t="s">
        <v>23</v>
      </c>
      <c r="F134" s="62">
        <f>VLOOKUP(A134,[1]基准价格!$A:$G,7,0)</f>
        <v>636</v>
      </c>
      <c r="G134" s="56">
        <f>SUMIF('2.报价结算清单'!$F$7:$F$679,$A134,'2.报价结算清单'!$L$7:$L$679)</f>
        <v>0</v>
      </c>
      <c r="H134" s="56">
        <f>SUMIF('2.报价结算清单'!$F$7:$F$679,$A134,'2.报价结算清单'!$N$7:$N$679)</f>
        <v>0</v>
      </c>
      <c r="I134" s="59">
        <f>SUMIF('2.报价结算清单'!$F$7:$F$679,A134,'2.报价结算清单'!$P$7:$P$679)</f>
        <v>0</v>
      </c>
    </row>
    <row r="135" spans="1:9">
      <c r="A135" s="74" t="s">
        <v>178</v>
      </c>
      <c r="B135" s="72"/>
      <c r="C135" s="72" t="s">
        <v>1305</v>
      </c>
      <c r="D135" s="76" t="s">
        <v>917</v>
      </c>
      <c r="E135" s="72" t="s">
        <v>23</v>
      </c>
      <c r="F135" s="62">
        <f>VLOOKUP(A135,[1]基准价格!$A:$G,7,0)</f>
        <v>848</v>
      </c>
      <c r="G135" s="56">
        <f>SUMIF('2.报价结算清单'!$F$7:$F$679,$A135,'2.报价结算清单'!$L$7:$L$679)</f>
        <v>0</v>
      </c>
      <c r="H135" s="56">
        <f>SUMIF('2.报价结算清单'!$F$7:$F$679,$A135,'2.报价结算清单'!$N$7:$N$679)</f>
        <v>0</v>
      </c>
      <c r="I135" s="59">
        <f>SUMIF('2.报价结算清单'!$F$7:$F$679,A135,'2.报价结算清单'!$P$7:$P$679)</f>
        <v>0</v>
      </c>
    </row>
    <row r="136" spans="1:9">
      <c r="A136" s="74" t="s">
        <v>179</v>
      </c>
      <c r="B136" s="72"/>
      <c r="C136" s="72" t="s">
        <v>1305</v>
      </c>
      <c r="D136" s="76" t="s">
        <v>918</v>
      </c>
      <c r="E136" s="72" t="s">
        <v>25</v>
      </c>
      <c r="F136" s="62">
        <f>VLOOKUP(A136,[1]基准价格!$A:$G,7,0)</f>
        <v>636</v>
      </c>
      <c r="G136" s="56">
        <f>SUMIF('2.报价结算清单'!$F$7:$F$679,$A136,'2.报价结算清单'!$L$7:$L$679)</f>
        <v>0</v>
      </c>
      <c r="H136" s="56">
        <f>SUMIF('2.报价结算清单'!$F$7:$F$679,$A136,'2.报价结算清单'!$N$7:$N$679)</f>
        <v>0</v>
      </c>
      <c r="I136" s="59">
        <f>SUMIF('2.报价结算清单'!$F$7:$F$679,A136,'2.报价结算清单'!$P$7:$P$679)</f>
        <v>0</v>
      </c>
    </row>
    <row r="137" spans="1:9" ht="28.5">
      <c r="A137" s="74" t="s">
        <v>180</v>
      </c>
      <c r="B137" s="72"/>
      <c r="C137" s="72" t="s">
        <v>1305</v>
      </c>
      <c r="D137" s="76" t="s">
        <v>919</v>
      </c>
      <c r="E137" s="72" t="s">
        <v>24</v>
      </c>
      <c r="F137" s="62">
        <f>VLOOKUP(A137,[1]基准价格!$A:$G,7,0)</f>
        <v>37</v>
      </c>
      <c r="G137" s="56">
        <f>SUMIF('2.报价结算清单'!$F$7:$F$679,$A137,'2.报价结算清单'!$L$7:$L$679)</f>
        <v>0</v>
      </c>
      <c r="H137" s="56">
        <f>SUMIF('2.报价结算清单'!$F$7:$F$679,$A137,'2.报价结算清单'!$N$7:$N$679)</f>
        <v>0</v>
      </c>
      <c r="I137" s="59">
        <f>SUMIF('2.报价结算清单'!$F$7:$F$679,A137,'2.报价结算清单'!$P$7:$P$679)</f>
        <v>0</v>
      </c>
    </row>
    <row r="138" spans="1:9" ht="28.5">
      <c r="A138" s="74" t="s">
        <v>181</v>
      </c>
      <c r="B138" s="72"/>
      <c r="C138" s="72" t="s">
        <v>1305</v>
      </c>
      <c r="D138" s="76" t="s">
        <v>920</v>
      </c>
      <c r="E138" s="72" t="s">
        <v>24</v>
      </c>
      <c r="F138" s="62">
        <f>VLOOKUP(A138,[1]基准价格!$A:$G,7,0)</f>
        <v>53</v>
      </c>
      <c r="G138" s="56">
        <f>SUMIF('2.报价结算清单'!$F$7:$F$679,$A138,'2.报价结算清单'!$L$7:$L$679)</f>
        <v>0</v>
      </c>
      <c r="H138" s="56">
        <f>SUMIF('2.报价结算清单'!$F$7:$F$679,$A138,'2.报价结算清单'!$N$7:$N$679)</f>
        <v>0</v>
      </c>
      <c r="I138" s="59">
        <f>SUMIF('2.报价结算清单'!$F$7:$F$679,A138,'2.报价结算清单'!$P$7:$P$679)</f>
        <v>0</v>
      </c>
    </row>
    <row r="139" spans="1:9">
      <c r="A139" s="74" t="s">
        <v>182</v>
      </c>
      <c r="B139" s="72"/>
      <c r="C139" s="72" t="s">
        <v>1305</v>
      </c>
      <c r="D139" s="76" t="s">
        <v>921</v>
      </c>
      <c r="E139" s="72" t="s">
        <v>24</v>
      </c>
      <c r="F139" s="62">
        <f>VLOOKUP(A139,[1]基准价格!$A:$G,7,0)</f>
        <v>47</v>
      </c>
      <c r="G139" s="56">
        <f>SUMIF('2.报价结算清单'!$F$7:$F$679,$A139,'2.报价结算清单'!$L$7:$L$679)</f>
        <v>0</v>
      </c>
      <c r="H139" s="56">
        <f>SUMIF('2.报价结算清单'!$F$7:$F$679,$A139,'2.报价结算清单'!$N$7:$N$679)</f>
        <v>0</v>
      </c>
      <c r="I139" s="59">
        <f>SUMIF('2.报价结算清单'!$F$7:$F$679,A139,'2.报价结算清单'!$P$7:$P$679)</f>
        <v>0</v>
      </c>
    </row>
    <row r="140" spans="1:9">
      <c r="A140" s="74" t="s">
        <v>183</v>
      </c>
      <c r="B140" s="72"/>
      <c r="C140" s="72" t="s">
        <v>1305</v>
      </c>
      <c r="D140" s="76" t="s">
        <v>922</v>
      </c>
      <c r="E140" s="72" t="s">
        <v>26</v>
      </c>
      <c r="F140" s="62">
        <f>VLOOKUP(A140,[1]基准价格!$A:$G,7,0)</f>
        <v>93.28</v>
      </c>
      <c r="G140" s="56">
        <f>SUMIF('2.报价结算清单'!$F$7:$F$679,$A140,'2.报价结算清单'!$L$7:$L$679)</f>
        <v>0</v>
      </c>
      <c r="H140" s="56">
        <f>SUMIF('2.报价结算清单'!$F$7:$F$679,$A140,'2.报价结算清单'!$N$7:$N$679)</f>
        <v>0</v>
      </c>
      <c r="I140" s="59">
        <f>SUMIF('2.报价结算清单'!$F$7:$F$679,A140,'2.报价结算清单'!$P$7:$P$679)</f>
        <v>0</v>
      </c>
    </row>
    <row r="141" spans="1:9">
      <c r="A141" s="74" t="s">
        <v>184</v>
      </c>
      <c r="B141" s="72"/>
      <c r="C141" s="72" t="s">
        <v>1305</v>
      </c>
      <c r="D141" s="76" t="s">
        <v>923</v>
      </c>
      <c r="E141" s="72" t="s">
        <v>26</v>
      </c>
      <c r="F141" s="62">
        <f>VLOOKUP(A141,[1]基准价格!$A:$G,7,0)</f>
        <v>116.6</v>
      </c>
      <c r="G141" s="56">
        <f>SUMIF('2.报价结算清单'!$F$7:$F$679,$A141,'2.报价结算清单'!$L$7:$L$679)</f>
        <v>0</v>
      </c>
      <c r="H141" s="56">
        <f>SUMIF('2.报价结算清单'!$F$7:$F$679,$A141,'2.报价结算清单'!$N$7:$N$679)</f>
        <v>0</v>
      </c>
      <c r="I141" s="59">
        <f>SUMIF('2.报价结算清单'!$F$7:$F$679,A141,'2.报价结算清单'!$P$7:$P$679)</f>
        <v>0</v>
      </c>
    </row>
    <row r="142" spans="1:9" ht="28.5">
      <c r="A142" s="74" t="s">
        <v>185</v>
      </c>
      <c r="B142" s="72"/>
      <c r="C142" s="72" t="s">
        <v>1305</v>
      </c>
      <c r="D142" s="76" t="s">
        <v>924</v>
      </c>
      <c r="E142" s="72" t="s">
        <v>23</v>
      </c>
      <c r="F142" s="62">
        <f>VLOOKUP(A142,[1]基准价格!$A:$G,7,0)</f>
        <v>424</v>
      </c>
      <c r="G142" s="56">
        <f>SUMIF('2.报价结算清单'!$F$7:$F$679,$A142,'2.报价结算清单'!$L$7:$L$679)</f>
        <v>0</v>
      </c>
      <c r="H142" s="56">
        <f>SUMIF('2.报价结算清单'!$F$7:$F$679,$A142,'2.报价结算清单'!$N$7:$N$679)</f>
        <v>0</v>
      </c>
      <c r="I142" s="59">
        <f>SUMIF('2.报价结算清单'!$F$7:$F$679,A142,'2.报价结算清单'!$P$7:$P$679)</f>
        <v>0</v>
      </c>
    </row>
    <row r="143" spans="1:9" ht="28.5">
      <c r="A143" s="74" t="s">
        <v>186</v>
      </c>
      <c r="B143" s="72"/>
      <c r="C143" s="72" t="s">
        <v>1305</v>
      </c>
      <c r="D143" s="76" t="s">
        <v>925</v>
      </c>
      <c r="E143" s="72" t="s">
        <v>23</v>
      </c>
      <c r="F143" s="62">
        <f>VLOOKUP(A143,[1]基准价格!$A:$G,7,0)</f>
        <v>530</v>
      </c>
      <c r="G143" s="56">
        <f>SUMIF('2.报价结算清单'!$F$7:$F$679,$A143,'2.报价结算清单'!$L$7:$L$679)</f>
        <v>0</v>
      </c>
      <c r="H143" s="56">
        <f>SUMIF('2.报价结算清单'!$F$7:$F$679,$A143,'2.报价结算清单'!$N$7:$N$679)</f>
        <v>0</v>
      </c>
      <c r="I143" s="59">
        <f>SUMIF('2.报价结算清单'!$F$7:$F$679,A143,'2.报价结算清单'!$P$7:$P$679)</f>
        <v>0</v>
      </c>
    </row>
    <row r="144" spans="1:9" ht="28.5">
      <c r="A144" s="74" t="s">
        <v>187</v>
      </c>
      <c r="B144" s="72"/>
      <c r="C144" s="72" t="s">
        <v>1305</v>
      </c>
      <c r="D144" s="76" t="s">
        <v>926</v>
      </c>
      <c r="E144" s="72" t="s">
        <v>23</v>
      </c>
      <c r="F144" s="62">
        <f>VLOOKUP(A144,[1]基准价格!$A:$G,7,0)</f>
        <v>318</v>
      </c>
      <c r="G144" s="56">
        <f>SUMIF('2.报价结算清单'!$F$7:$F$679,$A144,'2.报价结算清单'!$L$7:$L$679)</f>
        <v>0</v>
      </c>
      <c r="H144" s="56">
        <f>SUMIF('2.报价结算清单'!$F$7:$F$679,$A144,'2.报价结算清单'!$N$7:$N$679)</f>
        <v>0</v>
      </c>
      <c r="I144" s="59">
        <f>SUMIF('2.报价结算清单'!$F$7:$F$679,A144,'2.报价结算清单'!$P$7:$P$679)</f>
        <v>0</v>
      </c>
    </row>
    <row r="145" spans="1:9">
      <c r="A145" s="74" t="s">
        <v>188</v>
      </c>
      <c r="B145" s="72"/>
      <c r="C145" s="72" t="s">
        <v>1305</v>
      </c>
      <c r="D145" s="76" t="s">
        <v>927</v>
      </c>
      <c r="E145" s="72" t="s">
        <v>23</v>
      </c>
      <c r="F145" s="62">
        <f>VLOOKUP(A145,[1]基准价格!$A:$G,7,0)</f>
        <v>445</v>
      </c>
      <c r="G145" s="56">
        <f>SUMIF('2.报价结算清单'!$F$7:$F$679,$A145,'2.报价结算清单'!$L$7:$L$679)</f>
        <v>0</v>
      </c>
      <c r="H145" s="56">
        <f>SUMIF('2.报价结算清单'!$F$7:$F$679,$A145,'2.报价结算清单'!$N$7:$N$679)</f>
        <v>0</v>
      </c>
      <c r="I145" s="59">
        <f>SUMIF('2.报价结算清单'!$F$7:$F$679,A145,'2.报价结算清单'!$P$7:$P$679)</f>
        <v>0</v>
      </c>
    </row>
    <row r="146" spans="1:9" ht="28.5">
      <c r="A146" s="74" t="s">
        <v>189</v>
      </c>
      <c r="B146" s="72"/>
      <c r="C146" s="72" t="s">
        <v>1305</v>
      </c>
      <c r="D146" s="76" t="s">
        <v>928</v>
      </c>
      <c r="E146" s="72" t="s">
        <v>25</v>
      </c>
      <c r="F146" s="62">
        <f>VLOOKUP(A146,[1]基准价格!$A:$G,7,0)</f>
        <v>551</v>
      </c>
      <c r="G146" s="56">
        <f>SUMIF('2.报价结算清单'!$F$7:$F$679,$A146,'2.报价结算清单'!$L$7:$L$679)</f>
        <v>0</v>
      </c>
      <c r="H146" s="56">
        <f>SUMIF('2.报价结算清单'!$F$7:$F$679,$A146,'2.报价结算清单'!$N$7:$N$679)</f>
        <v>0</v>
      </c>
      <c r="I146" s="59">
        <f>SUMIF('2.报价结算清单'!$F$7:$F$679,A146,'2.报价结算清单'!$P$7:$P$679)</f>
        <v>0</v>
      </c>
    </row>
    <row r="147" spans="1:9" ht="28.5">
      <c r="A147" s="74" t="s">
        <v>190</v>
      </c>
      <c r="B147" s="72"/>
      <c r="C147" s="72" t="s">
        <v>1305</v>
      </c>
      <c r="D147" s="76" t="s">
        <v>929</v>
      </c>
      <c r="E147" s="72" t="s">
        <v>25</v>
      </c>
      <c r="F147" s="62">
        <f>VLOOKUP(A147,[1]基准价格!$A:$G,7,0)</f>
        <v>636</v>
      </c>
      <c r="G147" s="56">
        <f>SUMIF('2.报价结算清单'!$F$7:$F$679,$A147,'2.报价结算清单'!$L$7:$L$679)</f>
        <v>12</v>
      </c>
      <c r="H147" s="56">
        <f>SUMIF('2.报价结算清单'!$F$7:$F$679,$A147,'2.报价结算清单'!$N$7:$N$679)</f>
        <v>2</v>
      </c>
      <c r="I147" s="59">
        <f>SUMIF('2.报价结算清单'!$F$7:$F$679,A147,'2.报价结算清单'!$P$7:$P$679)</f>
        <v>15264</v>
      </c>
    </row>
    <row r="148" spans="1:9" ht="28.5">
      <c r="A148" s="74" t="s">
        <v>191</v>
      </c>
      <c r="B148" s="72"/>
      <c r="C148" s="72" t="s">
        <v>1305</v>
      </c>
      <c r="D148" s="76" t="s">
        <v>930</v>
      </c>
      <c r="E148" s="72" t="s">
        <v>25</v>
      </c>
      <c r="F148" s="62">
        <f>VLOOKUP(A148,[1]基准价格!$A:$G,7,0)</f>
        <v>848</v>
      </c>
      <c r="G148" s="56">
        <f>SUMIF('2.报价结算清单'!$F$7:$F$679,$A148,'2.报价结算清单'!$L$7:$L$679)</f>
        <v>0</v>
      </c>
      <c r="H148" s="56">
        <f>SUMIF('2.报价结算清单'!$F$7:$F$679,$A148,'2.报价结算清单'!$N$7:$N$679)</f>
        <v>0</v>
      </c>
      <c r="I148" s="59">
        <f>SUMIF('2.报价结算清单'!$F$7:$F$679,A148,'2.报价结算清单'!$P$7:$P$679)</f>
        <v>0</v>
      </c>
    </row>
    <row r="149" spans="1:9">
      <c r="A149" s="74" t="s">
        <v>192</v>
      </c>
      <c r="B149" s="72"/>
      <c r="C149" s="72" t="s">
        <v>1305</v>
      </c>
      <c r="D149" s="76" t="s">
        <v>931</v>
      </c>
      <c r="E149" s="72" t="s">
        <v>26</v>
      </c>
      <c r="F149" s="62">
        <f>VLOOKUP(A149,[1]基准价格!$A:$G,7,0)</f>
        <v>106</v>
      </c>
      <c r="G149" s="56">
        <f>SUMIF('2.报价结算清单'!$F$7:$F$679,$A149,'2.报价结算清单'!$L$7:$L$679)</f>
        <v>0</v>
      </c>
      <c r="H149" s="56">
        <f>SUMIF('2.报价结算清单'!$F$7:$F$679,$A149,'2.报价结算清单'!$N$7:$N$679)</f>
        <v>0</v>
      </c>
      <c r="I149" s="59">
        <f>SUMIF('2.报价结算清单'!$F$7:$F$679,A149,'2.报价结算清单'!$P$7:$P$679)</f>
        <v>0</v>
      </c>
    </row>
    <row r="150" spans="1:9">
      <c r="A150" s="74" t="s">
        <v>193</v>
      </c>
      <c r="B150" s="72"/>
      <c r="C150" s="72" t="s">
        <v>1305</v>
      </c>
      <c r="D150" s="76" t="s">
        <v>932</v>
      </c>
      <c r="E150" s="72" t="s">
        <v>26</v>
      </c>
      <c r="F150" s="62">
        <f>VLOOKUP(A150,[1]基准价格!$A:$G,7,0)</f>
        <v>742</v>
      </c>
      <c r="G150" s="56">
        <f>SUMIF('2.报价结算清单'!$F$7:$F$679,$A150,'2.报价结算清单'!$L$7:$L$679)</f>
        <v>10</v>
      </c>
      <c r="H150" s="56">
        <f>SUMIF('2.报价结算清单'!$F$7:$F$679,$A150,'2.报价结算清单'!$N$7:$N$679)</f>
        <v>1</v>
      </c>
      <c r="I150" s="59">
        <f>SUMIF('2.报价结算清单'!$F$7:$F$679,A150,'2.报价结算清单'!$P$7:$P$679)</f>
        <v>7420</v>
      </c>
    </row>
    <row r="151" spans="1:9">
      <c r="A151" s="74" t="s">
        <v>194</v>
      </c>
      <c r="B151" s="72"/>
      <c r="C151" s="72" t="s">
        <v>1305</v>
      </c>
      <c r="D151" s="76" t="s">
        <v>933</v>
      </c>
      <c r="E151" s="72" t="s">
        <v>26</v>
      </c>
      <c r="F151" s="62">
        <f>VLOOKUP(A151,[1]基准价格!$A:$G,7,0)</f>
        <v>254.4</v>
      </c>
      <c r="G151" s="56">
        <f>SUMIF('2.报价结算清单'!$F$7:$F$679,$A151,'2.报价结算清单'!$L$7:$L$679)</f>
        <v>0</v>
      </c>
      <c r="H151" s="56">
        <f>SUMIF('2.报价结算清单'!$F$7:$F$679,$A151,'2.报价结算清单'!$N$7:$N$679)</f>
        <v>0</v>
      </c>
      <c r="I151" s="59">
        <f>SUMIF('2.报价结算清单'!$F$7:$F$679,A151,'2.报价结算清单'!$P$7:$P$679)</f>
        <v>0</v>
      </c>
    </row>
    <row r="152" spans="1:9" ht="28.5">
      <c r="A152" s="74" t="s">
        <v>195</v>
      </c>
      <c r="B152" s="72"/>
      <c r="C152" s="72" t="s">
        <v>1305</v>
      </c>
      <c r="D152" s="76" t="s">
        <v>934</v>
      </c>
      <c r="E152" s="72" t="s">
        <v>26</v>
      </c>
      <c r="F152" s="62">
        <f>VLOOKUP(A152,[1]基准价格!$A:$G,7,0)</f>
        <v>237.44</v>
      </c>
      <c r="G152" s="56">
        <f>SUMIF('2.报价结算清单'!$F$7:$F$679,$A152,'2.报价结算清单'!$L$7:$L$679)</f>
        <v>0</v>
      </c>
      <c r="H152" s="56">
        <f>SUMIF('2.报价结算清单'!$F$7:$F$679,$A152,'2.报价结算清单'!$N$7:$N$679)</f>
        <v>0</v>
      </c>
      <c r="I152" s="59">
        <f>SUMIF('2.报价结算清单'!$F$7:$F$679,A152,'2.报价结算清单'!$P$7:$P$679)</f>
        <v>0</v>
      </c>
    </row>
    <row r="153" spans="1:9" ht="28.5">
      <c r="A153" s="74" t="s">
        <v>196</v>
      </c>
      <c r="B153" s="72"/>
      <c r="C153" s="72" t="s">
        <v>1305</v>
      </c>
      <c r="D153" s="76" t="s">
        <v>935</v>
      </c>
      <c r="E153" s="72" t="s">
        <v>26</v>
      </c>
      <c r="F153" s="62">
        <f>VLOOKUP(A153,[1]基准价格!$A:$G,7,0)</f>
        <v>424</v>
      </c>
      <c r="G153" s="56">
        <f>SUMIF('2.报价结算清单'!$F$7:$F$679,$A153,'2.报价结算清单'!$L$7:$L$679)</f>
        <v>12</v>
      </c>
      <c r="H153" s="56">
        <f>SUMIF('2.报价结算清单'!$F$7:$F$679,$A153,'2.报价结算清单'!$N$7:$N$679)</f>
        <v>1</v>
      </c>
      <c r="I153" s="59">
        <f>SUMIF('2.报价结算清单'!$F$7:$F$679,A153,'2.报价结算清单'!$P$7:$P$679)</f>
        <v>5088</v>
      </c>
    </row>
    <row r="154" spans="1:9">
      <c r="A154" s="74" t="s">
        <v>197</v>
      </c>
      <c r="B154" s="72"/>
      <c r="C154" s="72" t="s">
        <v>1305</v>
      </c>
      <c r="D154" s="76" t="s">
        <v>936</v>
      </c>
      <c r="E154" s="72" t="s">
        <v>27</v>
      </c>
      <c r="F154" s="62">
        <f>VLOOKUP(A154,[1]基准价格!$A:$G,7,0)</f>
        <v>93.33</v>
      </c>
      <c r="G154" s="56">
        <f>SUMIF('2.报价结算清单'!$F$7:$F$679,$A154,'2.报价结算清单'!$L$7:$L$679)</f>
        <v>0</v>
      </c>
      <c r="H154" s="56">
        <f>SUMIF('2.报价结算清单'!$F$7:$F$679,$A154,'2.报价结算清单'!$N$7:$N$679)</f>
        <v>0</v>
      </c>
      <c r="I154" s="59">
        <f>SUMIF('2.报价结算清单'!$F$7:$F$679,A154,'2.报价结算清单'!$P$7:$P$679)</f>
        <v>0</v>
      </c>
    </row>
    <row r="155" spans="1:9">
      <c r="A155" s="74" t="s">
        <v>198</v>
      </c>
      <c r="B155" s="72"/>
      <c r="C155" s="72" t="s">
        <v>1305</v>
      </c>
      <c r="D155" s="76" t="s">
        <v>937</v>
      </c>
      <c r="E155" s="72" t="s">
        <v>27</v>
      </c>
      <c r="F155" s="62">
        <f>VLOOKUP(A155,[1]基准价格!$A:$G,7,0)</f>
        <v>127.2</v>
      </c>
      <c r="G155" s="56">
        <f>SUMIF('2.报价结算清单'!$F$7:$F$679,$A155,'2.报价结算清单'!$L$7:$L$679)</f>
        <v>0</v>
      </c>
      <c r="H155" s="56">
        <f>SUMIF('2.报价结算清单'!$F$7:$F$679,$A155,'2.报价结算清单'!$N$7:$N$679)</f>
        <v>0</v>
      </c>
      <c r="I155" s="59">
        <f>SUMIF('2.报价结算清单'!$F$7:$F$679,A155,'2.报价结算清单'!$P$7:$P$679)</f>
        <v>0</v>
      </c>
    </row>
    <row r="156" spans="1:9">
      <c r="A156" s="74" t="s">
        <v>199</v>
      </c>
      <c r="B156" s="72"/>
      <c r="C156" s="72" t="s">
        <v>1305</v>
      </c>
      <c r="D156" s="76" t="s">
        <v>938</v>
      </c>
      <c r="E156" s="72" t="s">
        <v>27</v>
      </c>
      <c r="F156" s="62">
        <f>VLOOKUP(A156,[1]基准价格!$A:$G,7,0)</f>
        <v>127.2</v>
      </c>
      <c r="G156" s="56">
        <f>SUMIF('2.报价结算清单'!$F$7:$F$679,$A156,'2.报价结算清单'!$L$7:$L$679)</f>
        <v>0</v>
      </c>
      <c r="H156" s="56">
        <f>SUMIF('2.报价结算清单'!$F$7:$F$679,$A156,'2.报价结算清单'!$N$7:$N$679)</f>
        <v>0</v>
      </c>
      <c r="I156" s="59">
        <f>SUMIF('2.报价结算清单'!$F$7:$F$679,A156,'2.报价结算清单'!$P$7:$P$679)</f>
        <v>0</v>
      </c>
    </row>
    <row r="157" spans="1:9">
      <c r="A157" s="74" t="s">
        <v>200</v>
      </c>
      <c r="B157" s="72"/>
      <c r="C157" s="72" t="s">
        <v>1305</v>
      </c>
      <c r="D157" s="76" t="s">
        <v>939</v>
      </c>
      <c r="E157" s="72" t="s">
        <v>27</v>
      </c>
      <c r="F157" s="62">
        <f>VLOOKUP(A157,[1]基准价格!$A:$G,7,0)</f>
        <v>201.4</v>
      </c>
      <c r="G157" s="56">
        <f>SUMIF('2.报价结算清单'!$F$7:$F$679,$A157,'2.报价结算清单'!$L$7:$L$679)</f>
        <v>0</v>
      </c>
      <c r="H157" s="56">
        <f>SUMIF('2.报价结算清单'!$F$7:$F$679,$A157,'2.报价结算清单'!$N$7:$N$679)</f>
        <v>0</v>
      </c>
      <c r="I157" s="59">
        <f>SUMIF('2.报价结算清单'!$F$7:$F$679,A157,'2.报价结算清单'!$P$7:$P$679)</f>
        <v>0</v>
      </c>
    </row>
    <row r="158" spans="1:9">
      <c r="A158" s="74" t="s">
        <v>201</v>
      </c>
      <c r="B158" s="72"/>
      <c r="C158" s="72" t="s">
        <v>1305</v>
      </c>
      <c r="D158" s="76" t="s">
        <v>940</v>
      </c>
      <c r="E158" s="72" t="s">
        <v>26</v>
      </c>
      <c r="F158" s="62">
        <f>VLOOKUP(A158,[1]基准价格!$A:$G,7,0)</f>
        <v>126.67</v>
      </c>
      <c r="G158" s="56">
        <f>SUMIF('2.报价结算清单'!$F$7:$F$679,$A158,'2.报价结算清单'!$L$7:$L$679)</f>
        <v>0</v>
      </c>
      <c r="H158" s="56">
        <f>SUMIF('2.报价结算清单'!$F$7:$F$679,$A158,'2.报价结算清单'!$N$7:$N$679)</f>
        <v>0</v>
      </c>
      <c r="I158" s="59">
        <f>SUMIF('2.报价结算清单'!$F$7:$F$679,A158,'2.报价结算清单'!$P$7:$P$679)</f>
        <v>0</v>
      </c>
    </row>
    <row r="159" spans="1:9">
      <c r="A159" s="74" t="s">
        <v>202</v>
      </c>
      <c r="B159" s="72"/>
      <c r="C159" s="72" t="s">
        <v>1305</v>
      </c>
      <c r="D159" s="76" t="s">
        <v>941</v>
      </c>
      <c r="E159" s="72" t="s">
        <v>26</v>
      </c>
      <c r="F159" s="62">
        <f>VLOOKUP(A159,[1]基准价格!$A:$G,7,0)</f>
        <v>53</v>
      </c>
      <c r="G159" s="56">
        <f>SUMIF('2.报价结算清单'!$F$7:$F$679,$A159,'2.报价结算清单'!$L$7:$L$679)</f>
        <v>15</v>
      </c>
      <c r="H159" s="56">
        <f>SUMIF('2.报价结算清单'!$F$7:$F$679,$A159,'2.报价结算清单'!$N$7:$N$679)</f>
        <v>1</v>
      </c>
      <c r="I159" s="59">
        <f>SUMIF('2.报价结算清单'!$F$7:$F$679,A159,'2.报价结算清单'!$P$7:$P$679)</f>
        <v>795</v>
      </c>
    </row>
    <row r="160" spans="1:9">
      <c r="A160" s="74" t="s">
        <v>203</v>
      </c>
      <c r="B160" s="72"/>
      <c r="C160" s="72" t="s">
        <v>1305</v>
      </c>
      <c r="D160" s="76" t="s">
        <v>942</v>
      </c>
      <c r="E160" s="72" t="s">
        <v>26</v>
      </c>
      <c r="F160" s="62">
        <f>VLOOKUP(A160,[1]基准价格!$A:$G,7,0)</f>
        <v>42.4</v>
      </c>
      <c r="G160" s="56">
        <f>SUMIF('2.报价结算清单'!$F$7:$F$679,$A160,'2.报价结算清单'!$L$7:$L$679)</f>
        <v>0</v>
      </c>
      <c r="H160" s="56">
        <f>SUMIF('2.报价结算清单'!$F$7:$F$679,$A160,'2.报价结算清单'!$N$7:$N$679)</f>
        <v>0</v>
      </c>
      <c r="I160" s="59">
        <f>SUMIF('2.报价结算清单'!$F$7:$F$679,A160,'2.报价结算清单'!$P$7:$P$679)</f>
        <v>0</v>
      </c>
    </row>
    <row r="161" spans="1:9">
      <c r="A161" s="74" t="s">
        <v>204</v>
      </c>
      <c r="B161" s="72"/>
      <c r="C161" s="72" t="s">
        <v>1305</v>
      </c>
      <c r="D161" s="76" t="s">
        <v>943</v>
      </c>
      <c r="E161" s="72" t="s">
        <v>26</v>
      </c>
      <c r="F161" s="62">
        <f>VLOOKUP(A161,[1]基准价格!$A:$G,7,0)</f>
        <v>31.8</v>
      </c>
      <c r="G161" s="56">
        <f>SUMIF('2.报价结算清单'!$F$7:$F$679,$A161,'2.报价结算清单'!$L$7:$L$679)</f>
        <v>0</v>
      </c>
      <c r="H161" s="56">
        <f>SUMIF('2.报价结算清单'!$F$7:$F$679,$A161,'2.报价结算清单'!$N$7:$N$679)</f>
        <v>0</v>
      </c>
      <c r="I161" s="59">
        <f>SUMIF('2.报价结算清单'!$F$7:$F$679,A161,'2.报价结算清单'!$P$7:$P$679)</f>
        <v>0</v>
      </c>
    </row>
    <row r="162" spans="1:9">
      <c r="A162" s="74" t="s">
        <v>205</v>
      </c>
      <c r="B162" s="72"/>
      <c r="C162" s="72" t="s">
        <v>1305</v>
      </c>
      <c r="D162" s="76" t="s">
        <v>944</v>
      </c>
      <c r="E162" s="72" t="s">
        <v>28</v>
      </c>
      <c r="F162" s="62">
        <f>VLOOKUP(A162,[1]基准价格!$A:$G,7,0)</f>
        <v>171.72</v>
      </c>
      <c r="G162" s="56">
        <f>SUMIF('2.报价结算清单'!$F$7:$F$679,$A162,'2.报价结算清单'!$L$7:$L$679)</f>
        <v>0</v>
      </c>
      <c r="H162" s="56">
        <f>SUMIF('2.报价结算清单'!$F$7:$F$679,$A162,'2.报价结算清单'!$N$7:$N$679)</f>
        <v>0</v>
      </c>
      <c r="I162" s="59">
        <f>SUMIF('2.报价结算清单'!$F$7:$F$679,A162,'2.报价结算清单'!$P$7:$P$679)</f>
        <v>0</v>
      </c>
    </row>
    <row r="163" spans="1:9">
      <c r="A163" s="74" t="s">
        <v>206</v>
      </c>
      <c r="B163" s="72"/>
      <c r="C163" s="72" t="s">
        <v>1305</v>
      </c>
      <c r="D163" s="76" t="s">
        <v>945</v>
      </c>
      <c r="E163" s="72" t="s">
        <v>28</v>
      </c>
      <c r="F163" s="62">
        <f>VLOOKUP(A163,[1]基准价格!$A:$G,7,0)</f>
        <v>116.60000000000001</v>
      </c>
      <c r="G163" s="56">
        <f>SUMIF('2.报价结算清单'!$F$7:$F$679,$A163,'2.报价结算清单'!$L$7:$L$679)</f>
        <v>0</v>
      </c>
      <c r="H163" s="56">
        <f>SUMIF('2.报价结算清单'!$F$7:$F$679,$A163,'2.报价结算清单'!$N$7:$N$679)</f>
        <v>0</v>
      </c>
      <c r="I163" s="59">
        <f>SUMIF('2.报价结算清单'!$F$7:$F$679,A163,'2.报价结算清单'!$P$7:$P$679)</f>
        <v>0</v>
      </c>
    </row>
    <row r="164" spans="1:9">
      <c r="A164" s="74" t="s">
        <v>207</v>
      </c>
      <c r="B164" s="72"/>
      <c r="C164" s="72" t="s">
        <v>1305</v>
      </c>
      <c r="D164" s="76" t="s">
        <v>946</v>
      </c>
      <c r="E164" s="72" t="s">
        <v>23</v>
      </c>
      <c r="F164" s="62">
        <f>VLOOKUP(A164,[1]基准价格!$A:$G,7,0)</f>
        <v>45</v>
      </c>
      <c r="G164" s="56">
        <f>SUMIF('2.报价结算清单'!$F$7:$F$679,$A164,'2.报价结算清单'!$L$7:$L$679)</f>
        <v>0</v>
      </c>
      <c r="H164" s="56">
        <f>SUMIF('2.报价结算清单'!$F$7:$F$679,$A164,'2.报价结算清单'!$N$7:$N$679)</f>
        <v>0</v>
      </c>
      <c r="I164" s="59">
        <f>SUMIF('2.报价结算清单'!$F$7:$F$679,A164,'2.报价结算清单'!$P$7:$P$679)</f>
        <v>0</v>
      </c>
    </row>
    <row r="165" spans="1:9">
      <c r="A165" s="74" t="s">
        <v>208</v>
      </c>
      <c r="B165" s="72"/>
      <c r="C165" s="72" t="s">
        <v>1305</v>
      </c>
      <c r="D165" s="76" t="s">
        <v>947</v>
      </c>
      <c r="E165" s="72" t="s">
        <v>23</v>
      </c>
      <c r="F165" s="62">
        <f>VLOOKUP(A165,[1]基准价格!$A:$G,7,0)</f>
        <v>21.200000000000003</v>
      </c>
      <c r="G165" s="56">
        <f>SUMIF('2.报价结算清单'!$F$7:$F$679,$A165,'2.报价结算清单'!$L$7:$L$679)</f>
        <v>0</v>
      </c>
      <c r="H165" s="56">
        <f>SUMIF('2.报价结算清单'!$F$7:$F$679,$A165,'2.报价结算清单'!$N$7:$N$679)</f>
        <v>0</v>
      </c>
      <c r="I165" s="59">
        <f>SUMIF('2.报价结算清单'!$F$7:$F$679,A165,'2.报价结算清单'!$P$7:$P$679)</f>
        <v>0</v>
      </c>
    </row>
    <row r="166" spans="1:9">
      <c r="A166" s="74" t="s">
        <v>209</v>
      </c>
      <c r="B166" s="72"/>
      <c r="C166" s="72" t="s">
        <v>1305</v>
      </c>
      <c r="D166" s="76" t="s">
        <v>948</v>
      </c>
      <c r="E166" s="72" t="s">
        <v>23</v>
      </c>
      <c r="F166" s="62">
        <f>VLOOKUP(A166,[1]基准价格!$A:$G,7,0)</f>
        <v>74.2</v>
      </c>
      <c r="G166" s="56">
        <f>SUMIF('2.报价结算清单'!$F$7:$F$679,$A166,'2.报价结算清单'!$L$7:$L$679)</f>
        <v>0</v>
      </c>
      <c r="H166" s="56">
        <f>SUMIF('2.报价结算清单'!$F$7:$F$679,$A166,'2.报价结算清单'!$N$7:$N$679)</f>
        <v>0</v>
      </c>
      <c r="I166" s="59">
        <f>SUMIF('2.报价结算清单'!$F$7:$F$679,A166,'2.报价结算清单'!$P$7:$P$679)</f>
        <v>0</v>
      </c>
    </row>
    <row r="167" spans="1:9">
      <c r="A167" s="74" t="s">
        <v>210</v>
      </c>
      <c r="B167" s="72"/>
      <c r="C167" s="72" t="s">
        <v>1305</v>
      </c>
      <c r="D167" s="76" t="s">
        <v>949</v>
      </c>
      <c r="E167" s="72" t="s">
        <v>23</v>
      </c>
      <c r="F167" s="62">
        <f>VLOOKUP(A167,[1]基准价格!$A:$G,7,0)</f>
        <v>127.2</v>
      </c>
      <c r="G167" s="56">
        <f>SUMIF('2.报价结算清单'!$F$7:$F$679,$A167,'2.报价结算清单'!$L$7:$L$679)</f>
        <v>0</v>
      </c>
      <c r="H167" s="56">
        <f>SUMIF('2.报价结算清单'!$F$7:$F$679,$A167,'2.报价结算清单'!$N$7:$N$679)</f>
        <v>0</v>
      </c>
      <c r="I167" s="59">
        <f>SUMIF('2.报价结算清单'!$F$7:$F$679,A167,'2.报价结算清单'!$P$7:$P$679)</f>
        <v>0</v>
      </c>
    </row>
    <row r="168" spans="1:9">
      <c r="A168" s="74" t="s">
        <v>211</v>
      </c>
      <c r="B168" s="72"/>
      <c r="C168" s="72" t="s">
        <v>1305</v>
      </c>
      <c r="D168" s="76" t="s">
        <v>950</v>
      </c>
      <c r="E168" s="72" t="s">
        <v>23</v>
      </c>
      <c r="F168" s="62">
        <f>VLOOKUP(A168,[1]基准价格!$A:$G,7,0)</f>
        <v>127.2</v>
      </c>
      <c r="G168" s="56">
        <f>SUMIF('2.报价结算清单'!$F$7:$F$679,$A168,'2.报价结算清单'!$L$7:$L$679)</f>
        <v>0</v>
      </c>
      <c r="H168" s="56">
        <f>SUMIF('2.报价结算清单'!$F$7:$F$679,$A168,'2.报价结算清单'!$N$7:$N$679)</f>
        <v>0</v>
      </c>
      <c r="I168" s="59">
        <f>SUMIF('2.报价结算清单'!$F$7:$F$679,A168,'2.报价结算清单'!$P$7:$P$679)</f>
        <v>0</v>
      </c>
    </row>
    <row r="169" spans="1:9">
      <c r="A169" s="74" t="s">
        <v>212</v>
      </c>
      <c r="B169" s="72"/>
      <c r="C169" s="72" t="s">
        <v>1305</v>
      </c>
      <c r="D169" s="76" t="s">
        <v>951</v>
      </c>
      <c r="E169" s="72" t="s">
        <v>23</v>
      </c>
      <c r="F169" s="62">
        <f>VLOOKUP(A169,[1]基准价格!$A:$G,7,0)</f>
        <v>148.4</v>
      </c>
      <c r="G169" s="56">
        <f>SUMIF('2.报价结算清单'!$F$7:$F$679,$A169,'2.报价结算清单'!$L$7:$L$679)</f>
        <v>0</v>
      </c>
      <c r="H169" s="56">
        <f>SUMIF('2.报价结算清单'!$F$7:$F$679,$A169,'2.报价结算清单'!$N$7:$N$679)</f>
        <v>0</v>
      </c>
      <c r="I169" s="59">
        <f>SUMIF('2.报价结算清单'!$F$7:$F$679,A169,'2.报价结算清单'!$P$7:$P$679)</f>
        <v>0</v>
      </c>
    </row>
    <row r="170" spans="1:9">
      <c r="A170" s="74" t="s">
        <v>213</v>
      </c>
      <c r="B170" s="72"/>
      <c r="C170" s="72" t="s">
        <v>1305</v>
      </c>
      <c r="D170" s="76" t="s">
        <v>952</v>
      </c>
      <c r="E170" s="72" t="s">
        <v>23</v>
      </c>
      <c r="F170" s="62">
        <f>VLOOKUP(A170,[1]基准价格!$A:$G,7,0)</f>
        <v>105</v>
      </c>
      <c r="G170" s="56">
        <f>SUMIF('2.报价结算清单'!$F$7:$F$679,$A170,'2.报价结算清单'!$L$7:$L$679)</f>
        <v>0</v>
      </c>
      <c r="H170" s="56">
        <f>SUMIF('2.报价结算清单'!$F$7:$F$679,$A170,'2.报价结算清单'!$N$7:$N$679)</f>
        <v>0</v>
      </c>
      <c r="I170" s="59">
        <f>SUMIF('2.报价结算清单'!$F$7:$F$679,A170,'2.报价结算清单'!$P$7:$P$679)</f>
        <v>0</v>
      </c>
    </row>
    <row r="171" spans="1:9">
      <c r="A171" s="74" t="s">
        <v>214</v>
      </c>
      <c r="B171" s="72"/>
      <c r="C171" s="72" t="s">
        <v>1305</v>
      </c>
      <c r="D171" s="76" t="s">
        <v>953</v>
      </c>
      <c r="E171" s="72" t="s">
        <v>23</v>
      </c>
      <c r="F171" s="62">
        <f>VLOOKUP(A171,[1]基准价格!$A:$G,7,0)</f>
        <v>116.67</v>
      </c>
      <c r="G171" s="56">
        <f>SUMIF('2.报价结算清单'!$F$7:$F$679,$A171,'2.报价结算清单'!$L$7:$L$679)</f>
        <v>0</v>
      </c>
      <c r="H171" s="56">
        <f>SUMIF('2.报价结算清单'!$F$7:$F$679,$A171,'2.报价结算清单'!$N$7:$N$679)</f>
        <v>0</v>
      </c>
      <c r="I171" s="59">
        <f>SUMIF('2.报价结算清单'!$F$7:$F$679,A171,'2.报价结算清单'!$P$7:$P$679)</f>
        <v>0</v>
      </c>
    </row>
    <row r="172" spans="1:9">
      <c r="A172" s="74" t="s">
        <v>215</v>
      </c>
      <c r="B172" s="72"/>
      <c r="C172" s="72" t="s">
        <v>1305</v>
      </c>
      <c r="D172" s="76" t="s">
        <v>954</v>
      </c>
      <c r="E172" s="72" t="s">
        <v>25</v>
      </c>
      <c r="F172" s="62">
        <f>VLOOKUP(A172,[1]基准价格!$A:$G,7,0)</f>
        <v>10.6</v>
      </c>
      <c r="G172" s="56">
        <f>SUMIF('2.报价结算清单'!$F$7:$F$679,$A172,'2.报价结算清单'!$L$7:$L$679)</f>
        <v>0</v>
      </c>
      <c r="H172" s="56">
        <f>SUMIF('2.报价结算清单'!$F$7:$F$679,$A172,'2.报价结算清单'!$N$7:$N$679)</f>
        <v>0</v>
      </c>
      <c r="I172" s="59">
        <f>SUMIF('2.报价结算清单'!$F$7:$F$679,A172,'2.报价结算清单'!$P$7:$P$679)</f>
        <v>0</v>
      </c>
    </row>
    <row r="173" spans="1:9">
      <c r="A173" s="74" t="s">
        <v>216</v>
      </c>
      <c r="B173" s="72"/>
      <c r="C173" s="72" t="s">
        <v>1305</v>
      </c>
      <c r="D173" s="76" t="s">
        <v>955</v>
      </c>
      <c r="E173" s="72" t="s">
        <v>25</v>
      </c>
      <c r="F173" s="62">
        <f>VLOOKUP(A173,[1]基准价格!$A:$G,7,0)</f>
        <v>12.72</v>
      </c>
      <c r="G173" s="56">
        <f>SUMIF('2.报价结算清单'!$F$7:$F$679,$A173,'2.报价结算清单'!$L$7:$L$679)</f>
        <v>0</v>
      </c>
      <c r="H173" s="56">
        <f>SUMIF('2.报价结算清单'!$F$7:$F$679,$A173,'2.报价结算清单'!$N$7:$N$679)</f>
        <v>0</v>
      </c>
      <c r="I173" s="59">
        <f>SUMIF('2.报价结算清单'!$F$7:$F$679,A173,'2.报价结算清单'!$P$7:$P$679)</f>
        <v>0</v>
      </c>
    </row>
    <row r="174" spans="1:9">
      <c r="A174" s="74" t="s">
        <v>217</v>
      </c>
      <c r="B174" s="72"/>
      <c r="C174" s="72" t="s">
        <v>1305</v>
      </c>
      <c r="D174" s="76" t="s">
        <v>956</v>
      </c>
      <c r="E174" s="72" t="s">
        <v>25</v>
      </c>
      <c r="F174" s="62">
        <f>VLOOKUP(A174,[1]基准价格!$A:$G,7,0)</f>
        <v>31.8</v>
      </c>
      <c r="G174" s="56">
        <f>SUMIF('2.报价结算清单'!$F$7:$F$679,$A174,'2.报价结算清单'!$L$7:$L$679)</f>
        <v>0</v>
      </c>
      <c r="H174" s="56">
        <f>SUMIF('2.报价结算清单'!$F$7:$F$679,$A174,'2.报价结算清单'!$N$7:$N$679)</f>
        <v>0</v>
      </c>
      <c r="I174" s="59">
        <f>SUMIF('2.报价结算清单'!$F$7:$F$679,A174,'2.报价结算清单'!$P$7:$P$679)</f>
        <v>0</v>
      </c>
    </row>
    <row r="175" spans="1:9">
      <c r="A175" s="74" t="s">
        <v>218</v>
      </c>
      <c r="B175" s="72"/>
      <c r="C175" s="72" t="s">
        <v>1305</v>
      </c>
      <c r="D175" s="76" t="s">
        <v>957</v>
      </c>
      <c r="E175" s="72" t="s">
        <v>25</v>
      </c>
      <c r="F175" s="62">
        <f>VLOOKUP(A175,[1]基准价格!$A:$G,7,0)</f>
        <v>24.38</v>
      </c>
      <c r="G175" s="56">
        <f>SUMIF('2.报价结算清单'!$F$7:$F$679,$A175,'2.报价结算清单'!$L$7:$L$679)</f>
        <v>0</v>
      </c>
      <c r="H175" s="56">
        <f>SUMIF('2.报价结算清单'!$F$7:$F$679,$A175,'2.报价结算清单'!$N$7:$N$679)</f>
        <v>0</v>
      </c>
      <c r="I175" s="59">
        <f>SUMIF('2.报价结算清单'!$F$7:$F$679,A175,'2.报价结算清单'!$P$7:$P$679)</f>
        <v>0</v>
      </c>
    </row>
    <row r="176" spans="1:9">
      <c r="A176" s="74" t="s">
        <v>219</v>
      </c>
      <c r="B176" s="72"/>
      <c r="C176" s="72" t="s">
        <v>1305</v>
      </c>
      <c r="D176" s="76" t="s">
        <v>958</v>
      </c>
      <c r="E176" s="72" t="s">
        <v>25</v>
      </c>
      <c r="F176" s="62">
        <f>VLOOKUP(A176,[1]基准价格!$A:$G,7,0)</f>
        <v>26.5</v>
      </c>
      <c r="G176" s="56">
        <f>SUMIF('2.报价结算清单'!$F$7:$F$679,$A176,'2.报价结算清单'!$L$7:$L$679)</f>
        <v>0</v>
      </c>
      <c r="H176" s="56">
        <f>SUMIF('2.报价结算清单'!$F$7:$F$679,$A176,'2.报价结算清单'!$N$7:$N$679)</f>
        <v>0</v>
      </c>
      <c r="I176" s="59">
        <f>SUMIF('2.报价结算清单'!$F$7:$F$679,A176,'2.报价结算清单'!$P$7:$P$679)</f>
        <v>0</v>
      </c>
    </row>
    <row r="177" spans="1:9">
      <c r="A177" s="74" t="s">
        <v>220</v>
      </c>
      <c r="B177" s="72"/>
      <c r="C177" s="72" t="s">
        <v>1305</v>
      </c>
      <c r="D177" s="76" t="s">
        <v>959</v>
      </c>
      <c r="E177" s="72" t="s">
        <v>25</v>
      </c>
      <c r="F177" s="62">
        <f>VLOOKUP(A177,[1]基准价格!$A:$G,7,0)</f>
        <v>37.1</v>
      </c>
      <c r="G177" s="56">
        <f>SUMIF('2.报价结算清单'!$F$7:$F$679,$A177,'2.报价结算清单'!$L$7:$L$679)</f>
        <v>0</v>
      </c>
      <c r="H177" s="56">
        <f>SUMIF('2.报价结算清单'!$F$7:$F$679,$A177,'2.报价结算清单'!$N$7:$N$679)</f>
        <v>0</v>
      </c>
      <c r="I177" s="59">
        <f>SUMIF('2.报价结算清单'!$F$7:$F$679,A177,'2.报价结算清单'!$P$7:$P$679)</f>
        <v>0</v>
      </c>
    </row>
    <row r="178" spans="1:9">
      <c r="A178" s="74" t="s">
        <v>221</v>
      </c>
      <c r="B178" s="72"/>
      <c r="C178" s="72" t="s">
        <v>1305</v>
      </c>
      <c r="D178" s="76" t="s">
        <v>960</v>
      </c>
      <c r="E178" s="72" t="s">
        <v>23</v>
      </c>
      <c r="F178" s="62">
        <f>VLOOKUP(A178,[1]基准价格!$A:$G,7,0)</f>
        <v>53</v>
      </c>
      <c r="G178" s="56">
        <f>SUMIF('2.报价结算清单'!$F$7:$F$679,$A178,'2.报价结算清单'!$L$7:$L$679)</f>
        <v>0</v>
      </c>
      <c r="H178" s="56">
        <f>SUMIF('2.报价结算清单'!$F$7:$F$679,$A178,'2.报价结算清单'!$N$7:$N$679)</f>
        <v>0</v>
      </c>
      <c r="I178" s="59">
        <f>SUMIF('2.报价结算清单'!$F$7:$F$679,A178,'2.报价结算清单'!$P$7:$P$679)</f>
        <v>0</v>
      </c>
    </row>
    <row r="179" spans="1:9">
      <c r="A179" s="74" t="s">
        <v>222</v>
      </c>
      <c r="B179" s="72"/>
      <c r="C179" s="72" t="s">
        <v>1305</v>
      </c>
      <c r="D179" s="76" t="s">
        <v>961</v>
      </c>
      <c r="E179" s="72" t="s">
        <v>23</v>
      </c>
      <c r="F179" s="62">
        <f>VLOOKUP(A179,[1]基准价格!$A:$G,7,0)</f>
        <v>80</v>
      </c>
      <c r="G179" s="56">
        <f>SUMIF('2.报价结算清单'!$F$7:$F$679,$A179,'2.报价结算清单'!$L$7:$L$679)</f>
        <v>0</v>
      </c>
      <c r="H179" s="56">
        <f>SUMIF('2.报价结算清单'!$F$7:$F$679,$A179,'2.报价结算清单'!$N$7:$N$679)</f>
        <v>0</v>
      </c>
      <c r="I179" s="59">
        <f>SUMIF('2.报价结算清单'!$F$7:$F$679,A179,'2.报价结算清单'!$P$7:$P$679)</f>
        <v>0</v>
      </c>
    </row>
    <row r="180" spans="1:9">
      <c r="A180" s="74" t="s">
        <v>223</v>
      </c>
      <c r="B180" s="72"/>
      <c r="C180" s="72" t="s">
        <v>1305</v>
      </c>
      <c r="D180" s="76" t="s">
        <v>962</v>
      </c>
      <c r="E180" s="72" t="s">
        <v>23</v>
      </c>
      <c r="F180" s="62">
        <f>VLOOKUP(A180,[1]基准价格!$A:$G,7,0)</f>
        <v>46.67</v>
      </c>
      <c r="G180" s="56">
        <f>SUMIF('2.报价结算清单'!$F$7:$F$679,$A180,'2.报价结算清单'!$L$7:$L$679)</f>
        <v>0</v>
      </c>
      <c r="H180" s="56">
        <f>SUMIF('2.报价结算清单'!$F$7:$F$679,$A180,'2.报价结算清单'!$N$7:$N$679)</f>
        <v>0</v>
      </c>
      <c r="I180" s="59">
        <f>SUMIF('2.报价结算清单'!$F$7:$F$679,A180,'2.报价结算清单'!$P$7:$P$679)</f>
        <v>0</v>
      </c>
    </row>
    <row r="181" spans="1:9">
      <c r="A181" s="74" t="s">
        <v>224</v>
      </c>
      <c r="B181" s="72"/>
      <c r="C181" s="72" t="s">
        <v>1305</v>
      </c>
      <c r="D181" s="76" t="s">
        <v>963</v>
      </c>
      <c r="E181" s="72" t="s">
        <v>23</v>
      </c>
      <c r="F181" s="62">
        <f>VLOOKUP(A181,[1]基准价格!$A:$G,7,0)</f>
        <v>63.33</v>
      </c>
      <c r="G181" s="56">
        <f>SUMIF('2.报价结算清单'!$F$7:$F$679,$A181,'2.报价结算清单'!$L$7:$L$679)</f>
        <v>0</v>
      </c>
      <c r="H181" s="56">
        <f>SUMIF('2.报价结算清单'!$F$7:$F$679,$A181,'2.报价结算清单'!$N$7:$N$679)</f>
        <v>0</v>
      </c>
      <c r="I181" s="59">
        <f>SUMIF('2.报价结算清单'!$F$7:$F$679,A181,'2.报价结算清单'!$P$7:$P$679)</f>
        <v>0</v>
      </c>
    </row>
    <row r="182" spans="1:9" ht="28.5">
      <c r="A182" s="74" t="s">
        <v>225</v>
      </c>
      <c r="B182" s="72"/>
      <c r="C182" s="72" t="s">
        <v>1305</v>
      </c>
      <c r="D182" s="76" t="s">
        <v>964</v>
      </c>
      <c r="E182" s="72" t="s">
        <v>23</v>
      </c>
      <c r="F182" s="62">
        <f>VLOOKUP(A182,[1]基准价格!$A:$G,7,0)</f>
        <v>60</v>
      </c>
      <c r="G182" s="56">
        <f>SUMIF('2.报价结算清单'!$F$7:$F$679,$A182,'2.报价结算清单'!$L$7:$L$679)</f>
        <v>0</v>
      </c>
      <c r="H182" s="56">
        <f>SUMIF('2.报价结算清单'!$F$7:$F$679,$A182,'2.报价结算清单'!$N$7:$N$679)</f>
        <v>0</v>
      </c>
      <c r="I182" s="59">
        <f>SUMIF('2.报价结算清单'!$F$7:$F$679,A182,'2.报价结算清单'!$P$7:$P$679)</f>
        <v>0</v>
      </c>
    </row>
    <row r="183" spans="1:9" ht="28.5">
      <c r="A183" s="74" t="s">
        <v>226</v>
      </c>
      <c r="B183" s="72"/>
      <c r="C183" s="72" t="s">
        <v>1305</v>
      </c>
      <c r="D183" s="76" t="s">
        <v>965</v>
      </c>
      <c r="E183" s="72" t="s">
        <v>23</v>
      </c>
      <c r="F183" s="62">
        <f>VLOOKUP(A183,[1]基准价格!$A:$G,7,0)</f>
        <v>93.33</v>
      </c>
      <c r="G183" s="56">
        <f>SUMIF('2.报价结算清单'!$F$7:$F$679,$A183,'2.报价结算清单'!$L$7:$L$679)</f>
        <v>0</v>
      </c>
      <c r="H183" s="56">
        <f>SUMIF('2.报价结算清单'!$F$7:$F$679,$A183,'2.报价结算清单'!$N$7:$N$679)</f>
        <v>0</v>
      </c>
      <c r="I183" s="59">
        <f>SUMIF('2.报价结算清单'!$F$7:$F$679,A183,'2.报价结算清单'!$P$7:$P$679)</f>
        <v>0</v>
      </c>
    </row>
    <row r="184" spans="1:9" ht="28.5">
      <c r="A184" s="74" t="s">
        <v>227</v>
      </c>
      <c r="B184" s="72"/>
      <c r="C184" s="72" t="s">
        <v>1305</v>
      </c>
      <c r="D184" s="76" t="s">
        <v>966</v>
      </c>
      <c r="E184" s="72" t="s">
        <v>23</v>
      </c>
      <c r="F184" s="62">
        <f>VLOOKUP(A184,[1]基准价格!$A:$G,7,0)</f>
        <v>53</v>
      </c>
      <c r="G184" s="56">
        <f>SUMIF('2.报价结算清单'!$F$7:$F$679,$A184,'2.报价结算清单'!$L$7:$L$679)</f>
        <v>0</v>
      </c>
      <c r="H184" s="56">
        <f>SUMIF('2.报价结算清单'!$F$7:$F$679,$A184,'2.报价结算清单'!$N$7:$N$679)</f>
        <v>0</v>
      </c>
      <c r="I184" s="59">
        <f>SUMIF('2.报价结算清单'!$F$7:$F$679,A184,'2.报价结算清单'!$P$7:$P$679)</f>
        <v>0</v>
      </c>
    </row>
    <row r="185" spans="1:9" ht="28.5">
      <c r="A185" s="74" t="s">
        <v>228</v>
      </c>
      <c r="B185" s="72"/>
      <c r="C185" s="72" t="s">
        <v>1305</v>
      </c>
      <c r="D185" s="76" t="s">
        <v>967</v>
      </c>
      <c r="E185" s="72" t="s">
        <v>23</v>
      </c>
      <c r="F185" s="62">
        <f>VLOOKUP(A185,[1]基准价格!$A:$G,7,0)</f>
        <v>79.67</v>
      </c>
      <c r="G185" s="56">
        <f>SUMIF('2.报价结算清单'!$F$7:$F$679,$A185,'2.报价结算清单'!$L$7:$L$679)</f>
        <v>0</v>
      </c>
      <c r="H185" s="56">
        <f>SUMIF('2.报价结算清单'!$F$7:$F$679,$A185,'2.报价结算清单'!$N$7:$N$679)</f>
        <v>0</v>
      </c>
      <c r="I185" s="59">
        <f>SUMIF('2.报价结算清单'!$F$7:$F$679,A185,'2.报价结算清单'!$P$7:$P$679)</f>
        <v>0</v>
      </c>
    </row>
    <row r="186" spans="1:9" ht="28.5">
      <c r="A186" s="74" t="s">
        <v>229</v>
      </c>
      <c r="B186" s="72"/>
      <c r="C186" s="72" t="s">
        <v>1305</v>
      </c>
      <c r="D186" s="76" t="s">
        <v>968</v>
      </c>
      <c r="E186" s="72" t="s">
        <v>23</v>
      </c>
      <c r="F186" s="62">
        <f>VLOOKUP(A186,[1]基准价格!$A:$G,7,0)</f>
        <v>62.54</v>
      </c>
      <c r="G186" s="56">
        <f>SUMIF('2.报价结算清单'!$F$7:$F$679,$A186,'2.报价结算清单'!$L$7:$L$679)</f>
        <v>0</v>
      </c>
      <c r="H186" s="56">
        <f>SUMIF('2.报价结算清单'!$F$7:$F$679,$A186,'2.报价结算清单'!$N$7:$N$679)</f>
        <v>0</v>
      </c>
      <c r="I186" s="59">
        <f>SUMIF('2.报价结算清单'!$F$7:$F$679,A186,'2.报价结算清单'!$P$7:$P$679)</f>
        <v>0</v>
      </c>
    </row>
    <row r="187" spans="1:9" ht="28.5">
      <c r="A187" s="74" t="s">
        <v>230</v>
      </c>
      <c r="B187" s="72"/>
      <c r="C187" s="72" t="s">
        <v>1305</v>
      </c>
      <c r="D187" s="76" t="s">
        <v>969</v>
      </c>
      <c r="E187" s="72" t="s">
        <v>23</v>
      </c>
      <c r="F187" s="62">
        <f>VLOOKUP(A187,[1]基准价格!$A:$G,7,0)</f>
        <v>89.04</v>
      </c>
      <c r="G187" s="56">
        <f>SUMIF('2.报价结算清单'!$F$7:$F$679,$A187,'2.报价结算清单'!$L$7:$L$679)</f>
        <v>0</v>
      </c>
      <c r="H187" s="56">
        <f>SUMIF('2.报价结算清单'!$F$7:$F$679,$A187,'2.报价结算清单'!$N$7:$N$679)</f>
        <v>0</v>
      </c>
      <c r="I187" s="59">
        <f>SUMIF('2.报价结算清单'!$F$7:$F$679,A187,'2.报价结算清单'!$P$7:$P$679)</f>
        <v>0</v>
      </c>
    </row>
    <row r="188" spans="1:9">
      <c r="A188" s="74" t="s">
        <v>231</v>
      </c>
      <c r="B188" s="72"/>
      <c r="C188" s="72" t="s">
        <v>1305</v>
      </c>
      <c r="D188" s="76" t="s">
        <v>970</v>
      </c>
      <c r="E188" s="72" t="s">
        <v>23</v>
      </c>
      <c r="F188" s="62">
        <f>VLOOKUP(A188,[1]基准价格!$A:$G,7,0)</f>
        <v>73.33</v>
      </c>
      <c r="G188" s="56">
        <f>SUMIF('2.报价结算清单'!$F$7:$F$679,$A188,'2.报价结算清单'!$L$7:$L$679)</f>
        <v>0</v>
      </c>
      <c r="H188" s="56">
        <f>SUMIF('2.报价结算清单'!$F$7:$F$679,$A188,'2.报价结算清单'!$N$7:$N$679)</f>
        <v>0</v>
      </c>
      <c r="I188" s="59">
        <f>SUMIF('2.报价结算清单'!$F$7:$F$679,A188,'2.报价结算清单'!$P$7:$P$679)</f>
        <v>0</v>
      </c>
    </row>
    <row r="189" spans="1:9">
      <c r="A189" s="74" t="s">
        <v>232</v>
      </c>
      <c r="B189" s="72"/>
      <c r="C189" s="72" t="s">
        <v>1305</v>
      </c>
      <c r="D189" s="76" t="s">
        <v>971</v>
      </c>
      <c r="E189" s="72" t="s">
        <v>23</v>
      </c>
      <c r="F189" s="62">
        <f>VLOOKUP(A189,[1]基准价格!$A:$G,7,0)</f>
        <v>95</v>
      </c>
      <c r="G189" s="56">
        <f>SUMIF('2.报价结算清单'!$F$7:$F$679,$A189,'2.报价结算清单'!$L$7:$L$679)</f>
        <v>0</v>
      </c>
      <c r="H189" s="56">
        <f>SUMIF('2.报价结算清单'!$F$7:$F$679,$A189,'2.报价结算清单'!$N$7:$N$679)</f>
        <v>0</v>
      </c>
      <c r="I189" s="59">
        <f>SUMIF('2.报价结算清单'!$F$7:$F$679,A189,'2.报价结算清单'!$P$7:$P$679)</f>
        <v>0</v>
      </c>
    </row>
    <row r="190" spans="1:9">
      <c r="A190" s="74" t="s">
        <v>233</v>
      </c>
      <c r="B190" s="72"/>
      <c r="C190" s="72" t="s">
        <v>1305</v>
      </c>
      <c r="D190" s="76" t="s">
        <v>972</v>
      </c>
      <c r="E190" s="72" t="s">
        <v>23</v>
      </c>
      <c r="F190" s="62">
        <f>VLOOKUP(A190,[1]基准价格!$A:$G,7,0)</f>
        <v>74.2</v>
      </c>
      <c r="G190" s="56">
        <f>SUMIF('2.报价结算清单'!$F$7:$F$679,$A190,'2.报价结算清单'!$L$7:$L$679)</f>
        <v>0</v>
      </c>
      <c r="H190" s="56">
        <f>SUMIF('2.报价结算清单'!$F$7:$F$679,$A190,'2.报价结算清单'!$N$7:$N$679)</f>
        <v>0</v>
      </c>
      <c r="I190" s="59">
        <f>SUMIF('2.报价结算清单'!$F$7:$F$679,A190,'2.报价结算清单'!$P$7:$P$679)</f>
        <v>0</v>
      </c>
    </row>
    <row r="191" spans="1:9">
      <c r="A191" s="74" t="s">
        <v>234</v>
      </c>
      <c r="B191" s="72"/>
      <c r="C191" s="72" t="s">
        <v>1305</v>
      </c>
      <c r="D191" s="76" t="s">
        <v>973</v>
      </c>
      <c r="E191" s="72" t="s">
        <v>23</v>
      </c>
      <c r="F191" s="62">
        <f>VLOOKUP(A191,[1]基准价格!$A:$G,7,0)</f>
        <v>63</v>
      </c>
      <c r="G191" s="56">
        <f>SUMIF('2.报价结算清单'!$F$7:$F$679,$A191,'2.报价结算清单'!$L$7:$L$679)</f>
        <v>0</v>
      </c>
      <c r="H191" s="56">
        <f>SUMIF('2.报价结算清单'!$F$7:$F$679,$A191,'2.报价结算清单'!$N$7:$N$679)</f>
        <v>0</v>
      </c>
      <c r="I191" s="59">
        <f>SUMIF('2.报价结算清单'!$F$7:$F$679,A191,'2.报价结算清单'!$P$7:$P$679)</f>
        <v>0</v>
      </c>
    </row>
    <row r="192" spans="1:9">
      <c r="A192" s="74" t="s">
        <v>235</v>
      </c>
      <c r="B192" s="72"/>
      <c r="C192" s="72" t="s">
        <v>1305</v>
      </c>
      <c r="D192" s="76" t="s">
        <v>974</v>
      </c>
      <c r="E192" s="72" t="s">
        <v>23</v>
      </c>
      <c r="F192" s="62">
        <f>VLOOKUP(A192,[1]基准价格!$A:$G,7,0)</f>
        <v>42.4</v>
      </c>
      <c r="G192" s="56">
        <f>SUMIF('2.报价结算清单'!$F$7:$F$679,$A192,'2.报价结算清单'!$L$7:$L$679)</f>
        <v>0</v>
      </c>
      <c r="H192" s="56">
        <f>SUMIF('2.报价结算清单'!$F$7:$F$679,$A192,'2.报价结算清单'!$N$7:$N$679)</f>
        <v>0</v>
      </c>
      <c r="I192" s="59">
        <f>SUMIF('2.报价结算清单'!$F$7:$F$679,A192,'2.报价结算清单'!$P$7:$P$679)</f>
        <v>0</v>
      </c>
    </row>
    <row r="193" spans="1:9">
      <c r="A193" s="74" t="s">
        <v>236</v>
      </c>
      <c r="B193" s="72"/>
      <c r="C193" s="72" t="s">
        <v>1305</v>
      </c>
      <c r="D193" s="76" t="s">
        <v>975</v>
      </c>
      <c r="E193" s="72" t="s">
        <v>23</v>
      </c>
      <c r="F193" s="62">
        <f>VLOOKUP(A193,[1]基准价格!$A:$G,7,0)</f>
        <v>198.33</v>
      </c>
      <c r="G193" s="56">
        <f>SUMIF('2.报价结算清单'!$F$7:$F$679,$A193,'2.报价结算清单'!$L$7:$L$679)</f>
        <v>0</v>
      </c>
      <c r="H193" s="56">
        <f>SUMIF('2.报价结算清单'!$F$7:$F$679,$A193,'2.报价结算清单'!$N$7:$N$679)</f>
        <v>0</v>
      </c>
      <c r="I193" s="59">
        <f>SUMIF('2.报价结算清单'!$F$7:$F$679,A193,'2.报价结算清单'!$P$7:$P$679)</f>
        <v>0</v>
      </c>
    </row>
    <row r="194" spans="1:9">
      <c r="A194" s="74" t="s">
        <v>237</v>
      </c>
      <c r="B194" s="72"/>
      <c r="C194" s="72" t="s">
        <v>1305</v>
      </c>
      <c r="D194" s="76" t="s">
        <v>976</v>
      </c>
      <c r="E194" s="72" t="s">
        <v>23</v>
      </c>
      <c r="F194" s="62">
        <f>VLOOKUP(A194,[1]基准价格!$A:$G,7,0)</f>
        <v>37</v>
      </c>
      <c r="G194" s="56">
        <f>SUMIF('2.报价结算清单'!$F$7:$F$679,$A194,'2.报价结算清单'!$L$7:$L$679)</f>
        <v>0</v>
      </c>
      <c r="H194" s="56">
        <f>SUMIF('2.报价结算清单'!$F$7:$F$679,$A194,'2.报价结算清单'!$N$7:$N$679)</f>
        <v>0</v>
      </c>
      <c r="I194" s="59">
        <f>SUMIF('2.报价结算清单'!$F$7:$F$679,A194,'2.报价结算清单'!$P$7:$P$679)</f>
        <v>0</v>
      </c>
    </row>
    <row r="195" spans="1:9">
      <c r="A195" s="74" t="s">
        <v>238</v>
      </c>
      <c r="B195" s="72"/>
      <c r="C195" s="72" t="s">
        <v>1305</v>
      </c>
      <c r="D195" s="76" t="s">
        <v>977</v>
      </c>
      <c r="E195" s="72" t="s">
        <v>23</v>
      </c>
      <c r="F195" s="62">
        <f>VLOOKUP(A195,[1]基准价格!$A:$G,7,0)</f>
        <v>55</v>
      </c>
      <c r="G195" s="56">
        <f>SUMIF('2.报价结算清单'!$F$7:$F$679,$A195,'2.报价结算清单'!$L$7:$L$679)</f>
        <v>0</v>
      </c>
      <c r="H195" s="56">
        <f>SUMIF('2.报价结算清单'!$F$7:$F$679,$A195,'2.报价结算清单'!$N$7:$N$679)</f>
        <v>0</v>
      </c>
      <c r="I195" s="59">
        <f>SUMIF('2.报价结算清单'!$F$7:$F$679,A195,'2.报价结算清单'!$P$7:$P$679)</f>
        <v>0</v>
      </c>
    </row>
    <row r="196" spans="1:9">
      <c r="A196" s="74" t="s">
        <v>239</v>
      </c>
      <c r="B196" s="72"/>
      <c r="C196" s="72" t="s">
        <v>1305</v>
      </c>
      <c r="D196" s="76" t="s">
        <v>978</v>
      </c>
      <c r="E196" s="72" t="s">
        <v>23</v>
      </c>
      <c r="F196" s="62">
        <f>VLOOKUP(A196,[1]基准价格!$A:$G,7,0)</f>
        <v>63</v>
      </c>
      <c r="G196" s="56">
        <f>SUMIF('2.报价结算清单'!$F$7:$F$679,$A196,'2.报价结算清单'!$L$7:$L$679)</f>
        <v>0</v>
      </c>
      <c r="H196" s="56">
        <f>SUMIF('2.报价结算清单'!$F$7:$F$679,$A196,'2.报价结算清单'!$N$7:$N$679)</f>
        <v>0</v>
      </c>
      <c r="I196" s="59">
        <f>SUMIF('2.报价结算清单'!$F$7:$F$679,A196,'2.报价结算清单'!$P$7:$P$679)</f>
        <v>0</v>
      </c>
    </row>
    <row r="197" spans="1:9">
      <c r="A197" s="74" t="s">
        <v>240</v>
      </c>
      <c r="B197" s="72"/>
      <c r="C197" s="72" t="s">
        <v>1305</v>
      </c>
      <c r="D197" s="76" t="s">
        <v>979</v>
      </c>
      <c r="E197" s="72" t="s">
        <v>23</v>
      </c>
      <c r="F197" s="62">
        <f>VLOOKUP(A197,[1]基准价格!$A:$G,7,0)</f>
        <v>58.3</v>
      </c>
      <c r="G197" s="56">
        <f>SUMIF('2.报价结算清单'!$F$7:$F$679,$A197,'2.报价结算清单'!$L$7:$L$679)</f>
        <v>0</v>
      </c>
      <c r="H197" s="56">
        <f>SUMIF('2.报价结算清单'!$F$7:$F$679,$A197,'2.报价结算清单'!$N$7:$N$679)</f>
        <v>0</v>
      </c>
      <c r="I197" s="59">
        <f>SUMIF('2.报价结算清单'!$F$7:$F$679,A197,'2.报价结算清单'!$P$7:$P$679)</f>
        <v>0</v>
      </c>
    </row>
    <row r="198" spans="1:9">
      <c r="A198" s="74" t="s">
        <v>241</v>
      </c>
      <c r="B198" s="72"/>
      <c r="C198" s="72" t="s">
        <v>1305</v>
      </c>
      <c r="D198" s="76" t="s">
        <v>980</v>
      </c>
      <c r="E198" s="72" t="s">
        <v>23</v>
      </c>
      <c r="F198" s="62">
        <f>VLOOKUP(A198,[1]基准价格!$A:$G,7,0)</f>
        <v>56</v>
      </c>
      <c r="G198" s="56">
        <f>SUMIF('2.报价结算清单'!$F$7:$F$679,$A198,'2.报价结算清单'!$L$7:$L$679)</f>
        <v>0</v>
      </c>
      <c r="H198" s="56">
        <f>SUMIF('2.报价结算清单'!$F$7:$F$679,$A198,'2.报价结算清单'!$N$7:$N$679)</f>
        <v>0</v>
      </c>
      <c r="I198" s="59">
        <f>SUMIF('2.报价结算清单'!$F$7:$F$679,A198,'2.报价结算清单'!$P$7:$P$679)</f>
        <v>0</v>
      </c>
    </row>
    <row r="199" spans="1:9">
      <c r="A199" s="74" t="s">
        <v>242</v>
      </c>
      <c r="B199" s="72"/>
      <c r="C199" s="72" t="s">
        <v>1305</v>
      </c>
      <c r="D199" s="76" t="s">
        <v>981</v>
      </c>
      <c r="E199" s="72" t="s">
        <v>29</v>
      </c>
      <c r="F199" s="62">
        <f>VLOOKUP(A199,[1]基准价格!$A:$G,7,0)</f>
        <v>1.3</v>
      </c>
      <c r="G199" s="56">
        <f>SUMIF('2.报价结算清单'!$F$7:$F$679,$A199,'2.报价结算清单'!$L$7:$L$679)</f>
        <v>0</v>
      </c>
      <c r="H199" s="56">
        <f>SUMIF('2.报价结算清单'!$F$7:$F$679,$A199,'2.报价结算清单'!$N$7:$N$679)</f>
        <v>0</v>
      </c>
      <c r="I199" s="59">
        <f>SUMIF('2.报价结算清单'!$F$7:$F$679,A199,'2.报价结算清单'!$P$7:$P$679)</f>
        <v>0</v>
      </c>
    </row>
    <row r="200" spans="1:9">
      <c r="A200" s="74" t="s">
        <v>243</v>
      </c>
      <c r="B200" s="72"/>
      <c r="C200" s="72" t="s">
        <v>1305</v>
      </c>
      <c r="D200" s="76" t="s">
        <v>982</v>
      </c>
      <c r="E200" s="72" t="s">
        <v>29</v>
      </c>
      <c r="F200" s="62">
        <f>VLOOKUP(A200,[1]基准价格!$A:$G,7,0)</f>
        <v>1</v>
      </c>
      <c r="G200" s="56">
        <f>SUMIF('2.报价结算清单'!$F$7:$F$679,$A200,'2.报价结算清单'!$L$7:$L$679)</f>
        <v>0</v>
      </c>
      <c r="H200" s="56">
        <f>SUMIF('2.报价结算清单'!$F$7:$F$679,$A200,'2.报价结算清单'!$N$7:$N$679)</f>
        <v>0</v>
      </c>
      <c r="I200" s="59">
        <f>SUMIF('2.报价结算清单'!$F$7:$F$679,A200,'2.报价结算清单'!$P$7:$P$679)</f>
        <v>0</v>
      </c>
    </row>
    <row r="201" spans="1:9">
      <c r="A201" s="74" t="s">
        <v>244</v>
      </c>
      <c r="B201" s="72"/>
      <c r="C201" s="72" t="s">
        <v>1305</v>
      </c>
      <c r="D201" s="76" t="s">
        <v>983</v>
      </c>
      <c r="E201" s="72" t="s">
        <v>29</v>
      </c>
      <c r="F201" s="62">
        <f>VLOOKUP(A201,[1]基准价格!$A:$G,7,0)</f>
        <v>1.5</v>
      </c>
      <c r="G201" s="56">
        <f>SUMIF('2.报价结算清单'!$F$7:$F$679,$A201,'2.报价结算清单'!$L$7:$L$679)</f>
        <v>0</v>
      </c>
      <c r="H201" s="56">
        <f>SUMIF('2.报价结算清单'!$F$7:$F$679,$A201,'2.报价结算清单'!$N$7:$N$679)</f>
        <v>0</v>
      </c>
      <c r="I201" s="59">
        <f>SUMIF('2.报价结算清单'!$F$7:$F$679,A201,'2.报价结算清单'!$P$7:$P$679)</f>
        <v>0</v>
      </c>
    </row>
    <row r="202" spans="1:9">
      <c r="A202" s="74" t="s">
        <v>245</v>
      </c>
      <c r="B202" s="72"/>
      <c r="C202" s="72" t="s">
        <v>1305</v>
      </c>
      <c r="D202" s="76" t="s">
        <v>984</v>
      </c>
      <c r="E202" s="72" t="s">
        <v>29</v>
      </c>
      <c r="F202" s="62">
        <f>VLOOKUP(A202,[1]基准价格!$A:$G,7,0)</f>
        <v>1.22</v>
      </c>
      <c r="G202" s="56">
        <f>SUMIF('2.报价结算清单'!$F$7:$F$679,$A202,'2.报价结算清单'!$L$7:$L$679)</f>
        <v>0</v>
      </c>
      <c r="H202" s="56">
        <f>SUMIF('2.报价结算清单'!$F$7:$F$679,$A202,'2.报价结算清单'!$N$7:$N$679)</f>
        <v>0</v>
      </c>
      <c r="I202" s="59">
        <f>SUMIF('2.报价结算清单'!$F$7:$F$679,A202,'2.报价结算清单'!$P$7:$P$679)</f>
        <v>0</v>
      </c>
    </row>
    <row r="203" spans="1:9">
      <c r="A203" s="74" t="s">
        <v>246</v>
      </c>
      <c r="B203" s="72"/>
      <c r="C203" s="72" t="s">
        <v>1305</v>
      </c>
      <c r="D203" s="76" t="s">
        <v>985</v>
      </c>
      <c r="E203" s="72" t="s">
        <v>29</v>
      </c>
      <c r="F203" s="62">
        <f>VLOOKUP(A203,[1]基准价格!$A:$G,7,0)</f>
        <v>1.91</v>
      </c>
      <c r="G203" s="56">
        <f>SUMIF('2.报价结算清单'!$F$7:$F$679,$A203,'2.报价结算清单'!$L$7:$L$679)</f>
        <v>0</v>
      </c>
      <c r="H203" s="56">
        <f>SUMIF('2.报价结算清单'!$F$7:$F$679,$A203,'2.报价结算清单'!$N$7:$N$679)</f>
        <v>0</v>
      </c>
      <c r="I203" s="59">
        <f>SUMIF('2.报价结算清单'!$F$7:$F$679,A203,'2.报价结算清单'!$P$7:$P$679)</f>
        <v>0</v>
      </c>
    </row>
    <row r="204" spans="1:9">
      <c r="A204" s="74" t="s">
        <v>247</v>
      </c>
      <c r="B204" s="72"/>
      <c r="C204" s="72" t="s">
        <v>1305</v>
      </c>
      <c r="D204" s="76" t="s">
        <v>986</v>
      </c>
      <c r="E204" s="72" t="s">
        <v>29</v>
      </c>
      <c r="F204" s="62">
        <f>VLOOKUP(A204,[1]基准价格!$A:$G,7,0)</f>
        <v>1.5</v>
      </c>
      <c r="G204" s="56">
        <f>SUMIF('2.报价结算清单'!$F$7:$F$679,$A204,'2.报价结算清单'!$L$7:$L$679)</f>
        <v>1990</v>
      </c>
      <c r="H204" s="56">
        <f>SUMIF('2.报价结算清单'!$F$7:$F$679,$A204,'2.报价结算清单'!$N$7:$N$679)</f>
        <v>3</v>
      </c>
      <c r="I204" s="59">
        <f>SUMIF('2.报价结算清单'!$F$7:$F$679,A204,'2.报价结算清单'!$P$7:$P$679)</f>
        <v>2985</v>
      </c>
    </row>
    <row r="205" spans="1:9">
      <c r="A205" s="74" t="s">
        <v>248</v>
      </c>
      <c r="B205" s="72"/>
      <c r="C205" s="72" t="s">
        <v>1305</v>
      </c>
      <c r="D205" s="76" t="s">
        <v>987</v>
      </c>
      <c r="E205" s="72" t="s">
        <v>29</v>
      </c>
      <c r="F205" s="62">
        <f>VLOOKUP(A205,[1]基准价格!$A:$G,7,0)</f>
        <v>1.73</v>
      </c>
      <c r="G205" s="56">
        <f>SUMIF('2.报价结算清单'!$F$7:$F$679,$A205,'2.报价结算清单'!$L$7:$L$679)</f>
        <v>0</v>
      </c>
      <c r="H205" s="56">
        <f>SUMIF('2.报价结算清单'!$F$7:$F$679,$A205,'2.报价结算清单'!$N$7:$N$679)</f>
        <v>0</v>
      </c>
      <c r="I205" s="59">
        <f>SUMIF('2.报价结算清单'!$F$7:$F$679,A205,'2.报价结算清单'!$P$7:$P$679)</f>
        <v>0</v>
      </c>
    </row>
    <row r="206" spans="1:9">
      <c r="A206" s="74" t="s">
        <v>249</v>
      </c>
      <c r="B206" s="72"/>
      <c r="C206" s="72" t="s">
        <v>1305</v>
      </c>
      <c r="D206" s="76" t="s">
        <v>988</v>
      </c>
      <c r="E206" s="72" t="s">
        <v>29</v>
      </c>
      <c r="F206" s="62">
        <f>VLOOKUP(A206,[1]基准价格!$A:$G,7,0)</f>
        <v>1.6</v>
      </c>
      <c r="G206" s="56">
        <f>SUMIF('2.报价结算清单'!$F$7:$F$679,$A206,'2.报价结算清单'!$L$7:$L$679)</f>
        <v>0</v>
      </c>
      <c r="H206" s="56">
        <f>SUMIF('2.报价结算清单'!$F$7:$F$679,$A206,'2.报价结算清单'!$N$7:$N$679)</f>
        <v>0</v>
      </c>
      <c r="I206" s="59">
        <f>SUMIF('2.报价结算清单'!$F$7:$F$679,A206,'2.报价结算清单'!$P$7:$P$679)</f>
        <v>0</v>
      </c>
    </row>
    <row r="207" spans="1:9">
      <c r="A207" s="74" t="s">
        <v>250</v>
      </c>
      <c r="B207" s="72"/>
      <c r="C207" s="72" t="s">
        <v>1305</v>
      </c>
      <c r="D207" s="76" t="s">
        <v>989</v>
      </c>
      <c r="E207" s="72" t="s">
        <v>29</v>
      </c>
      <c r="F207" s="62">
        <f>VLOOKUP(A207,[1]基准价格!$A:$G,7,0)</f>
        <v>2.12</v>
      </c>
      <c r="G207" s="56">
        <f>SUMIF('2.报价结算清单'!$F$7:$F$679,$A207,'2.报价结算清单'!$L$7:$L$679)</f>
        <v>0</v>
      </c>
      <c r="H207" s="56">
        <f>SUMIF('2.报价结算清单'!$F$7:$F$679,$A207,'2.报价结算清单'!$N$7:$N$679)</f>
        <v>0</v>
      </c>
      <c r="I207" s="59">
        <f>SUMIF('2.报价结算清单'!$F$7:$F$679,A207,'2.报价结算清单'!$P$7:$P$679)</f>
        <v>0</v>
      </c>
    </row>
    <row r="208" spans="1:9">
      <c r="A208" s="74" t="s">
        <v>251</v>
      </c>
      <c r="B208" s="72"/>
      <c r="C208" s="72" t="s">
        <v>1305</v>
      </c>
      <c r="D208" s="76" t="s">
        <v>990</v>
      </c>
      <c r="E208" s="72" t="s">
        <v>29</v>
      </c>
      <c r="F208" s="62">
        <f>VLOOKUP(A208,[1]基准价格!$A:$G,7,0)</f>
        <v>1.6</v>
      </c>
      <c r="G208" s="56">
        <f>SUMIF('2.报价结算清单'!$F$7:$F$679,$A208,'2.报价结算清单'!$L$7:$L$679)</f>
        <v>0</v>
      </c>
      <c r="H208" s="56">
        <f>SUMIF('2.报价结算清单'!$F$7:$F$679,$A208,'2.报价结算清单'!$N$7:$N$679)</f>
        <v>0</v>
      </c>
      <c r="I208" s="59">
        <f>SUMIF('2.报价结算清单'!$F$7:$F$679,A208,'2.报价结算清单'!$P$7:$P$679)</f>
        <v>0</v>
      </c>
    </row>
    <row r="209" spans="1:9">
      <c r="A209" s="74" t="s">
        <v>252</v>
      </c>
      <c r="B209" s="72"/>
      <c r="C209" s="72" t="s">
        <v>1305</v>
      </c>
      <c r="D209" s="76" t="s">
        <v>991</v>
      </c>
      <c r="E209" s="72" t="s">
        <v>29</v>
      </c>
      <c r="F209" s="62">
        <f>VLOOKUP(A209,[1]基准价格!$A:$G,7,0)</f>
        <v>2.4300000000000002</v>
      </c>
      <c r="G209" s="56">
        <f>SUMIF('2.报价结算清单'!$F$7:$F$679,$A209,'2.报价结算清单'!$L$7:$L$679)</f>
        <v>0</v>
      </c>
      <c r="H209" s="56">
        <f>SUMIF('2.报价结算清单'!$F$7:$F$679,$A209,'2.报价结算清单'!$N$7:$N$679)</f>
        <v>0</v>
      </c>
      <c r="I209" s="59">
        <f>SUMIF('2.报价结算清单'!$F$7:$F$679,A209,'2.报价结算清单'!$P$7:$P$679)</f>
        <v>0</v>
      </c>
    </row>
    <row r="210" spans="1:9">
      <c r="A210" s="74" t="s">
        <v>253</v>
      </c>
      <c r="B210" s="72"/>
      <c r="C210" s="72" t="s">
        <v>1305</v>
      </c>
      <c r="D210" s="76" t="s">
        <v>992</v>
      </c>
      <c r="E210" s="72" t="s">
        <v>29</v>
      </c>
      <c r="F210" s="62">
        <f>VLOOKUP(A210,[1]基准价格!$A:$G,7,0)</f>
        <v>1.93</v>
      </c>
      <c r="G210" s="56">
        <f>SUMIF('2.报价结算清单'!$F$7:$F$679,$A210,'2.报价结算清单'!$L$7:$L$679)</f>
        <v>0</v>
      </c>
      <c r="H210" s="56">
        <f>SUMIF('2.报价结算清单'!$F$7:$F$679,$A210,'2.报价结算清单'!$N$7:$N$679)</f>
        <v>0</v>
      </c>
      <c r="I210" s="59">
        <f>SUMIF('2.报价结算清单'!$F$7:$F$679,A210,'2.报价结算清单'!$P$7:$P$679)</f>
        <v>0</v>
      </c>
    </row>
    <row r="211" spans="1:9">
      <c r="A211" s="74" t="s">
        <v>254</v>
      </c>
      <c r="B211" s="72"/>
      <c r="C211" s="72" t="s">
        <v>1305</v>
      </c>
      <c r="D211" s="76" t="s">
        <v>993</v>
      </c>
      <c r="E211" s="72" t="s">
        <v>29</v>
      </c>
      <c r="F211" s="62">
        <f>VLOOKUP(A211,[1]基准价格!$A:$G,7,0)</f>
        <v>5.83</v>
      </c>
      <c r="G211" s="56">
        <f>SUMIF('2.报价结算清单'!$F$7:$F$679,$A211,'2.报价结算清单'!$L$7:$L$679)</f>
        <v>0</v>
      </c>
      <c r="H211" s="56">
        <f>SUMIF('2.报价结算清单'!$F$7:$F$679,$A211,'2.报价结算清单'!$N$7:$N$679)</f>
        <v>0</v>
      </c>
      <c r="I211" s="59">
        <f>SUMIF('2.报价结算清单'!$F$7:$F$679,A211,'2.报价结算清单'!$P$7:$P$679)</f>
        <v>0</v>
      </c>
    </row>
    <row r="212" spans="1:9">
      <c r="A212" s="74" t="s">
        <v>255</v>
      </c>
      <c r="B212" s="72"/>
      <c r="C212" s="72" t="s">
        <v>1305</v>
      </c>
      <c r="D212" s="76" t="s">
        <v>994</v>
      </c>
      <c r="E212" s="72" t="s">
        <v>27</v>
      </c>
      <c r="F212" s="62">
        <f>VLOOKUP(A212,[1]基准价格!$A:$G,7,0)</f>
        <v>4.5</v>
      </c>
      <c r="G212" s="56">
        <f>SUMIF('2.报价结算清单'!$F$7:$F$679,$A212,'2.报价结算清单'!$L$7:$L$679)</f>
        <v>0</v>
      </c>
      <c r="H212" s="56">
        <f>SUMIF('2.报价结算清单'!$F$7:$F$679,$A212,'2.报价结算清单'!$N$7:$N$679)</f>
        <v>0</v>
      </c>
      <c r="I212" s="59">
        <f>SUMIF('2.报价结算清单'!$F$7:$F$679,A212,'2.报价结算清单'!$P$7:$P$679)</f>
        <v>0</v>
      </c>
    </row>
    <row r="213" spans="1:9" ht="28.5">
      <c r="A213" s="74" t="s">
        <v>256</v>
      </c>
      <c r="B213" s="72"/>
      <c r="C213" s="72" t="s">
        <v>1305</v>
      </c>
      <c r="D213" s="76" t="s">
        <v>995</v>
      </c>
      <c r="E213" s="72" t="s">
        <v>27</v>
      </c>
      <c r="F213" s="62">
        <f>VLOOKUP(A213,[1]基准价格!$A:$G,7,0)</f>
        <v>10.6</v>
      </c>
      <c r="G213" s="56">
        <f>SUMIF('2.报价结算清单'!$F$7:$F$679,$A213,'2.报价结算清单'!$L$7:$L$679)</f>
        <v>0</v>
      </c>
      <c r="H213" s="56">
        <f>SUMIF('2.报价结算清单'!$F$7:$F$679,$A213,'2.报价结算清单'!$N$7:$N$679)</f>
        <v>0</v>
      </c>
      <c r="I213" s="59">
        <f>SUMIF('2.报价结算清单'!$F$7:$F$679,A213,'2.报价结算清单'!$P$7:$P$679)</f>
        <v>0</v>
      </c>
    </row>
    <row r="214" spans="1:9" ht="28.5">
      <c r="A214" s="74" t="s">
        <v>257</v>
      </c>
      <c r="B214" s="72"/>
      <c r="C214" s="72" t="s">
        <v>1305</v>
      </c>
      <c r="D214" s="76" t="s">
        <v>996</v>
      </c>
      <c r="E214" s="72" t="s">
        <v>27</v>
      </c>
      <c r="F214" s="62">
        <f>VLOOKUP(A214,[1]基准价格!$A:$G,7,0)</f>
        <v>10.6</v>
      </c>
      <c r="G214" s="56">
        <f>SUMIF('2.报价结算清单'!$F$7:$F$679,$A214,'2.报价结算清单'!$L$7:$L$679)</f>
        <v>0</v>
      </c>
      <c r="H214" s="56">
        <f>SUMIF('2.报价结算清单'!$F$7:$F$679,$A214,'2.报价结算清单'!$N$7:$N$679)</f>
        <v>0</v>
      </c>
      <c r="I214" s="59">
        <f>SUMIF('2.报价结算清单'!$F$7:$F$679,A214,'2.报价结算清单'!$P$7:$P$679)</f>
        <v>0</v>
      </c>
    </row>
    <row r="215" spans="1:9" ht="28.5">
      <c r="A215" s="74" t="s">
        <v>258</v>
      </c>
      <c r="B215" s="72"/>
      <c r="C215" s="72" t="s">
        <v>1305</v>
      </c>
      <c r="D215" s="76" t="s">
        <v>997</v>
      </c>
      <c r="E215" s="72" t="s">
        <v>27</v>
      </c>
      <c r="F215" s="62">
        <f>VLOOKUP(A215,[1]基准价格!$A:$G,7,0)</f>
        <v>6.36</v>
      </c>
      <c r="G215" s="56">
        <f>SUMIF('2.报价结算清单'!$F$7:$F$679,$A215,'2.报价结算清单'!$L$7:$L$679)</f>
        <v>0</v>
      </c>
      <c r="H215" s="56">
        <f>SUMIF('2.报价结算清单'!$F$7:$F$679,$A215,'2.报价结算清单'!$N$7:$N$679)</f>
        <v>0</v>
      </c>
      <c r="I215" s="59">
        <f>SUMIF('2.报价结算清单'!$F$7:$F$679,A215,'2.报价结算清单'!$P$7:$P$679)</f>
        <v>0</v>
      </c>
    </row>
    <row r="216" spans="1:9">
      <c r="A216" s="74" t="s">
        <v>259</v>
      </c>
      <c r="B216" s="72"/>
      <c r="C216" s="72" t="s">
        <v>1305</v>
      </c>
      <c r="D216" s="76" t="s">
        <v>998</v>
      </c>
      <c r="E216" s="72" t="s">
        <v>26</v>
      </c>
      <c r="F216" s="62">
        <f>VLOOKUP(A216,[1]基准价格!$A:$G,7,0)</f>
        <v>21.2</v>
      </c>
      <c r="G216" s="56">
        <f>SUMIF('2.报价结算清单'!$F$7:$F$679,$A216,'2.报价结算清单'!$L$7:$L$679)</f>
        <v>0</v>
      </c>
      <c r="H216" s="56">
        <f>SUMIF('2.报价结算清单'!$F$7:$F$679,$A216,'2.报价结算清单'!$N$7:$N$679)</f>
        <v>0</v>
      </c>
      <c r="I216" s="59">
        <f>SUMIF('2.报价结算清单'!$F$7:$F$679,A216,'2.报价结算清单'!$P$7:$P$679)</f>
        <v>0</v>
      </c>
    </row>
    <row r="217" spans="1:9">
      <c r="A217" s="74" t="s">
        <v>260</v>
      </c>
      <c r="B217" s="72"/>
      <c r="C217" s="72" t="s">
        <v>1305</v>
      </c>
      <c r="D217" s="76" t="s">
        <v>999</v>
      </c>
      <c r="E217" s="72" t="s">
        <v>29</v>
      </c>
      <c r="F217" s="62">
        <f>VLOOKUP(A217,[1]基准价格!$A:$G,7,0)</f>
        <v>2.12</v>
      </c>
      <c r="G217" s="56">
        <f>SUMIF('2.报价结算清单'!$F$7:$F$679,$A217,'2.报价结算清单'!$L$7:$L$679)</f>
        <v>0</v>
      </c>
      <c r="H217" s="56">
        <f>SUMIF('2.报价结算清单'!$F$7:$F$679,$A217,'2.报价结算清单'!$N$7:$N$679)</f>
        <v>0</v>
      </c>
      <c r="I217" s="59">
        <f>SUMIF('2.报价结算清单'!$F$7:$F$679,A217,'2.报价结算清单'!$P$7:$P$679)</f>
        <v>0</v>
      </c>
    </row>
    <row r="218" spans="1:9">
      <c r="A218" s="74" t="s">
        <v>261</v>
      </c>
      <c r="B218" s="72"/>
      <c r="C218" s="72" t="s">
        <v>1305</v>
      </c>
      <c r="D218" s="76" t="s">
        <v>1000</v>
      </c>
      <c r="E218" s="72" t="s">
        <v>29</v>
      </c>
      <c r="F218" s="62">
        <f>VLOOKUP(A218,[1]基准价格!$A:$G,7,0)</f>
        <v>0.95</v>
      </c>
      <c r="G218" s="56">
        <f>SUMIF('2.报价结算清单'!$F$7:$F$679,$A218,'2.报价结算清单'!$L$7:$L$679)</f>
        <v>0</v>
      </c>
      <c r="H218" s="56">
        <f>SUMIF('2.报价结算清单'!$F$7:$F$679,$A218,'2.报价结算清单'!$N$7:$N$679)</f>
        <v>0</v>
      </c>
      <c r="I218" s="59">
        <f>SUMIF('2.报价结算清单'!$F$7:$F$679,A218,'2.报价结算清单'!$P$7:$P$679)</f>
        <v>0</v>
      </c>
    </row>
    <row r="219" spans="1:9">
      <c r="A219" s="74" t="s">
        <v>262</v>
      </c>
      <c r="B219" s="72"/>
      <c r="C219" s="72" t="s">
        <v>1305</v>
      </c>
      <c r="D219" s="76" t="s">
        <v>1001</v>
      </c>
      <c r="E219" s="72" t="s">
        <v>29</v>
      </c>
      <c r="F219" s="62">
        <f>VLOOKUP(A219,[1]基准价格!$A:$G,7,0)</f>
        <v>0.95</v>
      </c>
      <c r="G219" s="56">
        <f>SUMIF('2.报价结算清单'!$F$7:$F$679,$A219,'2.报价结算清单'!$L$7:$L$679)</f>
        <v>500</v>
      </c>
      <c r="H219" s="56">
        <f>SUMIF('2.报价结算清单'!$F$7:$F$679,$A219,'2.报价结算清单'!$N$7:$N$679)</f>
        <v>1</v>
      </c>
      <c r="I219" s="59">
        <f>SUMIF('2.报价结算清单'!$F$7:$F$679,A219,'2.报价结算清单'!$P$7:$P$679)</f>
        <v>475</v>
      </c>
    </row>
    <row r="220" spans="1:9" ht="28.5">
      <c r="A220" s="74" t="s">
        <v>263</v>
      </c>
      <c r="B220" s="72"/>
      <c r="C220" s="72" t="s">
        <v>1305</v>
      </c>
      <c r="D220" s="76" t="s">
        <v>1002</v>
      </c>
      <c r="E220" s="72" t="s">
        <v>30</v>
      </c>
      <c r="F220" s="62">
        <f>VLOOKUP(A220,[1]基准价格!$A:$G,7,0)</f>
        <v>50.88</v>
      </c>
      <c r="G220" s="56">
        <f>SUMIF('2.报价结算清单'!$F$7:$F$679,$A220,'2.报价结算清单'!$L$7:$L$679)</f>
        <v>0</v>
      </c>
      <c r="H220" s="56">
        <f>SUMIF('2.报价结算清单'!$F$7:$F$679,$A220,'2.报价结算清单'!$N$7:$N$679)</f>
        <v>0</v>
      </c>
      <c r="I220" s="59">
        <f>SUMIF('2.报价结算清单'!$F$7:$F$679,A220,'2.报价结算清单'!$P$7:$P$679)</f>
        <v>0</v>
      </c>
    </row>
    <row r="221" spans="1:9" ht="28.5">
      <c r="A221" s="74" t="s">
        <v>264</v>
      </c>
      <c r="B221" s="72"/>
      <c r="C221" s="72" t="s">
        <v>1305</v>
      </c>
      <c r="D221" s="76" t="s">
        <v>1003</v>
      </c>
      <c r="E221" s="72" t="s">
        <v>30</v>
      </c>
      <c r="F221" s="62">
        <f>VLOOKUP(A221,[1]基准价格!$A:$G,7,0)</f>
        <v>63.6</v>
      </c>
      <c r="G221" s="56">
        <f>SUMIF('2.报价结算清单'!$F$7:$F$679,$A221,'2.报价结算清单'!$L$7:$L$679)</f>
        <v>0</v>
      </c>
      <c r="H221" s="56">
        <f>SUMIF('2.报价结算清单'!$F$7:$F$679,$A221,'2.报价结算清单'!$N$7:$N$679)</f>
        <v>0</v>
      </c>
      <c r="I221" s="59">
        <f>SUMIF('2.报价结算清单'!$F$7:$F$679,A221,'2.报价结算清单'!$P$7:$P$679)</f>
        <v>0</v>
      </c>
    </row>
    <row r="222" spans="1:9" ht="28.5">
      <c r="A222" s="74" t="s">
        <v>265</v>
      </c>
      <c r="B222" s="72"/>
      <c r="C222" s="72" t="s">
        <v>1305</v>
      </c>
      <c r="D222" s="76" t="s">
        <v>1004</v>
      </c>
      <c r="E222" s="72" t="s">
        <v>30</v>
      </c>
      <c r="F222" s="62">
        <f>VLOOKUP(A222,[1]基准价格!$A:$G,7,0)</f>
        <v>31.8</v>
      </c>
      <c r="G222" s="56">
        <f>SUMIF('2.报价结算清单'!$F$7:$F$679,$A222,'2.报价结算清单'!$L$7:$L$679)</f>
        <v>0</v>
      </c>
      <c r="H222" s="56">
        <f>SUMIF('2.报价结算清单'!$F$7:$F$679,$A222,'2.报价结算清单'!$N$7:$N$679)</f>
        <v>0</v>
      </c>
      <c r="I222" s="59">
        <f>SUMIF('2.报价结算清单'!$F$7:$F$679,A222,'2.报价结算清单'!$P$7:$P$679)</f>
        <v>0</v>
      </c>
    </row>
    <row r="223" spans="1:9" ht="28.5">
      <c r="A223" s="74" t="s">
        <v>266</v>
      </c>
      <c r="B223" s="72"/>
      <c r="C223" s="72" t="s">
        <v>1305</v>
      </c>
      <c r="D223" s="76" t="s">
        <v>1005</v>
      </c>
      <c r="E223" s="72" t="s">
        <v>30</v>
      </c>
      <c r="F223" s="62">
        <f>VLOOKUP(A223,[1]基准价格!$A:$G,7,0)</f>
        <v>79.5</v>
      </c>
      <c r="G223" s="56">
        <f>SUMIF('2.报价结算清单'!$F$7:$F$679,$A223,'2.报价结算清单'!$L$7:$L$679)</f>
        <v>50</v>
      </c>
      <c r="H223" s="56">
        <f>SUMIF('2.报价结算清单'!$F$7:$F$679,$A223,'2.报价结算清单'!$N$7:$N$679)</f>
        <v>1</v>
      </c>
      <c r="I223" s="59">
        <f>SUMIF('2.报价结算清单'!$F$7:$F$679,A223,'2.报价结算清单'!$P$7:$P$679)</f>
        <v>3975</v>
      </c>
    </row>
    <row r="224" spans="1:9">
      <c r="A224" s="74" t="s">
        <v>267</v>
      </c>
      <c r="B224" s="72"/>
      <c r="C224" s="72" t="s">
        <v>1305</v>
      </c>
      <c r="D224" s="76" t="s">
        <v>1006</v>
      </c>
      <c r="E224" s="72" t="s">
        <v>26</v>
      </c>
      <c r="F224" s="62">
        <f>VLOOKUP(A224,[1]基准价格!$A:$G,7,0)</f>
        <v>9.5399999999999991</v>
      </c>
      <c r="G224" s="56">
        <f>SUMIF('2.报价结算清单'!$F$7:$F$679,$A224,'2.报价结算清单'!$L$7:$L$679)</f>
        <v>1000</v>
      </c>
      <c r="H224" s="56">
        <f>SUMIF('2.报价结算清单'!$F$7:$F$679,$A224,'2.报价结算清单'!$N$7:$N$679)</f>
        <v>2</v>
      </c>
      <c r="I224" s="59">
        <f>SUMIF('2.报价结算清单'!$F$7:$F$679,A224,'2.报价结算清单'!$P$7:$P$679)</f>
        <v>9540</v>
      </c>
    </row>
    <row r="225" spans="1:9">
      <c r="A225" s="74" t="s">
        <v>268</v>
      </c>
      <c r="B225" s="72"/>
      <c r="C225" s="72" t="s">
        <v>1305</v>
      </c>
      <c r="D225" s="76" t="s">
        <v>1007</v>
      </c>
      <c r="E225" s="72" t="s">
        <v>26</v>
      </c>
      <c r="F225" s="62">
        <f>VLOOKUP(A225,[1]基准价格!$A:$G,7,0)</f>
        <v>5.3</v>
      </c>
      <c r="G225" s="56">
        <f>SUMIF('2.报价结算清单'!$F$7:$F$679,$A225,'2.报价结算清单'!$L$7:$L$679)</f>
        <v>0</v>
      </c>
      <c r="H225" s="56">
        <f>SUMIF('2.报价结算清单'!$F$7:$F$679,$A225,'2.报价结算清单'!$N$7:$N$679)</f>
        <v>0</v>
      </c>
      <c r="I225" s="59">
        <f>SUMIF('2.报价结算清单'!$F$7:$F$679,A225,'2.报价结算清单'!$P$7:$P$679)</f>
        <v>0</v>
      </c>
    </row>
    <row r="226" spans="1:9">
      <c r="A226" s="74" t="s">
        <v>269</v>
      </c>
      <c r="B226" s="72"/>
      <c r="C226" s="72" t="s">
        <v>1305</v>
      </c>
      <c r="D226" s="76" t="s">
        <v>1008</v>
      </c>
      <c r="E226" s="72" t="s">
        <v>26</v>
      </c>
      <c r="F226" s="62">
        <f>VLOOKUP(A226,[1]基准价格!$A:$G,7,0)</f>
        <v>8.48</v>
      </c>
      <c r="G226" s="56">
        <f>SUMIF('2.报价结算清单'!$F$7:$F$679,$A226,'2.报价结算清单'!$L$7:$L$679)</f>
        <v>0</v>
      </c>
      <c r="H226" s="56">
        <f>SUMIF('2.报价结算清单'!$F$7:$F$679,$A226,'2.报价结算清单'!$N$7:$N$679)</f>
        <v>0</v>
      </c>
      <c r="I226" s="59">
        <f>SUMIF('2.报价结算清单'!$F$7:$F$679,A226,'2.报价结算清单'!$P$7:$P$679)</f>
        <v>0</v>
      </c>
    </row>
    <row r="227" spans="1:9">
      <c r="A227" s="74" t="s">
        <v>270</v>
      </c>
      <c r="B227" s="72"/>
      <c r="C227" s="72" t="s">
        <v>1305</v>
      </c>
      <c r="D227" s="76" t="s">
        <v>1009</v>
      </c>
      <c r="E227" s="72" t="s">
        <v>26</v>
      </c>
      <c r="F227" s="62">
        <f>VLOOKUP(A227,[1]基准价格!$A:$G,7,0)</f>
        <v>18.02</v>
      </c>
      <c r="G227" s="56">
        <f>SUMIF('2.报价结算清单'!$F$7:$F$679,$A227,'2.报价结算清单'!$L$7:$L$679)</f>
        <v>0</v>
      </c>
      <c r="H227" s="56">
        <f>SUMIF('2.报价结算清单'!$F$7:$F$679,$A227,'2.报价结算清单'!$N$7:$N$679)</f>
        <v>0</v>
      </c>
      <c r="I227" s="59">
        <f>SUMIF('2.报价结算清单'!$F$7:$F$679,A227,'2.报价结算清单'!$P$7:$P$679)</f>
        <v>0</v>
      </c>
    </row>
    <row r="228" spans="1:9">
      <c r="A228" s="74" t="s">
        <v>271</v>
      </c>
      <c r="B228" s="72"/>
      <c r="C228" s="72" t="s">
        <v>1305</v>
      </c>
      <c r="D228" s="76" t="s">
        <v>1010</v>
      </c>
      <c r="E228" s="72" t="s">
        <v>31</v>
      </c>
      <c r="F228" s="62">
        <f>VLOOKUP(A228,[1]基准价格!$A:$G,7,0)</f>
        <v>27.56</v>
      </c>
      <c r="G228" s="56">
        <f>SUMIF('2.报价结算清单'!$F$7:$F$679,$A228,'2.报价结算清单'!$L$7:$L$679)</f>
        <v>0</v>
      </c>
      <c r="H228" s="56">
        <f>SUMIF('2.报价结算清单'!$F$7:$F$679,$A228,'2.报价结算清单'!$N$7:$N$679)</f>
        <v>0</v>
      </c>
      <c r="I228" s="59">
        <f>SUMIF('2.报价结算清单'!$F$7:$F$679,A228,'2.报价结算清单'!$P$7:$P$679)</f>
        <v>0</v>
      </c>
    </row>
    <row r="229" spans="1:9">
      <c r="A229" s="74" t="s">
        <v>272</v>
      </c>
      <c r="B229" s="72"/>
      <c r="C229" s="72" t="s">
        <v>1305</v>
      </c>
      <c r="D229" s="76" t="s">
        <v>1011</v>
      </c>
      <c r="E229" s="72" t="s">
        <v>31</v>
      </c>
      <c r="F229" s="62">
        <f>VLOOKUP(A229,[1]基准价格!$A:$G,7,0)</f>
        <v>50.88</v>
      </c>
      <c r="G229" s="56">
        <f>SUMIF('2.报价结算清单'!$F$7:$F$679,$A229,'2.报价结算清单'!$L$7:$L$679)</f>
        <v>0</v>
      </c>
      <c r="H229" s="56">
        <f>SUMIF('2.报价结算清单'!$F$7:$F$679,$A229,'2.报价结算清单'!$N$7:$N$679)</f>
        <v>0</v>
      </c>
      <c r="I229" s="59">
        <f>SUMIF('2.报价结算清单'!$F$7:$F$679,A229,'2.报价结算清单'!$P$7:$P$679)</f>
        <v>0</v>
      </c>
    </row>
    <row r="230" spans="1:9">
      <c r="A230" s="74" t="s">
        <v>273</v>
      </c>
      <c r="B230" s="72"/>
      <c r="C230" s="72" t="s">
        <v>1305</v>
      </c>
      <c r="D230" s="76" t="s">
        <v>1012</v>
      </c>
      <c r="E230" s="72" t="s">
        <v>31</v>
      </c>
      <c r="F230" s="62">
        <f>VLOOKUP(A230,[1]基准价格!$A:$G,7,0)</f>
        <v>46.64</v>
      </c>
      <c r="G230" s="56">
        <f>SUMIF('2.报价结算清单'!$F$7:$F$679,$A230,'2.报价结算清单'!$L$7:$L$679)</f>
        <v>0</v>
      </c>
      <c r="H230" s="56">
        <f>SUMIF('2.报价结算清单'!$F$7:$F$679,$A230,'2.报价结算清单'!$N$7:$N$679)</f>
        <v>0</v>
      </c>
      <c r="I230" s="59">
        <f>SUMIF('2.报价结算清单'!$F$7:$F$679,A230,'2.报价结算清单'!$P$7:$P$679)</f>
        <v>0</v>
      </c>
    </row>
    <row r="231" spans="1:9">
      <c r="A231" s="74" t="s">
        <v>274</v>
      </c>
      <c r="B231" s="72"/>
      <c r="C231" s="72" t="s">
        <v>1305</v>
      </c>
      <c r="D231" s="76" t="s">
        <v>1013</v>
      </c>
      <c r="E231" s="72" t="s">
        <v>31</v>
      </c>
      <c r="F231" s="62">
        <f>VLOOKUP(A231,[1]基准价格!$A:$G,7,0)</f>
        <v>53</v>
      </c>
      <c r="G231" s="56">
        <f>SUMIF('2.报价结算清单'!$F$7:$F$679,$A231,'2.报价结算清单'!$L$7:$L$679)</f>
        <v>0</v>
      </c>
      <c r="H231" s="56">
        <f>SUMIF('2.报价结算清单'!$F$7:$F$679,$A231,'2.报价结算清单'!$N$7:$N$679)</f>
        <v>0</v>
      </c>
      <c r="I231" s="59">
        <f>SUMIF('2.报价结算清单'!$F$7:$F$679,A231,'2.报价结算清单'!$P$7:$P$679)</f>
        <v>0</v>
      </c>
    </row>
    <row r="232" spans="1:9">
      <c r="A232" s="74" t="s">
        <v>275</v>
      </c>
      <c r="B232" s="72"/>
      <c r="C232" s="72" t="s">
        <v>1305</v>
      </c>
      <c r="D232" s="76" t="s">
        <v>1014</v>
      </c>
      <c r="E232" s="72" t="s">
        <v>31</v>
      </c>
      <c r="F232" s="62">
        <f>VLOOKUP(A232,[1]基准价格!$A:$G,7,0)</f>
        <v>127.2</v>
      </c>
      <c r="G232" s="56">
        <f>SUMIF('2.报价结算清单'!$F$7:$F$679,$A232,'2.报价结算清单'!$L$7:$L$679)</f>
        <v>0</v>
      </c>
      <c r="H232" s="56">
        <f>SUMIF('2.报价结算清单'!$F$7:$F$679,$A232,'2.报价结算清单'!$N$7:$N$679)</f>
        <v>0</v>
      </c>
      <c r="I232" s="59">
        <f>SUMIF('2.报价结算清单'!$F$7:$F$679,A232,'2.报价结算清单'!$P$7:$P$679)</f>
        <v>0</v>
      </c>
    </row>
    <row r="233" spans="1:9" ht="28.5">
      <c r="A233" s="74" t="s">
        <v>276</v>
      </c>
      <c r="B233" s="72"/>
      <c r="C233" s="72" t="s">
        <v>1305</v>
      </c>
      <c r="D233" s="76" t="s">
        <v>1015</v>
      </c>
      <c r="E233" s="72" t="s">
        <v>29</v>
      </c>
      <c r="F233" s="62">
        <f>VLOOKUP(A233,[1]基准价格!$A:$G,7,0)</f>
        <v>86.67</v>
      </c>
      <c r="G233" s="56">
        <f>SUMIF('2.报价结算清单'!$F$7:$F$679,$A233,'2.报价结算清单'!$L$7:$L$679)</f>
        <v>0</v>
      </c>
      <c r="H233" s="56">
        <f>SUMIF('2.报价结算清单'!$F$7:$F$679,$A233,'2.报价结算清单'!$N$7:$N$679)</f>
        <v>0</v>
      </c>
      <c r="I233" s="59">
        <f>SUMIF('2.报价结算清单'!$F$7:$F$679,A233,'2.报价结算清单'!$P$7:$P$679)</f>
        <v>0</v>
      </c>
    </row>
    <row r="234" spans="1:9">
      <c r="A234" s="74" t="s">
        <v>277</v>
      </c>
      <c r="B234" s="72"/>
      <c r="C234" s="72" t="s">
        <v>1305</v>
      </c>
      <c r="D234" s="76" t="s">
        <v>1016</v>
      </c>
      <c r="E234" s="72" t="s">
        <v>29</v>
      </c>
      <c r="F234" s="62">
        <f>VLOOKUP(A234,[1]基准价格!$A:$G,7,0)</f>
        <v>73.33</v>
      </c>
      <c r="G234" s="56">
        <f>SUMIF('2.报价结算清单'!$F$7:$F$679,$A234,'2.报价结算清单'!$L$7:$L$679)</f>
        <v>0</v>
      </c>
      <c r="H234" s="56">
        <f>SUMIF('2.报价结算清单'!$F$7:$F$679,$A234,'2.报价结算清单'!$N$7:$N$679)</f>
        <v>0</v>
      </c>
      <c r="I234" s="59">
        <f>SUMIF('2.报价结算清单'!$F$7:$F$679,A234,'2.报价结算清单'!$P$7:$P$679)</f>
        <v>0</v>
      </c>
    </row>
    <row r="235" spans="1:9">
      <c r="A235" s="74" t="s">
        <v>278</v>
      </c>
      <c r="B235" s="72"/>
      <c r="C235" s="72" t="s">
        <v>1305</v>
      </c>
      <c r="D235" s="76" t="s">
        <v>1017</v>
      </c>
      <c r="E235" s="72" t="s">
        <v>29</v>
      </c>
      <c r="F235" s="62">
        <f>VLOOKUP(A235,[1]基准价格!$A:$G,7,0)</f>
        <v>153.33000000000001</v>
      </c>
      <c r="G235" s="56">
        <f>SUMIF('2.报价结算清单'!$F$7:$F$679,$A235,'2.报价结算清单'!$L$7:$L$679)</f>
        <v>0</v>
      </c>
      <c r="H235" s="56">
        <f>SUMIF('2.报价结算清单'!$F$7:$F$679,$A235,'2.报价结算清单'!$N$7:$N$679)</f>
        <v>0</v>
      </c>
      <c r="I235" s="59">
        <f>SUMIF('2.报价结算清单'!$F$7:$F$679,A235,'2.报价结算清单'!$P$7:$P$679)</f>
        <v>0</v>
      </c>
    </row>
    <row r="236" spans="1:9">
      <c r="A236" s="74" t="s">
        <v>279</v>
      </c>
      <c r="B236" s="72"/>
      <c r="C236" s="72" t="s">
        <v>1305</v>
      </c>
      <c r="D236" s="76" t="s">
        <v>1018</v>
      </c>
      <c r="E236" s="72" t="s">
        <v>29</v>
      </c>
      <c r="F236" s="62">
        <f>VLOOKUP(A236,[1]基准价格!$A:$G,7,0)</f>
        <v>25</v>
      </c>
      <c r="G236" s="56">
        <f>SUMIF('2.报价结算清单'!$F$7:$F$679,$A236,'2.报价结算清单'!$L$7:$L$679)</f>
        <v>0</v>
      </c>
      <c r="H236" s="56">
        <f>SUMIF('2.报价结算清单'!$F$7:$F$679,$A236,'2.报价结算清单'!$N$7:$N$679)</f>
        <v>0</v>
      </c>
      <c r="I236" s="59">
        <f>SUMIF('2.报价结算清单'!$F$7:$F$679,A236,'2.报价结算清单'!$P$7:$P$679)</f>
        <v>0</v>
      </c>
    </row>
    <row r="237" spans="1:9">
      <c r="A237" s="74" t="s">
        <v>280</v>
      </c>
      <c r="B237" s="72"/>
      <c r="C237" s="72" t="s">
        <v>1305</v>
      </c>
      <c r="D237" s="76" t="s">
        <v>1019</v>
      </c>
      <c r="E237" s="72" t="s">
        <v>29</v>
      </c>
      <c r="F237" s="62">
        <f>VLOOKUP(A237,[1]基准价格!$A:$G,7,0)</f>
        <v>106</v>
      </c>
      <c r="G237" s="56">
        <f>SUMIF('2.报价结算清单'!$F$7:$F$679,$A237,'2.报价结算清单'!$L$7:$L$679)</f>
        <v>0</v>
      </c>
      <c r="H237" s="56">
        <f>SUMIF('2.报价结算清单'!$F$7:$F$679,$A237,'2.报价结算清单'!$N$7:$N$679)</f>
        <v>0</v>
      </c>
      <c r="I237" s="59">
        <f>SUMIF('2.报价结算清单'!$F$7:$F$679,A237,'2.报价结算清单'!$P$7:$P$679)</f>
        <v>0</v>
      </c>
    </row>
    <row r="238" spans="1:9">
      <c r="A238" s="74" t="s">
        <v>281</v>
      </c>
      <c r="B238" s="72"/>
      <c r="C238" s="72" t="s">
        <v>1305</v>
      </c>
      <c r="D238" s="76" t="s">
        <v>1020</v>
      </c>
      <c r="E238" s="72" t="s">
        <v>29</v>
      </c>
      <c r="F238" s="62">
        <f>VLOOKUP(A238,[1]基准价格!$A:$G,7,0)</f>
        <v>43.33</v>
      </c>
      <c r="G238" s="56">
        <f>SUMIF('2.报价结算清单'!$F$7:$F$679,$A238,'2.报价结算清单'!$L$7:$L$679)</f>
        <v>0</v>
      </c>
      <c r="H238" s="56">
        <f>SUMIF('2.报价结算清单'!$F$7:$F$679,$A238,'2.报价结算清单'!$N$7:$N$679)</f>
        <v>0</v>
      </c>
      <c r="I238" s="59">
        <f>SUMIF('2.报价结算清单'!$F$7:$F$679,A238,'2.报价结算清单'!$P$7:$P$679)</f>
        <v>0</v>
      </c>
    </row>
    <row r="239" spans="1:9">
      <c r="A239" s="74" t="s">
        <v>282</v>
      </c>
      <c r="B239" s="72"/>
      <c r="C239" s="72" t="s">
        <v>1305</v>
      </c>
      <c r="D239" s="76" t="s">
        <v>1021</v>
      </c>
      <c r="E239" s="72" t="s">
        <v>29</v>
      </c>
      <c r="F239" s="62">
        <f>VLOOKUP(A239,[1]基准价格!$A:$G,7,0)</f>
        <v>73.33</v>
      </c>
      <c r="G239" s="56">
        <f>SUMIF('2.报价结算清单'!$F$7:$F$679,$A239,'2.报价结算清单'!$L$7:$L$679)</f>
        <v>0</v>
      </c>
      <c r="H239" s="56">
        <f>SUMIF('2.报价结算清单'!$F$7:$F$679,$A239,'2.报价结算清单'!$N$7:$N$679)</f>
        <v>0</v>
      </c>
      <c r="I239" s="59">
        <f>SUMIF('2.报价结算清单'!$F$7:$F$679,A239,'2.报价结算清单'!$P$7:$P$679)</f>
        <v>0</v>
      </c>
    </row>
    <row r="240" spans="1:9">
      <c r="A240" s="74" t="s">
        <v>283</v>
      </c>
      <c r="B240" s="72"/>
      <c r="C240" s="72" t="s">
        <v>1305</v>
      </c>
      <c r="D240" s="76" t="s">
        <v>1022</v>
      </c>
      <c r="E240" s="72" t="s">
        <v>29</v>
      </c>
      <c r="F240" s="62">
        <f>VLOOKUP(A240,[1]基准价格!$A:$G,7,0)</f>
        <v>123.33</v>
      </c>
      <c r="G240" s="56">
        <f>SUMIF('2.报价结算清单'!$F$7:$F$679,$A240,'2.报价结算清单'!$L$7:$L$679)</f>
        <v>0</v>
      </c>
      <c r="H240" s="56">
        <f>SUMIF('2.报价结算清单'!$F$7:$F$679,$A240,'2.报价结算清单'!$N$7:$N$679)</f>
        <v>0</v>
      </c>
      <c r="I240" s="59">
        <f>SUMIF('2.报价结算清单'!$F$7:$F$679,A240,'2.报价结算清单'!$P$7:$P$679)</f>
        <v>0</v>
      </c>
    </row>
    <row r="241" spans="1:9">
      <c r="A241" s="74" t="s">
        <v>284</v>
      </c>
      <c r="B241" s="72"/>
      <c r="C241" s="72" t="s">
        <v>1305</v>
      </c>
      <c r="D241" s="76" t="s">
        <v>1023</v>
      </c>
      <c r="E241" s="72" t="s">
        <v>29</v>
      </c>
      <c r="F241" s="62">
        <f>VLOOKUP(A241,[1]基准价格!$A:$G,7,0)</f>
        <v>243.33</v>
      </c>
      <c r="G241" s="56">
        <f>SUMIF('2.报价结算清单'!$F$7:$F$679,$A241,'2.报价结算清单'!$L$7:$L$679)</f>
        <v>0</v>
      </c>
      <c r="H241" s="56">
        <f>SUMIF('2.报价结算清单'!$F$7:$F$679,$A241,'2.报价结算清单'!$N$7:$N$679)</f>
        <v>0</v>
      </c>
      <c r="I241" s="59">
        <f>SUMIF('2.报价结算清单'!$F$7:$F$679,A241,'2.报价结算清单'!$P$7:$P$679)</f>
        <v>0</v>
      </c>
    </row>
    <row r="242" spans="1:9" ht="28.5">
      <c r="A242" s="74" t="s">
        <v>285</v>
      </c>
      <c r="B242" s="72"/>
      <c r="C242" s="72" t="s">
        <v>1305</v>
      </c>
      <c r="D242" s="76" t="s">
        <v>1024</v>
      </c>
      <c r="E242" s="72" t="s">
        <v>29</v>
      </c>
      <c r="F242" s="62">
        <f>VLOOKUP(A242,[1]基准价格!$A:$G,7,0)</f>
        <v>340</v>
      </c>
      <c r="G242" s="56">
        <f>SUMIF('2.报价结算清单'!$F$7:$F$679,$A242,'2.报价结算清单'!$L$7:$L$679)</f>
        <v>0</v>
      </c>
      <c r="H242" s="56">
        <f>SUMIF('2.报价结算清单'!$F$7:$F$679,$A242,'2.报价结算清单'!$N$7:$N$679)</f>
        <v>0</v>
      </c>
      <c r="I242" s="59">
        <f>SUMIF('2.报价结算清单'!$F$7:$F$679,A242,'2.报价结算清单'!$P$7:$P$679)</f>
        <v>0</v>
      </c>
    </row>
    <row r="243" spans="1:9" ht="28.5">
      <c r="A243" s="74" t="s">
        <v>286</v>
      </c>
      <c r="B243" s="72"/>
      <c r="C243" s="72" t="s">
        <v>1305</v>
      </c>
      <c r="D243" s="76" t="s">
        <v>1025</v>
      </c>
      <c r="E243" s="72" t="s">
        <v>29</v>
      </c>
      <c r="F243" s="62">
        <f>VLOOKUP(A243,[1]基准价格!$A:$G,7,0)</f>
        <v>496.67</v>
      </c>
      <c r="G243" s="56">
        <f>SUMIF('2.报价结算清单'!$F$7:$F$679,$A243,'2.报价结算清单'!$L$7:$L$679)</f>
        <v>0</v>
      </c>
      <c r="H243" s="56">
        <f>SUMIF('2.报价结算清单'!$F$7:$F$679,$A243,'2.报价结算清单'!$N$7:$N$679)</f>
        <v>0</v>
      </c>
      <c r="I243" s="59">
        <f>SUMIF('2.报价结算清单'!$F$7:$F$679,A243,'2.报价结算清单'!$P$7:$P$679)</f>
        <v>0</v>
      </c>
    </row>
    <row r="244" spans="1:9">
      <c r="A244" s="74" t="s">
        <v>287</v>
      </c>
      <c r="B244" s="72"/>
      <c r="C244" s="72" t="s">
        <v>1305</v>
      </c>
      <c r="D244" s="76" t="s">
        <v>1026</v>
      </c>
      <c r="E244" s="72" t="s">
        <v>29</v>
      </c>
      <c r="F244" s="62">
        <f>VLOOKUP(A244,[1]基准价格!$A:$G,7,0)</f>
        <v>53</v>
      </c>
      <c r="G244" s="56">
        <f>SUMIF('2.报价结算清单'!$F$7:$F$679,$A244,'2.报价结算清单'!$L$7:$L$679)</f>
        <v>0</v>
      </c>
      <c r="H244" s="56">
        <f>SUMIF('2.报价结算清单'!$F$7:$F$679,$A244,'2.报价结算清单'!$N$7:$N$679)</f>
        <v>0</v>
      </c>
      <c r="I244" s="59">
        <f>SUMIF('2.报价结算清单'!$F$7:$F$679,A244,'2.报价结算清单'!$P$7:$P$679)</f>
        <v>0</v>
      </c>
    </row>
    <row r="245" spans="1:9" ht="28.5">
      <c r="A245" s="74" t="s">
        <v>288</v>
      </c>
      <c r="B245" s="72"/>
      <c r="C245" s="72" t="s">
        <v>1305</v>
      </c>
      <c r="D245" s="76" t="s">
        <v>1027</v>
      </c>
      <c r="E245" s="72" t="s">
        <v>27</v>
      </c>
      <c r="F245" s="62">
        <f>VLOOKUP(A245,[1]基准价格!$A:$G,7,0)</f>
        <v>212</v>
      </c>
      <c r="G245" s="56">
        <f>SUMIF('2.报价结算清单'!$F$7:$F$679,$A245,'2.报价结算清单'!$L$7:$L$679)</f>
        <v>0</v>
      </c>
      <c r="H245" s="56">
        <f>SUMIF('2.报价结算清单'!$F$7:$F$679,$A245,'2.报价结算清单'!$N$7:$N$679)</f>
        <v>0</v>
      </c>
      <c r="I245" s="59">
        <f>SUMIF('2.报价结算清单'!$F$7:$F$679,A245,'2.报价结算清单'!$P$7:$P$679)</f>
        <v>0</v>
      </c>
    </row>
    <row r="246" spans="1:9" ht="28.5">
      <c r="A246" s="74" t="s">
        <v>485</v>
      </c>
      <c r="B246" s="72"/>
      <c r="C246" s="72" t="s">
        <v>1305</v>
      </c>
      <c r="D246" s="76" t="s">
        <v>1028</v>
      </c>
      <c r="E246" s="72" t="s">
        <v>27</v>
      </c>
      <c r="F246" s="62">
        <f>VLOOKUP(A246,[1]基准价格!$A:$G,7,0)</f>
        <v>400.68</v>
      </c>
      <c r="G246" s="56">
        <f>SUMIF('2.报价结算清单'!$F$7:$F$679,$A246,'2.报价结算清单'!$L$7:$L$679)</f>
        <v>0</v>
      </c>
      <c r="H246" s="56">
        <f>SUMIF('2.报价结算清单'!$F$7:$F$679,$A246,'2.报价结算清单'!$N$7:$N$679)</f>
        <v>0</v>
      </c>
      <c r="I246" s="59">
        <f>SUMIF('2.报价结算清单'!$F$7:$F$679,A246,'2.报价结算清单'!$P$7:$P$679)</f>
        <v>0</v>
      </c>
    </row>
    <row r="247" spans="1:9" ht="28.5">
      <c r="A247" s="74" t="s">
        <v>486</v>
      </c>
      <c r="B247" s="72"/>
      <c r="C247" s="72" t="s">
        <v>1305</v>
      </c>
      <c r="D247" s="76" t="s">
        <v>1029</v>
      </c>
      <c r="E247" s="72" t="s">
        <v>26</v>
      </c>
      <c r="F247" s="62">
        <f>VLOOKUP(A247,[1]基准价格!$A:$G,7,0)</f>
        <v>63.6</v>
      </c>
      <c r="G247" s="56">
        <f>SUMIF('2.报价结算清单'!$F$7:$F$679,$A247,'2.报价结算清单'!$L$7:$L$679)</f>
        <v>0</v>
      </c>
      <c r="H247" s="56">
        <f>SUMIF('2.报价结算清单'!$F$7:$F$679,$A247,'2.报价结算清单'!$N$7:$N$679)</f>
        <v>0</v>
      </c>
      <c r="I247" s="59">
        <f>SUMIF('2.报价结算清单'!$F$7:$F$679,A247,'2.报价结算清单'!$P$7:$P$679)</f>
        <v>0</v>
      </c>
    </row>
    <row r="248" spans="1:9" ht="28.5">
      <c r="A248" s="74" t="s">
        <v>487</v>
      </c>
      <c r="B248" s="72"/>
      <c r="C248" s="72" t="s">
        <v>1305</v>
      </c>
      <c r="D248" s="76" t="s">
        <v>1030</v>
      </c>
      <c r="E248" s="72" t="s">
        <v>26</v>
      </c>
      <c r="F248" s="62">
        <f>VLOOKUP(A248,[1]基准价格!$A:$G,7,0)</f>
        <v>63.6</v>
      </c>
      <c r="G248" s="56">
        <f>SUMIF('2.报价结算清单'!$F$7:$F$679,$A248,'2.报价结算清单'!$L$7:$L$679)</f>
        <v>0</v>
      </c>
      <c r="H248" s="56">
        <f>SUMIF('2.报价结算清单'!$F$7:$F$679,$A248,'2.报价结算清单'!$N$7:$N$679)</f>
        <v>0</v>
      </c>
      <c r="I248" s="59">
        <f>SUMIF('2.报价结算清单'!$F$7:$F$679,A248,'2.报价结算清单'!$P$7:$P$679)</f>
        <v>0</v>
      </c>
    </row>
    <row r="249" spans="1:9">
      <c r="A249" s="74" t="s">
        <v>488</v>
      </c>
      <c r="B249" s="72"/>
      <c r="C249" s="72" t="s">
        <v>1305</v>
      </c>
      <c r="D249" s="76" t="s">
        <v>1031</v>
      </c>
      <c r="E249" s="72" t="s">
        <v>26</v>
      </c>
      <c r="F249" s="62">
        <f>VLOOKUP(A249,[1]基准价格!$A:$G,7,0)</f>
        <v>63.6</v>
      </c>
      <c r="G249" s="56">
        <f>SUMIF('2.报价结算清单'!$F$7:$F$679,$A249,'2.报价结算清单'!$L$7:$L$679)</f>
        <v>0</v>
      </c>
      <c r="H249" s="56">
        <f>SUMIF('2.报价结算清单'!$F$7:$F$679,$A249,'2.报价结算清单'!$N$7:$N$679)</f>
        <v>0</v>
      </c>
      <c r="I249" s="59">
        <f>SUMIF('2.报价结算清单'!$F$7:$F$679,A249,'2.报价结算清单'!$P$7:$P$679)</f>
        <v>0</v>
      </c>
    </row>
    <row r="250" spans="1:9">
      <c r="A250" s="74" t="s">
        <v>489</v>
      </c>
      <c r="B250" s="72"/>
      <c r="C250" s="72" t="s">
        <v>1305</v>
      </c>
      <c r="D250" s="76" t="s">
        <v>1032</v>
      </c>
      <c r="E250" s="72" t="s">
        <v>26</v>
      </c>
      <c r="F250" s="62">
        <f>VLOOKUP(A250,[1]基准价格!$A:$G,7,0)</f>
        <v>2.54</v>
      </c>
      <c r="G250" s="56">
        <f>SUMIF('2.报价结算清单'!$F$7:$F$679,$A250,'2.报价结算清单'!$L$7:$L$679)</f>
        <v>0</v>
      </c>
      <c r="H250" s="56">
        <f>SUMIF('2.报价结算清单'!$F$7:$F$679,$A250,'2.报价结算清单'!$N$7:$N$679)</f>
        <v>0</v>
      </c>
      <c r="I250" s="59">
        <f>SUMIF('2.报价结算清单'!$F$7:$F$679,A250,'2.报价结算清单'!$P$7:$P$679)</f>
        <v>0</v>
      </c>
    </row>
    <row r="251" spans="1:9" ht="28.5">
      <c r="A251" s="74" t="s">
        <v>490</v>
      </c>
      <c r="B251" s="72"/>
      <c r="C251" s="72" t="s">
        <v>1305</v>
      </c>
      <c r="D251" s="76" t="s">
        <v>1033</v>
      </c>
      <c r="E251" s="72" t="s">
        <v>26</v>
      </c>
      <c r="F251" s="62">
        <f>VLOOKUP(A251,[1]基准价格!$A:$G,7,0)</f>
        <v>68.900000000000006</v>
      </c>
      <c r="G251" s="56">
        <f>SUMIF('2.报价结算清单'!$F$7:$F$679,$A251,'2.报价结算清单'!$L$7:$L$679)</f>
        <v>0</v>
      </c>
      <c r="H251" s="56">
        <f>SUMIF('2.报价结算清单'!$F$7:$F$679,$A251,'2.报价结算清单'!$N$7:$N$679)</f>
        <v>0</v>
      </c>
      <c r="I251" s="59">
        <f>SUMIF('2.报价结算清单'!$F$7:$F$679,A251,'2.报价结算清单'!$P$7:$P$679)</f>
        <v>0</v>
      </c>
    </row>
    <row r="252" spans="1:9" ht="28.5">
      <c r="A252" s="74" t="s">
        <v>491</v>
      </c>
      <c r="B252" s="72"/>
      <c r="C252" s="72" t="s">
        <v>1305</v>
      </c>
      <c r="D252" s="76" t="s">
        <v>1034</v>
      </c>
      <c r="E252" s="72" t="s">
        <v>26</v>
      </c>
      <c r="F252" s="62">
        <f>VLOOKUP(A252,[1]基准价格!$A:$G,7,0)</f>
        <v>63.6</v>
      </c>
      <c r="G252" s="56">
        <f>SUMIF('2.报价结算清单'!$F$7:$F$679,$A252,'2.报价结算清单'!$L$7:$L$679)</f>
        <v>0</v>
      </c>
      <c r="H252" s="56">
        <f>SUMIF('2.报价结算清单'!$F$7:$F$679,$A252,'2.报价结算清单'!$N$7:$N$679)</f>
        <v>0</v>
      </c>
      <c r="I252" s="59">
        <f>SUMIF('2.报价结算清单'!$F$7:$F$679,A252,'2.报价结算清单'!$P$7:$P$679)</f>
        <v>0</v>
      </c>
    </row>
    <row r="253" spans="1:9">
      <c r="A253" s="74" t="s">
        <v>492</v>
      </c>
      <c r="B253" s="72"/>
      <c r="C253" s="72" t="s">
        <v>1305</v>
      </c>
      <c r="D253" s="76" t="s">
        <v>1035</v>
      </c>
      <c r="E253" s="72" t="s">
        <v>26</v>
      </c>
      <c r="F253" s="62">
        <f>VLOOKUP(A253,[1]基准价格!$A:$G,7,0)</f>
        <v>26.5</v>
      </c>
      <c r="G253" s="56">
        <f>SUMIF('2.报价结算清单'!$F$7:$F$679,$A253,'2.报价结算清单'!$L$7:$L$679)</f>
        <v>0</v>
      </c>
      <c r="H253" s="56">
        <f>SUMIF('2.报价结算清单'!$F$7:$F$679,$A253,'2.报价结算清单'!$N$7:$N$679)</f>
        <v>0</v>
      </c>
      <c r="I253" s="59">
        <f>SUMIF('2.报价结算清单'!$F$7:$F$679,A253,'2.报价结算清单'!$P$7:$P$679)</f>
        <v>0</v>
      </c>
    </row>
    <row r="254" spans="1:9" ht="28.5">
      <c r="A254" s="74" t="s">
        <v>493</v>
      </c>
      <c r="B254" s="72"/>
      <c r="C254" s="72" t="s">
        <v>1305</v>
      </c>
      <c r="D254" s="76" t="s">
        <v>1036</v>
      </c>
      <c r="E254" s="72" t="s">
        <v>31</v>
      </c>
      <c r="F254" s="62">
        <f>VLOOKUP(A254,[1]基准价格!$A:$G,7,0)</f>
        <v>63.6</v>
      </c>
      <c r="G254" s="56">
        <f>SUMIF('2.报价结算清单'!$F$7:$F$679,$A254,'2.报价结算清单'!$L$7:$L$679)</f>
        <v>0</v>
      </c>
      <c r="H254" s="56">
        <f>SUMIF('2.报价结算清单'!$F$7:$F$679,$A254,'2.报价结算清单'!$N$7:$N$679)</f>
        <v>0</v>
      </c>
      <c r="I254" s="59">
        <f>SUMIF('2.报价结算清单'!$F$7:$F$679,A254,'2.报价结算清单'!$P$7:$P$679)</f>
        <v>0</v>
      </c>
    </row>
    <row r="255" spans="1:9">
      <c r="A255" s="74" t="s">
        <v>494</v>
      </c>
      <c r="B255" s="72"/>
      <c r="C255" s="72" t="s">
        <v>1305</v>
      </c>
      <c r="D255" s="76" t="s">
        <v>1037</v>
      </c>
      <c r="E255" s="72" t="s">
        <v>31</v>
      </c>
      <c r="F255" s="62">
        <f>VLOOKUP(A255,[1]基准价格!$A:$G,7,0)</f>
        <v>424</v>
      </c>
      <c r="G255" s="56">
        <f>SUMIF('2.报价结算清单'!$F$7:$F$679,$A255,'2.报价结算清单'!$L$7:$L$679)</f>
        <v>0</v>
      </c>
      <c r="H255" s="56">
        <f>SUMIF('2.报价结算清单'!$F$7:$F$679,$A255,'2.报价结算清单'!$N$7:$N$679)</f>
        <v>0</v>
      </c>
      <c r="I255" s="59">
        <f>SUMIF('2.报价结算清单'!$F$7:$F$679,A255,'2.报价结算清单'!$P$7:$P$679)</f>
        <v>0</v>
      </c>
    </row>
    <row r="256" spans="1:9">
      <c r="A256" s="74" t="s">
        <v>495</v>
      </c>
      <c r="B256" s="72"/>
      <c r="C256" s="72" t="s">
        <v>1305</v>
      </c>
      <c r="D256" s="76" t="s">
        <v>1038</v>
      </c>
      <c r="E256" s="72" t="s">
        <v>31</v>
      </c>
      <c r="F256" s="62">
        <f>VLOOKUP(A256,[1]基准价格!$A:$G,7,0)</f>
        <v>424</v>
      </c>
      <c r="G256" s="56">
        <f>SUMIF('2.报价结算清单'!$F$7:$F$679,$A256,'2.报价结算清单'!$L$7:$L$679)</f>
        <v>0</v>
      </c>
      <c r="H256" s="56">
        <f>SUMIF('2.报价结算清单'!$F$7:$F$679,$A256,'2.报价结算清单'!$N$7:$N$679)</f>
        <v>0</v>
      </c>
      <c r="I256" s="59">
        <f>SUMIF('2.报价结算清单'!$F$7:$F$679,A256,'2.报价结算清单'!$P$7:$P$679)</f>
        <v>0</v>
      </c>
    </row>
    <row r="257" spans="1:9">
      <c r="A257" s="74" t="s">
        <v>496</v>
      </c>
      <c r="B257" s="72"/>
      <c r="C257" s="72" t="s">
        <v>1305</v>
      </c>
      <c r="D257" s="76" t="s">
        <v>1039</v>
      </c>
      <c r="E257" s="72" t="s">
        <v>31</v>
      </c>
      <c r="F257" s="62">
        <f>VLOOKUP(A257,[1]基准价格!$A:$G,7,0)</f>
        <v>1590</v>
      </c>
      <c r="G257" s="56">
        <f>SUMIF('2.报价结算清单'!$F$7:$F$679,$A257,'2.报价结算清单'!$L$7:$L$679)</f>
        <v>0</v>
      </c>
      <c r="H257" s="56">
        <f>SUMIF('2.报价结算清单'!$F$7:$F$679,$A257,'2.报价结算清单'!$N$7:$N$679)</f>
        <v>0</v>
      </c>
      <c r="I257" s="59">
        <f>SUMIF('2.报价结算清单'!$F$7:$F$679,A257,'2.报价结算清单'!$P$7:$P$679)</f>
        <v>0</v>
      </c>
    </row>
    <row r="258" spans="1:9">
      <c r="A258" s="74" t="s">
        <v>497</v>
      </c>
      <c r="B258" s="72"/>
      <c r="C258" s="72" t="s">
        <v>1305</v>
      </c>
      <c r="D258" s="76" t="s">
        <v>1040</v>
      </c>
      <c r="E258" s="72" t="s">
        <v>26</v>
      </c>
      <c r="F258" s="62">
        <f>VLOOKUP(A258,[1]基准价格!$A:$G,7,0)</f>
        <v>159</v>
      </c>
      <c r="G258" s="56">
        <f>SUMIF('2.报价结算清单'!$F$7:$F$679,$A258,'2.报价结算清单'!$L$7:$L$679)</f>
        <v>0</v>
      </c>
      <c r="H258" s="56">
        <f>SUMIF('2.报价结算清单'!$F$7:$F$679,$A258,'2.报价结算清单'!$N$7:$N$679)</f>
        <v>0</v>
      </c>
      <c r="I258" s="59">
        <f>SUMIF('2.报价结算清单'!$F$7:$F$679,A258,'2.报价结算清单'!$P$7:$P$679)</f>
        <v>0</v>
      </c>
    </row>
    <row r="259" spans="1:9">
      <c r="A259" s="74" t="s">
        <v>498</v>
      </c>
      <c r="B259" s="72"/>
      <c r="C259" s="72" t="s">
        <v>1305</v>
      </c>
      <c r="D259" s="76" t="s">
        <v>1041</v>
      </c>
      <c r="E259" s="72" t="s">
        <v>26</v>
      </c>
      <c r="F259" s="62">
        <f>VLOOKUP(A259,[1]基准价格!$A:$G,7,0)</f>
        <v>111.3</v>
      </c>
      <c r="G259" s="56">
        <f>SUMIF('2.报价结算清单'!$F$7:$F$679,$A259,'2.报价结算清单'!$L$7:$L$679)</f>
        <v>0</v>
      </c>
      <c r="H259" s="56">
        <f>SUMIF('2.报价结算清单'!$F$7:$F$679,$A259,'2.报价结算清单'!$N$7:$N$679)</f>
        <v>0</v>
      </c>
      <c r="I259" s="59">
        <f>SUMIF('2.报价结算清单'!$F$7:$F$679,A259,'2.报价结算清单'!$P$7:$P$679)</f>
        <v>0</v>
      </c>
    </row>
    <row r="260" spans="1:9">
      <c r="A260" s="74" t="s">
        <v>499</v>
      </c>
      <c r="B260" s="72"/>
      <c r="C260" s="72" t="s">
        <v>1305</v>
      </c>
      <c r="D260" s="76" t="s">
        <v>1042</v>
      </c>
      <c r="E260" s="72" t="s">
        <v>26</v>
      </c>
      <c r="F260" s="62">
        <f>VLOOKUP(A260,[1]基准价格!$A:$G,7,0)</f>
        <v>206.7</v>
      </c>
      <c r="G260" s="56">
        <f>SUMIF('2.报价结算清单'!$F$7:$F$679,$A260,'2.报价结算清单'!$L$7:$L$679)</f>
        <v>0</v>
      </c>
      <c r="H260" s="56">
        <f>SUMIF('2.报价结算清单'!$F$7:$F$679,$A260,'2.报价结算清单'!$N$7:$N$679)</f>
        <v>0</v>
      </c>
      <c r="I260" s="59">
        <f>SUMIF('2.报价结算清单'!$F$7:$F$679,A260,'2.报价结算清单'!$P$7:$P$679)</f>
        <v>0</v>
      </c>
    </row>
    <row r="261" spans="1:9">
      <c r="A261" s="74" t="s">
        <v>500</v>
      </c>
      <c r="B261" s="72"/>
      <c r="C261" s="72" t="s">
        <v>1305</v>
      </c>
      <c r="D261" s="76" t="s">
        <v>1043</v>
      </c>
      <c r="E261" s="72" t="s">
        <v>26</v>
      </c>
      <c r="F261" s="62">
        <f>VLOOKUP(A261,[1]基准价格!$A:$G,7,0)</f>
        <v>31.8</v>
      </c>
      <c r="G261" s="56">
        <f>SUMIF('2.报价结算清单'!$F$7:$F$679,$A261,'2.报价结算清单'!$L$7:$L$679)</f>
        <v>0</v>
      </c>
      <c r="H261" s="56">
        <f>SUMIF('2.报价结算清单'!$F$7:$F$679,$A261,'2.报价结算清单'!$N$7:$N$679)</f>
        <v>0</v>
      </c>
      <c r="I261" s="59">
        <f>SUMIF('2.报价结算清单'!$F$7:$F$679,A261,'2.报价结算清单'!$P$7:$P$679)</f>
        <v>0</v>
      </c>
    </row>
    <row r="262" spans="1:9">
      <c r="A262" s="74" t="s">
        <v>501</v>
      </c>
      <c r="B262" s="72"/>
      <c r="C262" s="72" t="s">
        <v>1305</v>
      </c>
      <c r="D262" s="76" t="s">
        <v>1044</v>
      </c>
      <c r="E262" s="72" t="s">
        <v>27</v>
      </c>
      <c r="F262" s="62">
        <f>VLOOKUP(A262,[1]基准价格!$A:$G,7,0)</f>
        <v>58.3</v>
      </c>
      <c r="G262" s="56">
        <f>SUMIF('2.报价结算清单'!$F$7:$F$679,$A262,'2.报价结算清单'!$L$7:$L$679)</f>
        <v>0</v>
      </c>
      <c r="H262" s="56">
        <f>SUMIF('2.报价结算清单'!$F$7:$F$679,$A262,'2.报价结算清单'!$N$7:$N$679)</f>
        <v>0</v>
      </c>
      <c r="I262" s="59">
        <f>SUMIF('2.报价结算清单'!$F$7:$F$679,A262,'2.报价结算清单'!$P$7:$P$679)</f>
        <v>0</v>
      </c>
    </row>
    <row r="263" spans="1:9">
      <c r="A263" s="74" t="s">
        <v>502</v>
      </c>
      <c r="B263" s="72"/>
      <c r="C263" s="72" t="s">
        <v>1305</v>
      </c>
      <c r="D263" s="76" t="s">
        <v>1045</v>
      </c>
      <c r="E263" s="72" t="s">
        <v>27</v>
      </c>
      <c r="F263" s="62">
        <f>VLOOKUP(A263,[1]基准价格!$A:$G,7,0)</f>
        <v>42.4</v>
      </c>
      <c r="G263" s="56">
        <f>SUMIF('2.报价结算清单'!$F$7:$F$679,$A263,'2.报价结算清单'!$L$7:$L$679)</f>
        <v>0</v>
      </c>
      <c r="H263" s="56">
        <f>SUMIF('2.报价结算清单'!$F$7:$F$679,$A263,'2.报价结算清单'!$N$7:$N$679)</f>
        <v>0</v>
      </c>
      <c r="I263" s="59">
        <f>SUMIF('2.报价结算清单'!$F$7:$F$679,A263,'2.报价结算清单'!$P$7:$P$679)</f>
        <v>0</v>
      </c>
    </row>
    <row r="264" spans="1:9">
      <c r="A264" s="74" t="s">
        <v>503</v>
      </c>
      <c r="B264" s="72"/>
      <c r="C264" s="72" t="s">
        <v>1305</v>
      </c>
      <c r="D264" s="76" t="s">
        <v>1046</v>
      </c>
      <c r="E264" s="72" t="s">
        <v>32</v>
      </c>
      <c r="F264" s="62">
        <f>VLOOKUP(A264,[1]基准价格!$A:$G,7,0)</f>
        <v>21.2</v>
      </c>
      <c r="G264" s="56">
        <f>SUMIF('2.报价结算清单'!$F$7:$F$679,$A264,'2.报价结算清单'!$L$7:$L$679)</f>
        <v>0</v>
      </c>
      <c r="H264" s="56">
        <f>SUMIF('2.报价结算清单'!$F$7:$F$679,$A264,'2.报价结算清单'!$N$7:$N$679)</f>
        <v>0</v>
      </c>
      <c r="I264" s="59">
        <f>SUMIF('2.报价结算清单'!$F$7:$F$679,A264,'2.报价结算清单'!$P$7:$P$679)</f>
        <v>0</v>
      </c>
    </row>
    <row r="265" spans="1:9">
      <c r="A265" s="74" t="s">
        <v>504</v>
      </c>
      <c r="B265" s="72"/>
      <c r="C265" s="72" t="s">
        <v>1305</v>
      </c>
      <c r="D265" s="76" t="s">
        <v>1047</v>
      </c>
      <c r="E265" s="72" t="s">
        <v>32</v>
      </c>
      <c r="F265" s="62">
        <f>VLOOKUP(A265,[1]基准价格!$A:$G,7,0)</f>
        <v>74.2</v>
      </c>
      <c r="G265" s="56">
        <f>SUMIF('2.报价结算清单'!$F$7:$F$679,$A265,'2.报价结算清单'!$L$7:$L$679)</f>
        <v>0</v>
      </c>
      <c r="H265" s="56">
        <f>SUMIF('2.报价结算清单'!$F$7:$F$679,$A265,'2.报价结算清单'!$N$7:$N$679)</f>
        <v>0</v>
      </c>
      <c r="I265" s="59">
        <f>SUMIF('2.报价结算清单'!$F$7:$F$679,A265,'2.报价结算清单'!$P$7:$P$679)</f>
        <v>0</v>
      </c>
    </row>
    <row r="266" spans="1:9">
      <c r="A266" s="74" t="s">
        <v>505</v>
      </c>
      <c r="B266" s="72"/>
      <c r="C266" s="72" t="s">
        <v>1305</v>
      </c>
      <c r="D266" s="76" t="s">
        <v>1048</v>
      </c>
      <c r="E266" s="72" t="s">
        <v>26</v>
      </c>
      <c r="F266" s="62">
        <f>VLOOKUP(A266,[1]基准价格!$A:$G,7,0)</f>
        <v>445.2</v>
      </c>
      <c r="G266" s="56">
        <f>SUMIF('2.报价结算清单'!$F$7:$F$679,$A266,'2.报价结算清单'!$L$7:$L$679)</f>
        <v>0</v>
      </c>
      <c r="H266" s="56">
        <f>SUMIF('2.报价结算清单'!$F$7:$F$679,$A266,'2.报价结算清单'!$N$7:$N$679)</f>
        <v>0</v>
      </c>
      <c r="I266" s="59">
        <f>SUMIF('2.报价结算清单'!$F$7:$F$679,A266,'2.报价结算清单'!$P$7:$P$679)</f>
        <v>0</v>
      </c>
    </row>
    <row r="267" spans="1:9" ht="28.5">
      <c r="A267" s="74" t="s">
        <v>506</v>
      </c>
      <c r="B267" s="72"/>
      <c r="C267" s="72" t="s">
        <v>1305</v>
      </c>
      <c r="D267" s="76" t="s">
        <v>1306</v>
      </c>
      <c r="E267" s="72" t="s">
        <v>26</v>
      </c>
      <c r="F267" s="62">
        <f>VLOOKUP(A267,[1]基准价格!$A:$G,7,0)</f>
        <v>106</v>
      </c>
      <c r="G267" s="56">
        <f>SUMIF('2.报价结算清单'!$F$7:$F$679,$A267,'2.报价结算清单'!$L$7:$L$679)</f>
        <v>0</v>
      </c>
      <c r="H267" s="56">
        <f>SUMIF('2.报价结算清单'!$F$7:$F$679,$A267,'2.报价结算清单'!$N$7:$N$679)</f>
        <v>0</v>
      </c>
      <c r="I267" s="59">
        <f>SUMIF('2.报价结算清单'!$F$7:$F$679,A267,'2.报价结算清单'!$P$7:$P$679)</f>
        <v>0</v>
      </c>
    </row>
    <row r="268" spans="1:9" ht="28.5">
      <c r="A268" s="74" t="s">
        <v>507</v>
      </c>
      <c r="B268" s="72"/>
      <c r="C268" s="72" t="s">
        <v>1305</v>
      </c>
      <c r="D268" s="76" t="s">
        <v>1307</v>
      </c>
      <c r="E268" s="72" t="s">
        <v>26</v>
      </c>
      <c r="F268" s="62">
        <f>VLOOKUP(A268,[1]基准价格!$A:$G,7,0)</f>
        <v>106</v>
      </c>
      <c r="G268" s="56">
        <f>SUMIF('2.报价结算清单'!$F$7:$F$679,$A268,'2.报价结算清单'!$L$7:$L$679)</f>
        <v>0</v>
      </c>
      <c r="H268" s="56">
        <f>SUMIF('2.报价结算清单'!$F$7:$F$679,$A268,'2.报价结算清单'!$N$7:$N$679)</f>
        <v>0</v>
      </c>
      <c r="I268" s="59">
        <f>SUMIF('2.报价结算清单'!$F$7:$F$679,A268,'2.报价结算清单'!$P$7:$P$679)</f>
        <v>0</v>
      </c>
    </row>
    <row r="269" spans="1:9">
      <c r="A269" s="74" t="s">
        <v>508</v>
      </c>
      <c r="B269" s="72"/>
      <c r="C269" s="72" t="s">
        <v>1305</v>
      </c>
      <c r="D269" s="76" t="s">
        <v>1049</v>
      </c>
      <c r="E269" s="72" t="s">
        <v>26</v>
      </c>
      <c r="F269" s="62">
        <f>VLOOKUP(A269,[1]基准价格!$A:$G,7,0)</f>
        <v>32.86</v>
      </c>
      <c r="G269" s="56">
        <f>SUMIF('2.报价结算清单'!$F$7:$F$679,$A269,'2.报价结算清单'!$L$7:$L$679)</f>
        <v>0</v>
      </c>
      <c r="H269" s="56">
        <f>SUMIF('2.报价结算清单'!$F$7:$F$679,$A269,'2.报价结算清单'!$N$7:$N$679)</f>
        <v>0</v>
      </c>
      <c r="I269" s="59">
        <f>SUMIF('2.报价结算清单'!$F$7:$F$679,A269,'2.报价结算清单'!$P$7:$P$679)</f>
        <v>0</v>
      </c>
    </row>
    <row r="270" spans="1:9">
      <c r="A270" s="74" t="s">
        <v>509</v>
      </c>
      <c r="B270" s="72"/>
      <c r="C270" s="72" t="s">
        <v>1305</v>
      </c>
      <c r="D270" s="76" t="s">
        <v>1050</v>
      </c>
      <c r="E270" s="72" t="s">
        <v>26</v>
      </c>
      <c r="F270" s="62">
        <f>VLOOKUP(A270,[1]基准价格!$A:$G,7,0)</f>
        <v>53</v>
      </c>
      <c r="G270" s="56">
        <f>SUMIF('2.报价结算清单'!$F$7:$F$679,$A270,'2.报价结算清单'!$L$7:$L$679)</f>
        <v>0</v>
      </c>
      <c r="H270" s="56">
        <f>SUMIF('2.报价结算清单'!$F$7:$F$679,$A270,'2.报价结算清单'!$N$7:$N$679)</f>
        <v>0</v>
      </c>
      <c r="I270" s="59">
        <f>SUMIF('2.报价结算清单'!$F$7:$F$679,A270,'2.报价结算清单'!$P$7:$P$679)</f>
        <v>0</v>
      </c>
    </row>
    <row r="271" spans="1:9">
      <c r="A271" s="74" t="s">
        <v>520</v>
      </c>
      <c r="B271" s="72"/>
      <c r="C271" s="72" t="s">
        <v>1305</v>
      </c>
      <c r="D271" s="76" t="s">
        <v>1051</v>
      </c>
      <c r="E271" s="72" t="s">
        <v>26</v>
      </c>
      <c r="F271" s="62">
        <f>VLOOKUP(A271,[1]基准价格!$A:$G,7,0)</f>
        <v>106</v>
      </c>
      <c r="G271" s="56">
        <f>SUMIF('2.报价结算清单'!$F$7:$F$679,$A271,'2.报价结算清单'!$L$7:$L$679)</f>
        <v>0</v>
      </c>
      <c r="H271" s="56">
        <f>SUMIF('2.报价结算清单'!$F$7:$F$679,$A271,'2.报价结算清单'!$N$7:$N$679)</f>
        <v>0</v>
      </c>
      <c r="I271" s="59">
        <f>SUMIF('2.报价结算清单'!$F$7:$F$679,A271,'2.报价结算清单'!$P$7:$P$679)</f>
        <v>0</v>
      </c>
    </row>
    <row r="272" spans="1:9">
      <c r="A272" s="74" t="s">
        <v>521</v>
      </c>
      <c r="B272" s="72"/>
      <c r="C272" s="72" t="s">
        <v>1305</v>
      </c>
      <c r="D272" s="76" t="s">
        <v>1052</v>
      </c>
      <c r="E272" s="72" t="s">
        <v>31</v>
      </c>
      <c r="F272" s="62">
        <f>VLOOKUP(A272,[1]基准价格!$A:$G,7,0)</f>
        <v>1400</v>
      </c>
      <c r="G272" s="56">
        <f>SUMIF('2.报价结算清单'!$F$7:$F$679,$A272,'2.报价结算清单'!$L$7:$L$679)</f>
        <v>0</v>
      </c>
      <c r="H272" s="56">
        <f>SUMIF('2.报价结算清单'!$F$7:$F$679,$A272,'2.报价结算清单'!$N$7:$N$679)</f>
        <v>0</v>
      </c>
      <c r="I272" s="59">
        <f>SUMIF('2.报价结算清单'!$F$7:$F$679,A272,'2.报价结算清单'!$P$7:$P$679)</f>
        <v>0</v>
      </c>
    </row>
    <row r="273" spans="1:9">
      <c r="A273" s="74" t="s">
        <v>522</v>
      </c>
      <c r="B273" s="72"/>
      <c r="C273" s="72" t="s">
        <v>1305</v>
      </c>
      <c r="D273" s="76" t="s">
        <v>1053</v>
      </c>
      <c r="E273" s="72" t="s">
        <v>31</v>
      </c>
      <c r="F273" s="62">
        <f>VLOOKUP(A273,[1]基准价格!$A:$G,7,0)</f>
        <v>2433.33</v>
      </c>
      <c r="G273" s="56">
        <f>SUMIF('2.报价结算清单'!$F$7:$F$679,$A273,'2.报价结算清单'!$L$7:$L$679)</f>
        <v>0</v>
      </c>
      <c r="H273" s="56">
        <f>SUMIF('2.报价结算清单'!$F$7:$F$679,$A273,'2.报价结算清单'!$N$7:$N$679)</f>
        <v>0</v>
      </c>
      <c r="I273" s="59">
        <f>SUMIF('2.报价结算清单'!$F$7:$F$679,A273,'2.报价结算清单'!$P$7:$P$679)</f>
        <v>0</v>
      </c>
    </row>
    <row r="274" spans="1:9">
      <c r="A274" s="74" t="s">
        <v>510</v>
      </c>
      <c r="B274" s="72"/>
      <c r="C274" s="72" t="s">
        <v>1305</v>
      </c>
      <c r="D274" s="76" t="s">
        <v>1054</v>
      </c>
      <c r="E274" s="72" t="s">
        <v>31</v>
      </c>
      <c r="F274" s="62">
        <f>VLOOKUP(A274,[1]基准价格!$A:$G,7,0)</f>
        <v>483.33</v>
      </c>
      <c r="G274" s="56">
        <f>SUMIF('2.报价结算清单'!$F$7:$F$679,$A274,'2.报价结算清单'!$L$7:$L$679)</f>
        <v>0</v>
      </c>
      <c r="H274" s="56">
        <f>SUMIF('2.报价结算清单'!$F$7:$F$679,$A274,'2.报价结算清单'!$N$7:$N$679)</f>
        <v>0</v>
      </c>
      <c r="I274" s="59">
        <f>SUMIF('2.报价结算清单'!$F$7:$F$679,A274,'2.报价结算清单'!$P$7:$P$679)</f>
        <v>0</v>
      </c>
    </row>
    <row r="275" spans="1:9">
      <c r="A275" s="74" t="s">
        <v>523</v>
      </c>
      <c r="B275" s="72"/>
      <c r="C275" s="72" t="s">
        <v>1305</v>
      </c>
      <c r="D275" s="76" t="s">
        <v>1055</v>
      </c>
      <c r="E275" s="72" t="s">
        <v>33</v>
      </c>
      <c r="F275" s="62">
        <f>VLOOKUP(A275,[1]基准价格!$A:$G,7,0)</f>
        <v>486.67</v>
      </c>
      <c r="G275" s="56">
        <f>SUMIF('2.报价结算清单'!$F$7:$F$679,$A275,'2.报价结算清单'!$L$7:$L$679)</f>
        <v>0</v>
      </c>
      <c r="H275" s="56">
        <f>SUMIF('2.报价结算清单'!$F$7:$F$679,$A275,'2.报价结算清单'!$N$7:$N$679)</f>
        <v>0</v>
      </c>
      <c r="I275" s="59">
        <f>SUMIF('2.报价结算清单'!$F$7:$F$679,A275,'2.报价结算清单'!$P$7:$P$679)</f>
        <v>0</v>
      </c>
    </row>
    <row r="276" spans="1:9">
      <c r="A276" s="74" t="s">
        <v>524</v>
      </c>
      <c r="B276" s="72"/>
      <c r="C276" s="72" t="s">
        <v>1305</v>
      </c>
      <c r="D276" s="76" t="s">
        <v>1056</v>
      </c>
      <c r="E276" s="72" t="s">
        <v>33</v>
      </c>
      <c r="F276" s="62">
        <f>VLOOKUP(A276,[1]基准价格!$A:$G,7,0)</f>
        <v>833.33</v>
      </c>
      <c r="G276" s="56">
        <f>SUMIF('2.报价结算清单'!$F$7:$F$679,$A276,'2.报价结算清单'!$L$7:$L$679)</f>
        <v>0</v>
      </c>
      <c r="H276" s="56">
        <f>SUMIF('2.报价结算清单'!$F$7:$F$679,$A276,'2.报价结算清单'!$N$7:$N$679)</f>
        <v>0</v>
      </c>
      <c r="I276" s="59">
        <f>SUMIF('2.报价结算清单'!$F$7:$F$679,A276,'2.报价结算清单'!$P$7:$P$679)</f>
        <v>0</v>
      </c>
    </row>
    <row r="277" spans="1:9">
      <c r="A277" s="74" t="s">
        <v>525</v>
      </c>
      <c r="B277" s="72"/>
      <c r="C277" s="72" t="s">
        <v>1305</v>
      </c>
      <c r="D277" s="76" t="s">
        <v>1057</v>
      </c>
      <c r="E277" s="72" t="s">
        <v>33</v>
      </c>
      <c r="F277" s="62">
        <f>VLOOKUP(A277,[1]基准价格!$A:$G,7,0)</f>
        <v>1353.33</v>
      </c>
      <c r="G277" s="56">
        <f>SUMIF('2.报价结算清单'!$F$7:$F$679,$A277,'2.报价结算清单'!$L$7:$L$679)</f>
        <v>0</v>
      </c>
      <c r="H277" s="56">
        <f>SUMIF('2.报价结算清单'!$F$7:$F$679,$A277,'2.报价结算清单'!$N$7:$N$679)</f>
        <v>0</v>
      </c>
      <c r="I277" s="59">
        <f>SUMIF('2.报价结算清单'!$F$7:$F$679,A277,'2.报价结算清单'!$P$7:$P$679)</f>
        <v>0</v>
      </c>
    </row>
    <row r="278" spans="1:9">
      <c r="A278" s="74" t="s">
        <v>562</v>
      </c>
      <c r="B278" s="72"/>
      <c r="C278" s="72" t="s">
        <v>1305</v>
      </c>
      <c r="D278" s="76" t="s">
        <v>1058</v>
      </c>
      <c r="E278" s="72" t="s">
        <v>33</v>
      </c>
      <c r="F278" s="62">
        <f>VLOOKUP(A278,[1]基准价格!$A:$G,7,0)</f>
        <v>1533.33</v>
      </c>
      <c r="G278" s="56">
        <f>SUMIF('2.报价结算清单'!$F$7:$F$679,$A278,'2.报价结算清单'!$L$7:$L$679)</f>
        <v>0</v>
      </c>
      <c r="H278" s="56">
        <f>SUMIF('2.报价结算清单'!$F$7:$F$679,$A278,'2.报价结算清单'!$N$7:$N$679)</f>
        <v>0</v>
      </c>
      <c r="I278" s="59">
        <f>SUMIF('2.报价结算清单'!$F$7:$F$679,A278,'2.报价结算清单'!$P$7:$P$679)</f>
        <v>0</v>
      </c>
    </row>
    <row r="279" spans="1:9">
      <c r="A279" s="74" t="s">
        <v>563</v>
      </c>
      <c r="B279" s="72"/>
      <c r="C279" s="72" t="s">
        <v>1305</v>
      </c>
      <c r="D279" s="76" t="s">
        <v>1059</v>
      </c>
      <c r="E279" s="72" t="s">
        <v>33</v>
      </c>
      <c r="F279" s="62">
        <f>VLOOKUP(A279,[1]基准价格!$A:$G,7,0)</f>
        <v>1600</v>
      </c>
      <c r="G279" s="56">
        <f>SUMIF('2.报价结算清单'!$F$7:$F$679,$A279,'2.报价结算清单'!$L$7:$L$679)</f>
        <v>0</v>
      </c>
      <c r="H279" s="56">
        <f>SUMIF('2.报价结算清单'!$F$7:$F$679,$A279,'2.报价结算清单'!$N$7:$N$679)</f>
        <v>0</v>
      </c>
      <c r="I279" s="59">
        <f>SUMIF('2.报价结算清单'!$F$7:$F$679,A279,'2.报价结算清单'!$P$7:$P$679)</f>
        <v>0</v>
      </c>
    </row>
    <row r="280" spans="1:9">
      <c r="A280" s="74" t="s">
        <v>640</v>
      </c>
      <c r="B280" s="72"/>
      <c r="C280" s="72" t="s">
        <v>1305</v>
      </c>
      <c r="D280" s="76" t="s">
        <v>1060</v>
      </c>
      <c r="E280" s="72" t="s">
        <v>33</v>
      </c>
      <c r="F280" s="62">
        <f>VLOOKUP(A280,[1]基准价格!$A:$G,7,0)</f>
        <v>2066.67</v>
      </c>
      <c r="G280" s="56">
        <f>SUMIF('2.报价结算清单'!$F$7:$F$679,$A280,'2.报价结算清单'!$L$7:$L$679)</f>
        <v>0</v>
      </c>
      <c r="H280" s="56">
        <f>SUMIF('2.报价结算清单'!$F$7:$F$679,$A280,'2.报价结算清单'!$N$7:$N$679)</f>
        <v>0</v>
      </c>
      <c r="I280" s="59">
        <f>SUMIF('2.报价结算清单'!$F$7:$F$679,A280,'2.报价结算清单'!$P$7:$P$679)</f>
        <v>0</v>
      </c>
    </row>
    <row r="281" spans="1:9">
      <c r="A281" s="74" t="s">
        <v>641</v>
      </c>
      <c r="B281" s="72"/>
      <c r="C281" s="72" t="s">
        <v>1305</v>
      </c>
      <c r="D281" s="76" t="s">
        <v>1061</v>
      </c>
      <c r="E281" s="72" t="s">
        <v>33</v>
      </c>
      <c r="F281" s="62">
        <f>VLOOKUP(A281,[1]基准价格!$A:$G,7,0)</f>
        <v>2300</v>
      </c>
      <c r="G281" s="56">
        <f>SUMIF('2.报价结算清单'!$F$7:$F$679,$A281,'2.报价结算清单'!$L$7:$L$679)</f>
        <v>4</v>
      </c>
      <c r="H281" s="56">
        <f>SUMIF('2.报价结算清单'!$F$7:$F$679,$A281,'2.报价结算清单'!$N$7:$N$679)</f>
        <v>4</v>
      </c>
      <c r="I281" s="59">
        <f>SUMIF('2.报价结算清单'!$F$7:$F$679,A281,'2.报价结算清单'!$P$7:$P$679)</f>
        <v>36800</v>
      </c>
    </row>
    <row r="282" spans="1:9">
      <c r="A282" s="74" t="s">
        <v>642</v>
      </c>
      <c r="B282" s="72"/>
      <c r="C282" s="72" t="s">
        <v>1305</v>
      </c>
      <c r="D282" s="76" t="s">
        <v>1062</v>
      </c>
      <c r="E282" s="72" t="s">
        <v>33</v>
      </c>
      <c r="F282" s="62">
        <f>VLOOKUP(A282,[1]基准价格!$A:$G,7,0)</f>
        <v>2756</v>
      </c>
      <c r="G282" s="56">
        <f>SUMIF('2.报价结算清单'!$F$7:$F$679,$A282,'2.报价结算清单'!$L$7:$L$679)</f>
        <v>0</v>
      </c>
      <c r="H282" s="56">
        <f>SUMIF('2.报价结算清单'!$F$7:$F$679,$A282,'2.报价结算清单'!$N$7:$N$679)</f>
        <v>0</v>
      </c>
      <c r="I282" s="59">
        <f>SUMIF('2.报价结算清单'!$F$7:$F$679,A282,'2.报价结算清单'!$P$7:$P$679)</f>
        <v>0</v>
      </c>
    </row>
    <row r="283" spans="1:9">
      <c r="A283" s="74" t="s">
        <v>643</v>
      </c>
      <c r="B283" s="72"/>
      <c r="C283" s="72" t="s">
        <v>1305</v>
      </c>
      <c r="D283" s="76" t="s">
        <v>1063</v>
      </c>
      <c r="E283" s="72" t="s">
        <v>1214</v>
      </c>
      <c r="F283" s="62">
        <f>VLOOKUP(A283,[1]基准价格!$A:$G,7,0)</f>
        <v>7</v>
      </c>
      <c r="G283" s="56">
        <f>SUMIF('2.报价结算清单'!$F$7:$F$679,$A283,'2.报价结算清单'!$L$7:$L$679)</f>
        <v>0</v>
      </c>
      <c r="H283" s="56">
        <f>SUMIF('2.报价结算清单'!$F$7:$F$679,$A283,'2.报价结算清单'!$N$7:$N$679)</f>
        <v>0</v>
      </c>
      <c r="I283" s="59">
        <f>SUMIF('2.报价结算清单'!$F$7:$F$679,A283,'2.报价结算清单'!$P$7:$P$679)</f>
        <v>0</v>
      </c>
    </row>
    <row r="284" spans="1:9">
      <c r="A284" s="74" t="s">
        <v>644</v>
      </c>
      <c r="B284" s="72"/>
      <c r="C284" s="72" t="s">
        <v>1305</v>
      </c>
      <c r="D284" s="76" t="s">
        <v>1064</v>
      </c>
      <c r="E284" s="72" t="s">
        <v>1214</v>
      </c>
      <c r="F284" s="62">
        <f>VLOOKUP(A284,[1]基准价格!$A:$G,7,0)</f>
        <v>8.48</v>
      </c>
      <c r="G284" s="56">
        <f>SUMIF('2.报价结算清单'!$F$7:$F$679,$A284,'2.报价结算清单'!$L$7:$L$679)</f>
        <v>0</v>
      </c>
      <c r="H284" s="56">
        <f>SUMIF('2.报价结算清单'!$F$7:$F$679,$A284,'2.报价结算清单'!$N$7:$N$679)</f>
        <v>0</v>
      </c>
      <c r="I284" s="59">
        <f>SUMIF('2.报价结算清单'!$F$7:$F$679,A284,'2.报价结算清单'!$P$7:$P$679)</f>
        <v>0</v>
      </c>
    </row>
    <row r="285" spans="1:9">
      <c r="A285" s="74" t="s">
        <v>645</v>
      </c>
      <c r="B285" s="72"/>
      <c r="C285" s="72" t="s">
        <v>1305</v>
      </c>
      <c r="D285" s="76" t="s">
        <v>1065</v>
      </c>
      <c r="E285" s="72" t="s">
        <v>1214</v>
      </c>
      <c r="F285" s="62">
        <f>VLOOKUP(A285,[1]基准价格!$A:$G,7,0)</f>
        <v>9.5399999999999991</v>
      </c>
      <c r="G285" s="56">
        <f>SUMIF('2.报价结算清单'!$F$7:$F$679,$A285,'2.报价结算清单'!$L$7:$L$679)</f>
        <v>0</v>
      </c>
      <c r="H285" s="56">
        <f>SUMIF('2.报价结算清单'!$F$7:$F$679,$A285,'2.报价结算清单'!$N$7:$N$679)</f>
        <v>0</v>
      </c>
      <c r="I285" s="59">
        <f>SUMIF('2.报价结算清单'!$F$7:$F$679,A285,'2.报价结算清单'!$P$7:$P$679)</f>
        <v>0</v>
      </c>
    </row>
    <row r="286" spans="1:9">
      <c r="A286" s="74" t="s">
        <v>646</v>
      </c>
      <c r="B286" s="72"/>
      <c r="C286" s="72" t="s">
        <v>1305</v>
      </c>
      <c r="D286" s="76" t="s">
        <v>1066</v>
      </c>
      <c r="E286" s="72" t="s">
        <v>1214</v>
      </c>
      <c r="F286" s="62">
        <f>VLOOKUP(A286,[1]基准价格!$A:$G,7,0)</f>
        <v>10</v>
      </c>
      <c r="G286" s="56">
        <f>SUMIF('2.报价结算清单'!$F$7:$F$679,$A286,'2.报价结算清单'!$L$7:$L$679)</f>
        <v>0</v>
      </c>
      <c r="H286" s="56">
        <f>SUMIF('2.报价结算清单'!$F$7:$F$679,$A286,'2.报价结算清单'!$N$7:$N$679)</f>
        <v>0</v>
      </c>
      <c r="I286" s="59">
        <f>SUMIF('2.报价结算清单'!$F$7:$F$679,A286,'2.报价结算清单'!$P$7:$P$679)</f>
        <v>0</v>
      </c>
    </row>
    <row r="287" spans="1:9">
      <c r="A287" s="74" t="s">
        <v>647</v>
      </c>
      <c r="B287" s="72"/>
      <c r="C287" s="72" t="s">
        <v>1305</v>
      </c>
      <c r="D287" s="76" t="s">
        <v>1067</v>
      </c>
      <c r="E287" s="72" t="s">
        <v>1214</v>
      </c>
      <c r="F287" s="62">
        <f>VLOOKUP(A287,[1]基准价格!$A:$G,7,0)</f>
        <v>14</v>
      </c>
      <c r="G287" s="56">
        <f>SUMIF('2.报价结算清单'!$F$7:$F$679,$A287,'2.报价结算清单'!$L$7:$L$679)</f>
        <v>0</v>
      </c>
      <c r="H287" s="56">
        <f>SUMIF('2.报价结算清单'!$F$7:$F$679,$A287,'2.报价结算清单'!$N$7:$N$679)</f>
        <v>0</v>
      </c>
      <c r="I287" s="59">
        <f>SUMIF('2.报价结算清单'!$F$7:$F$679,A287,'2.报价结算清单'!$P$7:$P$679)</f>
        <v>0</v>
      </c>
    </row>
    <row r="288" spans="1:9">
      <c r="A288" s="74" t="s">
        <v>648</v>
      </c>
      <c r="B288" s="72"/>
      <c r="C288" s="72" t="s">
        <v>1305</v>
      </c>
      <c r="D288" s="76" t="s">
        <v>1068</v>
      </c>
      <c r="E288" s="72" t="s">
        <v>1214</v>
      </c>
      <c r="F288" s="62">
        <f>VLOOKUP(A288,[1]基准价格!$A:$G,7,0)</f>
        <v>18.02</v>
      </c>
      <c r="G288" s="56">
        <f>SUMIF('2.报价结算清单'!$F$7:$F$679,$A288,'2.报价结算清单'!$L$7:$L$679)</f>
        <v>0</v>
      </c>
      <c r="H288" s="56">
        <f>SUMIF('2.报价结算清单'!$F$7:$F$679,$A288,'2.报价结算清单'!$N$7:$N$679)</f>
        <v>0</v>
      </c>
      <c r="I288" s="59">
        <f>SUMIF('2.报价结算清单'!$F$7:$F$679,A288,'2.报价结算清单'!$P$7:$P$679)</f>
        <v>0</v>
      </c>
    </row>
    <row r="289" spans="1:9" ht="28.5">
      <c r="A289" s="74" t="s">
        <v>543</v>
      </c>
      <c r="B289" s="72"/>
      <c r="C289" s="72" t="s">
        <v>1308</v>
      </c>
      <c r="D289" s="76" t="s">
        <v>1309</v>
      </c>
      <c r="E289" s="72" t="s">
        <v>23</v>
      </c>
      <c r="F289" s="62">
        <f>VLOOKUP(A289,[1]基准价格!$A:$G,7,0)</f>
        <v>1060</v>
      </c>
      <c r="G289" s="56">
        <f>SUMIF('2.报价结算清单'!$F$7:$F$679,$A289,'2.报价结算清单'!$L$7:$L$679)</f>
        <v>0</v>
      </c>
      <c r="H289" s="56">
        <f>SUMIF('2.报价结算清单'!$F$7:$F$679,$A289,'2.报价结算清单'!$N$7:$N$679)</f>
        <v>0</v>
      </c>
      <c r="I289" s="59">
        <f>SUMIF('2.报价结算清单'!$F$7:$F$679,A289,'2.报价结算清单'!$P$7:$P$679)</f>
        <v>0</v>
      </c>
    </row>
    <row r="290" spans="1:9" ht="28.5">
      <c r="A290" s="74" t="s">
        <v>289</v>
      </c>
      <c r="B290" s="72"/>
      <c r="C290" s="72" t="s">
        <v>1308</v>
      </c>
      <c r="D290" s="76" t="s">
        <v>1310</v>
      </c>
      <c r="E290" s="72" t="s">
        <v>23</v>
      </c>
      <c r="F290" s="62">
        <f>VLOOKUP(A290,[1]基准价格!$A:$G,7,0)</f>
        <v>742</v>
      </c>
      <c r="G290" s="56">
        <f>SUMIF('2.报价结算清单'!$F$7:$F$679,$A290,'2.报价结算清单'!$L$7:$L$679)</f>
        <v>0</v>
      </c>
      <c r="H290" s="56">
        <f>SUMIF('2.报价结算清单'!$F$7:$F$679,$A290,'2.报价结算清单'!$N$7:$N$679)</f>
        <v>0</v>
      </c>
      <c r="I290" s="59">
        <f>SUMIF('2.报价结算清单'!$F$7:$F$679,A290,'2.报价结算清单'!$P$7:$P$679)</f>
        <v>0</v>
      </c>
    </row>
    <row r="291" spans="1:9" ht="28.5">
      <c r="A291" s="74" t="s">
        <v>290</v>
      </c>
      <c r="B291" s="72"/>
      <c r="C291" s="72" t="s">
        <v>1308</v>
      </c>
      <c r="D291" s="76" t="s">
        <v>1311</v>
      </c>
      <c r="E291" s="72" t="s">
        <v>23</v>
      </c>
      <c r="F291" s="62">
        <f>VLOOKUP(A291,[1]基准价格!$A:$G,7,0)</f>
        <v>466.4</v>
      </c>
      <c r="G291" s="56">
        <f>SUMIF('2.报价结算清单'!$F$7:$F$679,$A291,'2.报价结算清单'!$L$7:$L$679)</f>
        <v>0</v>
      </c>
      <c r="H291" s="56">
        <f>SUMIF('2.报价结算清单'!$F$7:$F$679,$A291,'2.报价结算清单'!$N$7:$N$679)</f>
        <v>0</v>
      </c>
      <c r="I291" s="59">
        <f>SUMIF('2.报价结算清单'!$F$7:$F$679,A291,'2.报价结算清单'!$P$7:$P$679)</f>
        <v>0</v>
      </c>
    </row>
    <row r="292" spans="1:9" ht="28.5">
      <c r="A292" s="74" t="s">
        <v>291</v>
      </c>
      <c r="B292" s="72"/>
      <c r="C292" s="72" t="s">
        <v>1308</v>
      </c>
      <c r="D292" s="76" t="s">
        <v>1312</v>
      </c>
      <c r="E292" s="72" t="s">
        <v>23</v>
      </c>
      <c r="F292" s="62">
        <f>VLOOKUP(A292,[1]基准价格!$A:$G,7,0)</f>
        <v>371</v>
      </c>
      <c r="G292" s="56">
        <f>SUMIF('2.报价结算清单'!$F$7:$F$679,$A292,'2.报价结算清单'!$L$7:$L$679)</f>
        <v>0</v>
      </c>
      <c r="H292" s="56">
        <f>SUMIF('2.报价结算清单'!$F$7:$F$679,$A292,'2.报价结算清单'!$N$7:$N$679)</f>
        <v>0</v>
      </c>
      <c r="I292" s="59">
        <f>SUMIF('2.报价结算清单'!$F$7:$F$679,A292,'2.报价结算清单'!$P$7:$P$679)</f>
        <v>0</v>
      </c>
    </row>
    <row r="293" spans="1:9" ht="28.5">
      <c r="A293" s="74" t="s">
        <v>292</v>
      </c>
      <c r="B293" s="72"/>
      <c r="C293" s="72" t="s">
        <v>1308</v>
      </c>
      <c r="D293" s="76" t="s">
        <v>1313</v>
      </c>
      <c r="E293" s="72" t="s">
        <v>23</v>
      </c>
      <c r="F293" s="62">
        <f>VLOOKUP(A293,[1]基准价格!$A:$G,7,0)</f>
        <v>400</v>
      </c>
      <c r="G293" s="56">
        <f>SUMIF('2.报价结算清单'!$F$7:$F$679,$A293,'2.报价结算清单'!$L$7:$L$679)</f>
        <v>0</v>
      </c>
      <c r="H293" s="56">
        <f>SUMIF('2.报价结算清单'!$F$7:$F$679,$A293,'2.报价结算清单'!$N$7:$N$679)</f>
        <v>0</v>
      </c>
      <c r="I293" s="59">
        <f>SUMIF('2.报价结算清单'!$F$7:$F$679,A293,'2.报价结算清单'!$P$7:$P$679)</f>
        <v>0</v>
      </c>
    </row>
    <row r="294" spans="1:9" ht="28.5">
      <c r="A294" s="74" t="s">
        <v>293</v>
      </c>
      <c r="B294" s="72"/>
      <c r="C294" s="72" t="s">
        <v>1308</v>
      </c>
      <c r="D294" s="76" t="s">
        <v>1069</v>
      </c>
      <c r="E294" s="72" t="s">
        <v>23</v>
      </c>
      <c r="F294" s="62">
        <f>VLOOKUP(A294,[1]基准价格!$A:$G,7,0)</f>
        <v>750</v>
      </c>
      <c r="G294" s="56">
        <f>SUMIF('2.报价结算清单'!$F$7:$F$679,$A294,'2.报价结算清单'!$L$7:$L$679)</f>
        <v>0</v>
      </c>
      <c r="H294" s="56">
        <f>SUMIF('2.报价结算清单'!$F$7:$F$679,$A294,'2.报价结算清单'!$N$7:$N$679)</f>
        <v>0</v>
      </c>
      <c r="I294" s="59">
        <f>SUMIF('2.报价结算清单'!$F$7:$F$679,A294,'2.报价结算清单'!$P$7:$P$679)</f>
        <v>0</v>
      </c>
    </row>
    <row r="295" spans="1:9" ht="28.5">
      <c r="A295" s="74" t="s">
        <v>294</v>
      </c>
      <c r="B295" s="72"/>
      <c r="C295" s="72" t="s">
        <v>1308</v>
      </c>
      <c r="D295" s="76" t="s">
        <v>1070</v>
      </c>
      <c r="E295" s="72" t="s">
        <v>23</v>
      </c>
      <c r="F295" s="62">
        <f>VLOOKUP(A295,[1]基准价格!$A:$G,7,0)</f>
        <v>848</v>
      </c>
      <c r="G295" s="56">
        <f>SUMIF('2.报价结算清单'!$F$7:$F$679,$A295,'2.报价结算清单'!$L$7:$L$679)</f>
        <v>0</v>
      </c>
      <c r="H295" s="56">
        <f>SUMIF('2.报价结算清单'!$F$7:$F$679,$A295,'2.报价结算清单'!$N$7:$N$679)</f>
        <v>0</v>
      </c>
      <c r="I295" s="59">
        <f>SUMIF('2.报价结算清单'!$F$7:$F$679,A295,'2.报价结算清单'!$P$7:$P$679)</f>
        <v>0</v>
      </c>
    </row>
    <row r="296" spans="1:9" ht="28.5">
      <c r="A296" s="74" t="s">
        <v>295</v>
      </c>
      <c r="B296" s="72"/>
      <c r="C296" s="72" t="s">
        <v>1308</v>
      </c>
      <c r="D296" s="76" t="s">
        <v>1314</v>
      </c>
      <c r="E296" s="72" t="s">
        <v>23</v>
      </c>
      <c r="F296" s="62">
        <f>VLOOKUP(A296,[1]基准价格!$A:$G,7,0)</f>
        <v>530</v>
      </c>
      <c r="G296" s="56">
        <f>SUMIF('2.报价结算清单'!$F$7:$F$679,$A296,'2.报价结算清单'!$L$7:$L$679)</f>
        <v>0</v>
      </c>
      <c r="H296" s="56">
        <f>SUMIF('2.报价结算清单'!$F$7:$F$679,$A296,'2.报价结算清单'!$N$7:$N$679)</f>
        <v>0</v>
      </c>
      <c r="I296" s="59">
        <f>SUMIF('2.报价结算清单'!$F$7:$F$679,A296,'2.报价结算清单'!$P$7:$P$679)</f>
        <v>0</v>
      </c>
    </row>
    <row r="297" spans="1:9" ht="28.5">
      <c r="A297" s="74" t="s">
        <v>296</v>
      </c>
      <c r="B297" s="72"/>
      <c r="C297" s="72" t="s">
        <v>1308</v>
      </c>
      <c r="D297" s="76" t="s">
        <v>1315</v>
      </c>
      <c r="E297" s="72" t="s">
        <v>23</v>
      </c>
      <c r="F297" s="62">
        <f>VLOOKUP(A297,[1]基准价格!$A:$G,7,0)</f>
        <v>371</v>
      </c>
      <c r="G297" s="56">
        <f>SUMIF('2.报价结算清单'!$F$7:$F$679,$A297,'2.报价结算清单'!$L$7:$L$679)</f>
        <v>0</v>
      </c>
      <c r="H297" s="56">
        <f>SUMIF('2.报价结算清单'!$F$7:$F$679,$A297,'2.报价结算清单'!$N$7:$N$679)</f>
        <v>0</v>
      </c>
      <c r="I297" s="59">
        <f>SUMIF('2.报价结算清单'!$F$7:$F$679,A297,'2.报价结算清单'!$P$7:$P$679)</f>
        <v>0</v>
      </c>
    </row>
    <row r="298" spans="1:9" ht="28.5">
      <c r="A298" s="74" t="s">
        <v>297</v>
      </c>
      <c r="B298" s="72"/>
      <c r="C298" s="72" t="s">
        <v>1308</v>
      </c>
      <c r="D298" s="76" t="s">
        <v>1316</v>
      </c>
      <c r="E298" s="72" t="s">
        <v>23</v>
      </c>
      <c r="F298" s="62">
        <f>VLOOKUP(A298,[1]基准价格!$A:$G,7,0)</f>
        <v>318</v>
      </c>
      <c r="G298" s="56">
        <f>SUMIF('2.报价结算清单'!$F$7:$F$679,$A298,'2.报价结算清单'!$L$7:$L$679)</f>
        <v>0</v>
      </c>
      <c r="H298" s="56">
        <f>SUMIF('2.报价结算清单'!$F$7:$F$679,$A298,'2.报价结算清单'!$N$7:$N$679)</f>
        <v>0</v>
      </c>
      <c r="I298" s="59">
        <f>SUMIF('2.报价结算清单'!$F$7:$F$679,A298,'2.报价结算清单'!$P$7:$P$679)</f>
        <v>0</v>
      </c>
    </row>
    <row r="299" spans="1:9" ht="28.5">
      <c r="A299" s="74" t="s">
        <v>298</v>
      </c>
      <c r="B299" s="72"/>
      <c r="C299" s="72" t="s">
        <v>1308</v>
      </c>
      <c r="D299" s="76" t="s">
        <v>1317</v>
      </c>
      <c r="E299" s="72" t="s">
        <v>23</v>
      </c>
      <c r="F299" s="62">
        <f>VLOOKUP(A299,[1]基准价格!$A:$G,7,0)</f>
        <v>1060</v>
      </c>
      <c r="G299" s="56">
        <f>SUMIF('2.报价结算清单'!$F$7:$F$679,$A299,'2.报价结算清单'!$L$7:$L$679)</f>
        <v>0</v>
      </c>
      <c r="H299" s="56">
        <f>SUMIF('2.报价结算清单'!$F$7:$F$679,$A299,'2.报价结算清单'!$N$7:$N$679)</f>
        <v>0</v>
      </c>
      <c r="I299" s="59">
        <f>SUMIF('2.报价结算清单'!$F$7:$F$679,A299,'2.报价结算清单'!$P$7:$P$679)</f>
        <v>0</v>
      </c>
    </row>
    <row r="300" spans="1:9" ht="28.5">
      <c r="A300" s="74" t="s">
        <v>299</v>
      </c>
      <c r="B300" s="72"/>
      <c r="C300" s="72" t="s">
        <v>1308</v>
      </c>
      <c r="D300" s="76" t="s">
        <v>1318</v>
      </c>
      <c r="E300" s="72" t="s">
        <v>23</v>
      </c>
      <c r="F300" s="62">
        <f>VLOOKUP(A300,[1]基准价格!$A:$G,7,0)</f>
        <v>848</v>
      </c>
      <c r="G300" s="56">
        <f>SUMIF('2.报价结算清单'!$F$7:$F$679,$A300,'2.报价结算清单'!$L$7:$L$679)</f>
        <v>0</v>
      </c>
      <c r="H300" s="56">
        <f>SUMIF('2.报价结算清单'!$F$7:$F$679,$A300,'2.报价结算清单'!$N$7:$N$679)</f>
        <v>0</v>
      </c>
      <c r="I300" s="59">
        <f>SUMIF('2.报价结算清单'!$F$7:$F$679,A300,'2.报价结算清单'!$P$7:$P$679)</f>
        <v>0</v>
      </c>
    </row>
    <row r="301" spans="1:9" ht="28.5">
      <c r="A301" s="74" t="s">
        <v>549</v>
      </c>
      <c r="B301" s="72"/>
      <c r="C301" s="72" t="s">
        <v>1308</v>
      </c>
      <c r="D301" s="76" t="s">
        <v>1319</v>
      </c>
      <c r="E301" s="72" t="s">
        <v>23</v>
      </c>
      <c r="F301" s="62">
        <f>VLOOKUP(A301,[1]基准价格!$A:$G,7,0)</f>
        <v>530</v>
      </c>
      <c r="G301" s="56">
        <f>SUMIF('2.报价结算清单'!$F$7:$F$679,$A301,'2.报价结算清单'!$L$7:$L$679)</f>
        <v>0</v>
      </c>
      <c r="H301" s="56">
        <f>SUMIF('2.报价结算清单'!$F$7:$F$679,$A301,'2.报价结算清单'!$N$7:$N$679)</f>
        <v>0</v>
      </c>
      <c r="I301" s="59">
        <f>SUMIF('2.报价结算清单'!$F$7:$F$679,A301,'2.报价结算清单'!$P$7:$P$679)</f>
        <v>0</v>
      </c>
    </row>
    <row r="302" spans="1:9" ht="28.5">
      <c r="A302" s="74" t="s">
        <v>550</v>
      </c>
      <c r="B302" s="72"/>
      <c r="C302" s="72" t="s">
        <v>1308</v>
      </c>
      <c r="D302" s="76" t="s">
        <v>1320</v>
      </c>
      <c r="E302" s="72" t="s">
        <v>23</v>
      </c>
      <c r="F302" s="62">
        <f>VLOOKUP(A302,[1]基准价格!$A:$G,7,0)</f>
        <v>424</v>
      </c>
      <c r="G302" s="56">
        <f>SUMIF('2.报价结算清单'!$F$7:$F$679,$A302,'2.报价结算清单'!$L$7:$L$679)</f>
        <v>0</v>
      </c>
      <c r="H302" s="56">
        <f>SUMIF('2.报价结算清单'!$F$7:$F$679,$A302,'2.报价结算清单'!$N$7:$N$679)</f>
        <v>0</v>
      </c>
      <c r="I302" s="59">
        <f>SUMIF('2.报价结算清单'!$F$7:$F$679,A302,'2.报价结算清单'!$P$7:$P$679)</f>
        <v>0</v>
      </c>
    </row>
    <row r="303" spans="1:9" ht="28.5">
      <c r="A303" s="74" t="s">
        <v>551</v>
      </c>
      <c r="B303" s="72"/>
      <c r="C303" s="72" t="s">
        <v>1308</v>
      </c>
      <c r="D303" s="76" t="s">
        <v>1071</v>
      </c>
      <c r="E303" s="72" t="s">
        <v>31</v>
      </c>
      <c r="F303" s="62">
        <f>VLOOKUP(A303,[1]基准价格!$A:$G,7,0)</f>
        <v>1060</v>
      </c>
      <c r="G303" s="56">
        <f>SUMIF('2.报价结算清单'!$F$7:$F$679,$A303,'2.报价结算清单'!$L$7:$L$679)</f>
        <v>0</v>
      </c>
      <c r="H303" s="56">
        <f>SUMIF('2.报价结算清单'!$F$7:$F$679,$A303,'2.报价结算清单'!$N$7:$N$679)</f>
        <v>0</v>
      </c>
      <c r="I303" s="59">
        <f>SUMIF('2.报价结算清单'!$F$7:$F$679,A303,'2.报价结算清单'!$P$7:$P$679)</f>
        <v>0</v>
      </c>
    </row>
    <row r="304" spans="1:9" ht="28.5">
      <c r="A304" s="74" t="s">
        <v>552</v>
      </c>
      <c r="B304" s="72"/>
      <c r="C304" s="72" t="s">
        <v>1308</v>
      </c>
      <c r="D304" s="76" t="s">
        <v>1072</v>
      </c>
      <c r="E304" s="72" t="s">
        <v>31</v>
      </c>
      <c r="F304" s="62">
        <f>VLOOKUP(A304,[1]基准价格!$A:$G,7,0)</f>
        <v>8480</v>
      </c>
      <c r="G304" s="56">
        <f>SUMIF('2.报价结算清单'!$F$7:$F$679,$A304,'2.报价结算清单'!$L$7:$L$679)</f>
        <v>0</v>
      </c>
      <c r="H304" s="56">
        <f>SUMIF('2.报价结算清单'!$F$7:$F$679,$A304,'2.报价结算清单'!$N$7:$N$679)</f>
        <v>0</v>
      </c>
      <c r="I304" s="59">
        <f>SUMIF('2.报价结算清单'!$F$7:$F$679,A304,'2.报价结算清单'!$P$7:$P$679)</f>
        <v>0</v>
      </c>
    </row>
    <row r="305" spans="1:9" ht="28.5">
      <c r="A305" s="74" t="s">
        <v>553</v>
      </c>
      <c r="B305" s="72"/>
      <c r="C305" s="72" t="s">
        <v>1308</v>
      </c>
      <c r="D305" s="76" t="s">
        <v>1073</v>
      </c>
      <c r="E305" s="72" t="s">
        <v>31</v>
      </c>
      <c r="F305" s="62">
        <f>VLOOKUP(A305,[1]基准价格!$A:$G,7,0)</f>
        <v>10600</v>
      </c>
      <c r="G305" s="56">
        <f>SUMIF('2.报价结算清单'!$F$7:$F$679,$A305,'2.报价结算清单'!$L$7:$L$679)</f>
        <v>0</v>
      </c>
      <c r="H305" s="56">
        <f>SUMIF('2.报价结算清单'!$F$7:$F$679,$A305,'2.报价结算清单'!$N$7:$N$679)</f>
        <v>0</v>
      </c>
      <c r="I305" s="59">
        <f>SUMIF('2.报价结算清单'!$F$7:$F$679,A305,'2.报价结算清单'!$P$7:$P$679)</f>
        <v>0</v>
      </c>
    </row>
    <row r="306" spans="1:9" ht="28.5">
      <c r="A306" s="74" t="s">
        <v>554</v>
      </c>
      <c r="B306" s="72"/>
      <c r="C306" s="72" t="s">
        <v>1308</v>
      </c>
      <c r="D306" s="76" t="s">
        <v>1321</v>
      </c>
      <c r="E306" s="72" t="s">
        <v>31</v>
      </c>
      <c r="F306" s="62">
        <f>VLOOKUP(A306,[1]基准价格!$A:$G,7,0)</f>
        <v>3816</v>
      </c>
      <c r="G306" s="56">
        <f>SUMIF('2.报价结算清单'!$F$7:$F$679,$A306,'2.报价结算清单'!$L$7:$L$679)</f>
        <v>0</v>
      </c>
      <c r="H306" s="56">
        <f>SUMIF('2.报价结算清单'!$F$7:$F$679,$A306,'2.报价结算清单'!$N$7:$N$679)</f>
        <v>0</v>
      </c>
      <c r="I306" s="59">
        <f>SUMIF('2.报价结算清单'!$F$7:$F$679,A306,'2.报价结算清单'!$P$7:$P$679)</f>
        <v>0</v>
      </c>
    </row>
    <row r="307" spans="1:9" ht="28.5">
      <c r="A307" s="74" t="s">
        <v>555</v>
      </c>
      <c r="B307" s="72"/>
      <c r="C307" s="72" t="s">
        <v>1308</v>
      </c>
      <c r="D307" s="76" t="s">
        <v>1322</v>
      </c>
      <c r="E307" s="72" t="s">
        <v>31</v>
      </c>
      <c r="F307" s="62">
        <f>VLOOKUP(A307,[1]基准价格!$A:$G,7,0)</f>
        <v>3180</v>
      </c>
      <c r="G307" s="56">
        <f>SUMIF('2.报价结算清单'!$F$7:$F$679,$A307,'2.报价结算清单'!$L$7:$L$679)</f>
        <v>0</v>
      </c>
      <c r="H307" s="56">
        <f>SUMIF('2.报价结算清单'!$F$7:$F$679,$A307,'2.报价结算清单'!$N$7:$N$679)</f>
        <v>0</v>
      </c>
      <c r="I307" s="59">
        <f>SUMIF('2.报价结算清单'!$F$7:$F$679,A307,'2.报价结算清单'!$P$7:$P$679)</f>
        <v>0</v>
      </c>
    </row>
    <row r="308" spans="1:9" ht="28.5">
      <c r="A308" s="74" t="s">
        <v>556</v>
      </c>
      <c r="B308" s="72"/>
      <c r="C308" s="72" t="s">
        <v>1308</v>
      </c>
      <c r="D308" s="76" t="s">
        <v>1323</v>
      </c>
      <c r="E308" s="72" t="s">
        <v>31</v>
      </c>
      <c r="F308" s="62">
        <f>VLOOKUP(A308,[1]基准价格!$A:$G,7,0)</f>
        <v>1590</v>
      </c>
      <c r="G308" s="56">
        <f>SUMIF('2.报价结算清单'!$F$7:$F$679,$A308,'2.报价结算清单'!$L$7:$L$679)</f>
        <v>0</v>
      </c>
      <c r="H308" s="56">
        <f>SUMIF('2.报价结算清单'!$F$7:$F$679,$A308,'2.报价结算清单'!$N$7:$N$679)</f>
        <v>0</v>
      </c>
      <c r="I308" s="59">
        <f>SUMIF('2.报价结算清单'!$F$7:$F$679,A308,'2.报价结算清单'!$P$7:$P$679)</f>
        <v>0</v>
      </c>
    </row>
    <row r="309" spans="1:9" ht="42.75">
      <c r="A309" s="74" t="s">
        <v>557</v>
      </c>
      <c r="B309" s="72"/>
      <c r="C309" s="72" t="s">
        <v>1308</v>
      </c>
      <c r="D309" s="76" t="s">
        <v>1324</v>
      </c>
      <c r="E309" s="72" t="s">
        <v>31</v>
      </c>
      <c r="F309" s="62">
        <f>VLOOKUP(A309,[1]基准价格!$A:$G,7,0)</f>
        <v>848</v>
      </c>
      <c r="G309" s="56">
        <f>SUMIF('2.报价结算清单'!$F$7:$F$679,$A309,'2.报价结算清单'!$L$7:$L$679)</f>
        <v>0</v>
      </c>
      <c r="H309" s="56">
        <f>SUMIF('2.报价结算清单'!$F$7:$F$679,$A309,'2.报价结算清单'!$N$7:$N$679)</f>
        <v>0</v>
      </c>
      <c r="I309" s="59">
        <f>SUMIF('2.报价结算清单'!$F$7:$F$679,A309,'2.报价结算清单'!$P$7:$P$679)</f>
        <v>0</v>
      </c>
    </row>
    <row r="310" spans="1:9" ht="42.75">
      <c r="A310" s="74" t="s">
        <v>558</v>
      </c>
      <c r="B310" s="72"/>
      <c r="C310" s="72" t="s">
        <v>1308</v>
      </c>
      <c r="D310" s="76" t="s">
        <v>1325</v>
      </c>
      <c r="E310" s="72" t="s">
        <v>28</v>
      </c>
      <c r="F310" s="62">
        <f>VLOOKUP(A310,[1]基准价格!$A:$G,7,0)</f>
        <v>848</v>
      </c>
      <c r="G310" s="56">
        <f>SUMIF('2.报价结算清单'!$F$7:$F$679,$A310,'2.报价结算清单'!$L$7:$L$679)</f>
        <v>0</v>
      </c>
      <c r="H310" s="56">
        <f>SUMIF('2.报价结算清单'!$F$7:$F$679,$A310,'2.报价结算清单'!$N$7:$N$679)</f>
        <v>0</v>
      </c>
      <c r="I310" s="59">
        <f>SUMIF('2.报价结算清单'!$F$7:$F$679,A310,'2.报价结算清单'!$P$7:$P$679)</f>
        <v>0</v>
      </c>
    </row>
    <row r="311" spans="1:9" ht="42.75">
      <c r="A311" s="74" t="s">
        <v>559</v>
      </c>
      <c r="B311" s="72"/>
      <c r="C311" s="72" t="s">
        <v>1308</v>
      </c>
      <c r="D311" s="76" t="s">
        <v>1326</v>
      </c>
      <c r="E311" s="72" t="s">
        <v>28</v>
      </c>
      <c r="F311" s="62">
        <f>VLOOKUP(A311,[1]基准价格!$A:$G,7,0)</f>
        <v>848</v>
      </c>
      <c r="G311" s="56">
        <f>SUMIF('2.报价结算清单'!$F$7:$F$679,$A311,'2.报价结算清单'!$L$7:$L$679)</f>
        <v>0</v>
      </c>
      <c r="H311" s="56">
        <f>SUMIF('2.报价结算清单'!$F$7:$F$679,$A311,'2.报价结算清单'!$N$7:$N$679)</f>
        <v>0</v>
      </c>
      <c r="I311" s="59">
        <f>SUMIF('2.报价结算清单'!$F$7:$F$679,A311,'2.报价结算清单'!$P$7:$P$679)</f>
        <v>0</v>
      </c>
    </row>
    <row r="312" spans="1:9" ht="42.75">
      <c r="A312" s="74" t="s">
        <v>560</v>
      </c>
      <c r="B312" s="72"/>
      <c r="C312" s="72" t="s">
        <v>1308</v>
      </c>
      <c r="D312" s="76" t="s">
        <v>1327</v>
      </c>
      <c r="E312" s="72" t="s">
        <v>28</v>
      </c>
      <c r="F312" s="62">
        <f>VLOOKUP(A312,[1]基准价格!$A:$G,7,0)</f>
        <v>848</v>
      </c>
      <c r="G312" s="56">
        <f>SUMIF('2.报价结算清单'!$F$7:$F$679,$A312,'2.报价结算清单'!$L$7:$L$679)</f>
        <v>0</v>
      </c>
      <c r="H312" s="56">
        <f>SUMIF('2.报价结算清单'!$F$7:$F$679,$A312,'2.报价结算清单'!$N$7:$N$679)</f>
        <v>0</v>
      </c>
      <c r="I312" s="59">
        <f>SUMIF('2.报价结算清单'!$F$7:$F$679,A312,'2.报价结算清单'!$P$7:$P$679)</f>
        <v>0</v>
      </c>
    </row>
    <row r="313" spans="1:9" ht="28.5">
      <c r="A313" s="74" t="s">
        <v>561</v>
      </c>
      <c r="B313" s="72"/>
      <c r="C313" s="72" t="s">
        <v>1308</v>
      </c>
      <c r="D313" s="76" t="s">
        <v>1328</v>
      </c>
      <c r="E313" s="72" t="s">
        <v>35</v>
      </c>
      <c r="F313" s="62">
        <f>VLOOKUP(A313,[1]基准价格!$A:$G,7,0)</f>
        <v>848</v>
      </c>
      <c r="G313" s="56">
        <f>SUMIF('2.报价结算清单'!$F$7:$F$679,$A313,'2.报价结算清单'!$L$7:$L$679)</f>
        <v>0</v>
      </c>
      <c r="H313" s="56">
        <f>SUMIF('2.报价结算清单'!$F$7:$F$679,$A313,'2.报价结算清单'!$N$7:$N$679)</f>
        <v>0</v>
      </c>
      <c r="I313" s="59">
        <f>SUMIF('2.报价结算清单'!$F$7:$F$679,A313,'2.报价结算清单'!$P$7:$P$679)</f>
        <v>0</v>
      </c>
    </row>
    <row r="314" spans="1:9" ht="28.5">
      <c r="A314" s="74" t="s">
        <v>300</v>
      </c>
      <c r="B314" s="72"/>
      <c r="C314" s="72" t="s">
        <v>1308</v>
      </c>
      <c r="D314" s="76" t="s">
        <v>1329</v>
      </c>
      <c r="E314" s="72" t="s">
        <v>35</v>
      </c>
      <c r="F314" s="62">
        <f>VLOOKUP(A314,[1]基准价格!$A:$G,7,0)</f>
        <v>636</v>
      </c>
      <c r="G314" s="56">
        <f>SUMIF('2.报价结算清单'!$F$7:$F$679,$A314,'2.报价结算清单'!$L$7:$L$679)</f>
        <v>0</v>
      </c>
      <c r="H314" s="56">
        <f>SUMIF('2.报价结算清单'!$F$7:$F$679,$A314,'2.报价结算清单'!$N$7:$N$679)</f>
        <v>0</v>
      </c>
      <c r="I314" s="59">
        <f>SUMIF('2.报价结算清单'!$F$7:$F$679,A314,'2.报价结算清单'!$P$7:$P$679)</f>
        <v>0</v>
      </c>
    </row>
    <row r="315" spans="1:9" ht="28.5">
      <c r="A315" s="74" t="s">
        <v>301</v>
      </c>
      <c r="B315" s="72"/>
      <c r="C315" s="72" t="s">
        <v>1308</v>
      </c>
      <c r="D315" s="76" t="s">
        <v>1330</v>
      </c>
      <c r="E315" s="72" t="s">
        <v>35</v>
      </c>
      <c r="F315" s="62">
        <f>VLOOKUP(A315,[1]基准价格!$A:$G,7,0)</f>
        <v>530</v>
      </c>
      <c r="G315" s="56">
        <f>SUMIF('2.报价结算清单'!$F$7:$F$679,$A315,'2.报价结算清单'!$L$7:$L$679)</f>
        <v>0</v>
      </c>
      <c r="H315" s="56">
        <f>SUMIF('2.报价结算清单'!$F$7:$F$679,$A315,'2.报价结算清单'!$N$7:$N$679)</f>
        <v>0</v>
      </c>
      <c r="I315" s="59">
        <f>SUMIF('2.报价结算清单'!$F$7:$F$679,A315,'2.报价结算清单'!$P$7:$P$679)</f>
        <v>0</v>
      </c>
    </row>
    <row r="316" spans="1:9" ht="28.5">
      <c r="A316" s="74" t="s">
        <v>302</v>
      </c>
      <c r="B316" s="72"/>
      <c r="C316" s="72" t="s">
        <v>1308</v>
      </c>
      <c r="D316" s="76" t="s">
        <v>1331</v>
      </c>
      <c r="E316" s="72" t="s">
        <v>35</v>
      </c>
      <c r="F316" s="62">
        <f>VLOOKUP(A316,[1]基准价格!$A:$G,7,0)</f>
        <v>424</v>
      </c>
      <c r="G316" s="56">
        <f>SUMIF('2.报价结算清单'!$F$7:$F$679,$A316,'2.报价结算清单'!$L$7:$L$679)</f>
        <v>0</v>
      </c>
      <c r="H316" s="56">
        <f>SUMIF('2.报价结算清单'!$F$7:$F$679,$A316,'2.报价结算清单'!$N$7:$N$679)</f>
        <v>0</v>
      </c>
      <c r="I316" s="59">
        <f>SUMIF('2.报价结算清单'!$F$7:$F$679,A316,'2.报价结算清单'!$P$7:$P$679)</f>
        <v>0</v>
      </c>
    </row>
    <row r="317" spans="1:9" ht="28.5">
      <c r="A317" s="74" t="s">
        <v>303</v>
      </c>
      <c r="B317" s="72"/>
      <c r="C317" s="72" t="s">
        <v>1308</v>
      </c>
      <c r="D317" s="76" t="s">
        <v>1332</v>
      </c>
      <c r="E317" s="72" t="s">
        <v>35</v>
      </c>
      <c r="F317" s="62">
        <f>VLOOKUP(A317,[1]基准价格!$A:$G,7,0)</f>
        <v>318</v>
      </c>
      <c r="G317" s="56">
        <f>SUMIF('2.报价结算清单'!$F$7:$F$679,$A317,'2.报价结算清单'!$L$7:$L$679)</f>
        <v>0</v>
      </c>
      <c r="H317" s="56">
        <f>SUMIF('2.报价结算清单'!$F$7:$F$679,$A317,'2.报价结算清单'!$N$7:$N$679)</f>
        <v>0</v>
      </c>
      <c r="I317" s="59">
        <f>SUMIF('2.报价结算清单'!$F$7:$F$679,A317,'2.报价结算清单'!$P$7:$P$679)</f>
        <v>0</v>
      </c>
    </row>
    <row r="318" spans="1:9" ht="28.5">
      <c r="A318" s="74" t="s">
        <v>304</v>
      </c>
      <c r="B318" s="72"/>
      <c r="C318" s="72" t="s">
        <v>1308</v>
      </c>
      <c r="D318" s="76" t="s">
        <v>1333</v>
      </c>
      <c r="E318" s="72" t="s">
        <v>35</v>
      </c>
      <c r="F318" s="62">
        <f>VLOOKUP(A318,[1]基准价格!$A:$G,7,0)</f>
        <v>212</v>
      </c>
      <c r="G318" s="56">
        <f>SUMIF('2.报价结算清单'!$F$7:$F$679,$A318,'2.报价结算清单'!$L$7:$L$679)</f>
        <v>0</v>
      </c>
      <c r="H318" s="56">
        <f>SUMIF('2.报价结算清单'!$F$7:$F$679,$A318,'2.报价结算清单'!$N$7:$N$679)</f>
        <v>0</v>
      </c>
      <c r="I318" s="59">
        <f>SUMIF('2.报价结算清单'!$F$7:$F$679,A318,'2.报价结算清单'!$P$7:$P$679)</f>
        <v>0</v>
      </c>
    </row>
    <row r="319" spans="1:9">
      <c r="A319" s="74" t="s">
        <v>305</v>
      </c>
      <c r="B319" s="72"/>
      <c r="C319" s="72" t="s">
        <v>1308</v>
      </c>
      <c r="D319" s="76" t="s">
        <v>1074</v>
      </c>
      <c r="E319" s="72" t="s">
        <v>31</v>
      </c>
      <c r="F319" s="62">
        <f>VLOOKUP(A319,[1]基准价格!$A:$G,7,0)</f>
        <v>4333.33</v>
      </c>
      <c r="G319" s="56">
        <f>SUMIF('2.报价结算清单'!$F$7:$F$679,$A319,'2.报价结算清单'!$L$7:$L$679)</f>
        <v>0</v>
      </c>
      <c r="H319" s="56">
        <f>SUMIF('2.报价结算清单'!$F$7:$F$679,$A319,'2.报价结算清单'!$N$7:$N$679)</f>
        <v>0</v>
      </c>
      <c r="I319" s="59">
        <f>SUMIF('2.报价结算清单'!$F$7:$F$679,A319,'2.报价结算清单'!$P$7:$P$679)</f>
        <v>0</v>
      </c>
    </row>
    <row r="320" spans="1:9">
      <c r="A320" s="74" t="s">
        <v>306</v>
      </c>
      <c r="B320" s="72"/>
      <c r="C320" s="72" t="s">
        <v>1308</v>
      </c>
      <c r="D320" s="76" t="s">
        <v>1075</v>
      </c>
      <c r="E320" s="72" t="s">
        <v>31</v>
      </c>
      <c r="F320" s="62">
        <f>VLOOKUP(A320,[1]基准价格!$A:$G,7,0)</f>
        <v>1853.67</v>
      </c>
      <c r="G320" s="56">
        <f>SUMIF('2.报价结算清单'!$F$7:$F$679,$A320,'2.报价结算清单'!$L$7:$L$679)</f>
        <v>0</v>
      </c>
      <c r="H320" s="56">
        <f>SUMIF('2.报价结算清单'!$F$7:$F$679,$A320,'2.报价结算清单'!$N$7:$N$679)</f>
        <v>0</v>
      </c>
      <c r="I320" s="59">
        <f>SUMIF('2.报价结算清单'!$F$7:$F$679,A320,'2.报价结算清单'!$P$7:$P$679)</f>
        <v>0</v>
      </c>
    </row>
    <row r="321" spans="1:9" ht="42.75">
      <c r="A321" s="74" t="s">
        <v>307</v>
      </c>
      <c r="B321" s="72"/>
      <c r="C321" s="72" t="s">
        <v>1308</v>
      </c>
      <c r="D321" s="76" t="s">
        <v>1334</v>
      </c>
      <c r="E321" s="72" t="s">
        <v>31</v>
      </c>
      <c r="F321" s="62">
        <f>VLOOKUP(A321,[1]基准价格!$A:$G,7,0)</f>
        <v>1590</v>
      </c>
      <c r="G321" s="56">
        <f>SUMIF('2.报价结算清单'!$F$7:$F$679,$A321,'2.报价结算清单'!$L$7:$L$679)</f>
        <v>0</v>
      </c>
      <c r="H321" s="56">
        <f>SUMIF('2.报价结算清单'!$F$7:$F$679,$A321,'2.报价结算清单'!$N$7:$N$679)</f>
        <v>0</v>
      </c>
      <c r="I321" s="59">
        <f>SUMIF('2.报价结算清单'!$F$7:$F$679,A321,'2.报价结算清单'!$P$7:$P$679)</f>
        <v>0</v>
      </c>
    </row>
    <row r="322" spans="1:9">
      <c r="A322" s="74" t="s">
        <v>308</v>
      </c>
      <c r="B322" s="72"/>
      <c r="C322" s="72" t="s">
        <v>1308</v>
      </c>
      <c r="D322" s="76" t="s">
        <v>1076</v>
      </c>
      <c r="E322" s="72" t="s">
        <v>31</v>
      </c>
      <c r="F322" s="62">
        <f>VLOOKUP(A322,[1]基准价格!$A:$G,7,0)</f>
        <v>636</v>
      </c>
      <c r="G322" s="56">
        <f>SUMIF('2.报价结算清单'!$F$7:$F$679,$A322,'2.报价结算清单'!$L$7:$L$679)</f>
        <v>0</v>
      </c>
      <c r="H322" s="56">
        <f>SUMIF('2.报价结算清单'!$F$7:$F$679,$A322,'2.报价结算清单'!$N$7:$N$679)</f>
        <v>0</v>
      </c>
      <c r="I322" s="59">
        <f>SUMIF('2.报价结算清单'!$F$7:$F$679,A322,'2.报价结算清单'!$P$7:$P$679)</f>
        <v>0</v>
      </c>
    </row>
    <row r="323" spans="1:9">
      <c r="A323" s="74" t="s">
        <v>309</v>
      </c>
      <c r="B323" s="72"/>
      <c r="C323" s="72" t="s">
        <v>1308</v>
      </c>
      <c r="D323" s="76" t="s">
        <v>1077</v>
      </c>
      <c r="E323" s="72" t="s">
        <v>31</v>
      </c>
      <c r="F323" s="62">
        <f>VLOOKUP(A323,[1]基准价格!$A:$G,7,0)</f>
        <v>1272</v>
      </c>
      <c r="G323" s="56">
        <f>SUMIF('2.报价结算清单'!$F$7:$F$679,$A323,'2.报价结算清单'!$L$7:$L$679)</f>
        <v>0</v>
      </c>
      <c r="H323" s="56">
        <f>SUMIF('2.报价结算清单'!$F$7:$F$679,$A323,'2.报价结算清单'!$N$7:$N$679)</f>
        <v>0</v>
      </c>
      <c r="I323" s="59">
        <f>SUMIF('2.报价结算清单'!$F$7:$F$679,A323,'2.报价结算清单'!$P$7:$P$679)</f>
        <v>0</v>
      </c>
    </row>
    <row r="324" spans="1:9" ht="42.75">
      <c r="A324" s="74" t="s">
        <v>310</v>
      </c>
      <c r="B324" s="72"/>
      <c r="C324" s="72" t="s">
        <v>1308</v>
      </c>
      <c r="D324" s="76" t="s">
        <v>1335</v>
      </c>
      <c r="E324" s="72" t="s">
        <v>31</v>
      </c>
      <c r="F324" s="62">
        <f>VLOOKUP(A324,[1]基准价格!$A:$G,7,0)</f>
        <v>825.74</v>
      </c>
      <c r="G324" s="56">
        <f>SUMIF('2.报价结算清单'!$F$7:$F$679,$A324,'2.报价结算清单'!$L$7:$L$679)</f>
        <v>0</v>
      </c>
      <c r="H324" s="56">
        <f>SUMIF('2.报价结算清单'!$F$7:$F$679,$A324,'2.报价结算清单'!$N$7:$N$679)</f>
        <v>0</v>
      </c>
      <c r="I324" s="59">
        <f>SUMIF('2.报价结算清单'!$F$7:$F$679,A324,'2.报价结算清单'!$P$7:$P$679)</f>
        <v>0</v>
      </c>
    </row>
    <row r="325" spans="1:9" ht="42.75">
      <c r="A325" s="74" t="s">
        <v>311</v>
      </c>
      <c r="B325" s="72"/>
      <c r="C325" s="72" t="s">
        <v>1308</v>
      </c>
      <c r="D325" s="76" t="s">
        <v>1336</v>
      </c>
      <c r="E325" s="72" t="s">
        <v>31</v>
      </c>
      <c r="F325" s="62">
        <f>VLOOKUP(A325,[1]基准价格!$A:$G,7,0)</f>
        <v>521.52</v>
      </c>
      <c r="G325" s="56">
        <f>SUMIF('2.报价结算清单'!$F$7:$F$679,$A325,'2.报价结算清单'!$L$7:$L$679)</f>
        <v>0</v>
      </c>
      <c r="H325" s="56">
        <f>SUMIF('2.报价结算清单'!$F$7:$F$679,$A325,'2.报价结算清单'!$N$7:$N$679)</f>
        <v>0</v>
      </c>
      <c r="I325" s="59">
        <f>SUMIF('2.报价结算清单'!$F$7:$F$679,A325,'2.报价结算清单'!$P$7:$P$679)</f>
        <v>0</v>
      </c>
    </row>
    <row r="326" spans="1:9" ht="28.5">
      <c r="A326" s="74" t="s">
        <v>312</v>
      </c>
      <c r="B326" s="72"/>
      <c r="C326" s="72" t="s">
        <v>1308</v>
      </c>
      <c r="D326" s="76" t="s">
        <v>1337</v>
      </c>
      <c r="E326" s="72" t="s">
        <v>31</v>
      </c>
      <c r="F326" s="62">
        <f>VLOOKUP(A326,[1]基准价格!$A:$G,7,0)</f>
        <v>246.98</v>
      </c>
      <c r="G326" s="56">
        <f>SUMIF('2.报价结算清单'!$F$7:$F$679,$A326,'2.报价结算清单'!$L$7:$L$679)</f>
        <v>0</v>
      </c>
      <c r="H326" s="56">
        <f>SUMIF('2.报价结算清单'!$F$7:$F$679,$A326,'2.报价结算清单'!$N$7:$N$679)</f>
        <v>0</v>
      </c>
      <c r="I326" s="59">
        <f>SUMIF('2.报价结算清单'!$F$7:$F$679,A326,'2.报价结算清单'!$P$7:$P$679)</f>
        <v>0</v>
      </c>
    </row>
    <row r="327" spans="1:9" ht="28.5">
      <c r="A327" s="74" t="s">
        <v>313</v>
      </c>
      <c r="B327" s="72"/>
      <c r="C327" s="72" t="s">
        <v>1308</v>
      </c>
      <c r="D327" s="76" t="s">
        <v>1338</v>
      </c>
      <c r="E327" s="72" t="s">
        <v>31</v>
      </c>
      <c r="F327" s="62">
        <f>VLOOKUP(A327,[1]基准价格!$A:$G,7,0)</f>
        <v>161.12</v>
      </c>
      <c r="G327" s="56">
        <f>SUMIF('2.报价结算清单'!$F$7:$F$679,$A327,'2.报价结算清单'!$L$7:$L$679)</f>
        <v>0</v>
      </c>
      <c r="H327" s="56">
        <f>SUMIF('2.报价结算清单'!$F$7:$F$679,$A327,'2.报价结算清单'!$N$7:$N$679)</f>
        <v>0</v>
      </c>
      <c r="I327" s="59">
        <f>SUMIF('2.报价结算清单'!$F$7:$F$679,A327,'2.报价结算清单'!$P$7:$P$679)</f>
        <v>0</v>
      </c>
    </row>
    <row r="328" spans="1:9" ht="42.75">
      <c r="A328" s="74" t="s">
        <v>314</v>
      </c>
      <c r="B328" s="72"/>
      <c r="C328" s="72" t="s">
        <v>1308</v>
      </c>
      <c r="D328" s="76" t="s">
        <v>1339</v>
      </c>
      <c r="E328" s="72" t="s">
        <v>31</v>
      </c>
      <c r="F328" s="62">
        <f>VLOOKUP(A328,[1]基准价格!$A:$G,7,0)</f>
        <v>12500</v>
      </c>
      <c r="G328" s="56">
        <f>SUMIF('2.报价结算清单'!$F$7:$F$679,$A328,'2.报价结算清单'!$L$7:$L$679)</f>
        <v>0</v>
      </c>
      <c r="H328" s="56">
        <f>SUMIF('2.报价结算清单'!$F$7:$F$679,$A328,'2.报价结算清单'!$N$7:$N$679)</f>
        <v>0</v>
      </c>
      <c r="I328" s="59">
        <f>SUMIF('2.报价结算清单'!$F$7:$F$679,A328,'2.报价结算清单'!$P$7:$P$679)</f>
        <v>0</v>
      </c>
    </row>
    <row r="329" spans="1:9" ht="28.5">
      <c r="A329" s="74" t="s">
        <v>315</v>
      </c>
      <c r="B329" s="72"/>
      <c r="C329" s="72" t="s">
        <v>1308</v>
      </c>
      <c r="D329" s="76" t="s">
        <v>1340</v>
      </c>
      <c r="E329" s="72" t="s">
        <v>31</v>
      </c>
      <c r="F329" s="62">
        <f>VLOOKUP(A329,[1]基准价格!$A:$G,7,0)</f>
        <v>5300</v>
      </c>
      <c r="G329" s="56">
        <f>SUMIF('2.报价结算清单'!$F$7:$F$679,$A329,'2.报价结算清单'!$L$7:$L$679)</f>
        <v>0</v>
      </c>
      <c r="H329" s="56">
        <f>SUMIF('2.报价结算清单'!$F$7:$F$679,$A329,'2.报价结算清单'!$N$7:$N$679)</f>
        <v>0</v>
      </c>
      <c r="I329" s="59">
        <f>SUMIF('2.报价结算清单'!$F$7:$F$679,A329,'2.报价结算清单'!$P$7:$P$679)</f>
        <v>0</v>
      </c>
    </row>
    <row r="330" spans="1:9" ht="42.75">
      <c r="A330" s="74" t="s">
        <v>316</v>
      </c>
      <c r="B330" s="72"/>
      <c r="C330" s="72" t="s">
        <v>1308</v>
      </c>
      <c r="D330" s="76" t="s">
        <v>1341</v>
      </c>
      <c r="E330" s="72" t="s">
        <v>31</v>
      </c>
      <c r="F330" s="62">
        <f>VLOOKUP(A330,[1]基准价格!$A:$G,7,0)</f>
        <v>5733.33</v>
      </c>
      <c r="G330" s="56">
        <f>SUMIF('2.报价结算清单'!$F$7:$F$679,$A330,'2.报价结算清单'!$L$7:$L$679)</f>
        <v>0</v>
      </c>
      <c r="H330" s="56">
        <f>SUMIF('2.报价结算清单'!$F$7:$F$679,$A330,'2.报价结算清单'!$N$7:$N$679)</f>
        <v>0</v>
      </c>
      <c r="I330" s="59">
        <f>SUMIF('2.报价结算清单'!$F$7:$F$679,A330,'2.报价结算清单'!$P$7:$P$679)</f>
        <v>0</v>
      </c>
    </row>
    <row r="331" spans="1:9" ht="42.75">
      <c r="A331" s="74" t="s">
        <v>317</v>
      </c>
      <c r="B331" s="72"/>
      <c r="C331" s="72" t="s">
        <v>1308</v>
      </c>
      <c r="D331" s="76" t="s">
        <v>1342</v>
      </c>
      <c r="E331" s="72" t="s">
        <v>31</v>
      </c>
      <c r="F331" s="62">
        <f>VLOOKUP(A331,[1]基准价格!$A:$G,7,0)</f>
        <v>6000</v>
      </c>
      <c r="G331" s="56">
        <f>SUMIF('2.报价结算清单'!$F$7:$F$679,$A331,'2.报价结算清单'!$L$7:$L$679)</f>
        <v>0</v>
      </c>
      <c r="H331" s="56">
        <f>SUMIF('2.报价结算清单'!$F$7:$F$679,$A331,'2.报价结算清单'!$N$7:$N$679)</f>
        <v>0</v>
      </c>
      <c r="I331" s="59">
        <f>SUMIF('2.报价结算清单'!$F$7:$F$679,A331,'2.报价结算清单'!$P$7:$P$679)</f>
        <v>0</v>
      </c>
    </row>
    <row r="332" spans="1:9" ht="71.25">
      <c r="A332" s="74" t="s">
        <v>318</v>
      </c>
      <c r="B332" s="72"/>
      <c r="C332" s="72" t="s">
        <v>1308</v>
      </c>
      <c r="D332" s="76" t="s">
        <v>1343</v>
      </c>
      <c r="E332" s="72" t="s">
        <v>31</v>
      </c>
      <c r="F332" s="62">
        <f>VLOOKUP(A332,[1]基准价格!$A:$G,7,0)</f>
        <v>14310</v>
      </c>
      <c r="G332" s="56">
        <f>SUMIF('2.报价结算清单'!$F$7:$F$679,$A332,'2.报价结算清单'!$L$7:$L$679)</f>
        <v>0</v>
      </c>
      <c r="H332" s="56">
        <f>SUMIF('2.报价结算清单'!$F$7:$F$679,$A332,'2.报价结算清单'!$N$7:$N$679)</f>
        <v>0</v>
      </c>
      <c r="I332" s="59">
        <f>SUMIF('2.报价结算清单'!$F$7:$F$679,A332,'2.报价结算清单'!$P$7:$P$679)</f>
        <v>0</v>
      </c>
    </row>
    <row r="333" spans="1:9" ht="42.75">
      <c r="A333" s="74" t="s">
        <v>319</v>
      </c>
      <c r="B333" s="72"/>
      <c r="C333" s="72" t="s">
        <v>1308</v>
      </c>
      <c r="D333" s="76" t="s">
        <v>1344</v>
      </c>
      <c r="E333" s="72" t="s">
        <v>31</v>
      </c>
      <c r="F333" s="62">
        <f>VLOOKUP(A333,[1]基准价格!$A:$G,7,0)</f>
        <v>2120</v>
      </c>
      <c r="G333" s="56">
        <f>SUMIF('2.报价结算清单'!$F$7:$F$679,$A333,'2.报价结算清单'!$L$7:$L$679)</f>
        <v>0</v>
      </c>
      <c r="H333" s="56">
        <f>SUMIF('2.报价结算清单'!$F$7:$F$679,$A333,'2.报价结算清单'!$N$7:$N$679)</f>
        <v>0</v>
      </c>
      <c r="I333" s="59">
        <f>SUMIF('2.报价结算清单'!$F$7:$F$679,A333,'2.报价结算清单'!$P$7:$P$679)</f>
        <v>0</v>
      </c>
    </row>
    <row r="334" spans="1:9" ht="28.5">
      <c r="A334" s="74" t="s">
        <v>320</v>
      </c>
      <c r="B334" s="72"/>
      <c r="C334" s="72" t="s">
        <v>1308</v>
      </c>
      <c r="D334" s="76" t="s">
        <v>1345</v>
      </c>
      <c r="E334" s="72" t="s">
        <v>31</v>
      </c>
      <c r="F334" s="62">
        <f>VLOOKUP(A334,[1]基准价格!$A:$G,7,0)</f>
        <v>2544</v>
      </c>
      <c r="G334" s="56">
        <f>SUMIF('2.报价结算清单'!$F$7:$F$679,$A334,'2.报价结算清单'!$L$7:$L$679)</f>
        <v>0</v>
      </c>
      <c r="H334" s="56">
        <f>SUMIF('2.报价结算清单'!$F$7:$F$679,$A334,'2.报价结算清单'!$N$7:$N$679)</f>
        <v>0</v>
      </c>
      <c r="I334" s="59">
        <f>SUMIF('2.报价结算清单'!$F$7:$F$679,A334,'2.报价结算清单'!$P$7:$P$679)</f>
        <v>0</v>
      </c>
    </row>
    <row r="335" spans="1:9" ht="28.5">
      <c r="A335" s="74" t="s">
        <v>321</v>
      </c>
      <c r="B335" s="72"/>
      <c r="C335" s="72" t="s">
        <v>1308</v>
      </c>
      <c r="D335" s="76" t="s">
        <v>1346</v>
      </c>
      <c r="E335" s="72" t="s">
        <v>31</v>
      </c>
      <c r="F335" s="62">
        <f>VLOOKUP(A335,[1]基准价格!$A:$G,7,0)</f>
        <v>900</v>
      </c>
      <c r="G335" s="56">
        <f>SUMIF('2.报价结算清单'!$F$7:$F$679,$A335,'2.报价结算清单'!$L$7:$L$679)</f>
        <v>0</v>
      </c>
      <c r="H335" s="56">
        <f>SUMIF('2.报价结算清单'!$F$7:$F$679,$A335,'2.报价结算清单'!$N$7:$N$679)</f>
        <v>0</v>
      </c>
      <c r="I335" s="59">
        <f>SUMIF('2.报价结算清单'!$F$7:$F$679,A335,'2.报价结算清单'!$P$7:$P$679)</f>
        <v>0</v>
      </c>
    </row>
    <row r="336" spans="1:9" ht="28.5">
      <c r="A336" s="74" t="s">
        <v>322</v>
      </c>
      <c r="B336" s="72"/>
      <c r="C336" s="72" t="s">
        <v>1308</v>
      </c>
      <c r="D336" s="76" t="s">
        <v>1347</v>
      </c>
      <c r="E336" s="72" t="s">
        <v>31</v>
      </c>
      <c r="F336" s="62">
        <f>VLOOKUP(A336,[1]基准价格!$A:$G,7,0)</f>
        <v>633.33000000000004</v>
      </c>
      <c r="G336" s="56">
        <f>SUMIF('2.报价结算清单'!$F$7:$F$679,$A336,'2.报价结算清单'!$L$7:$L$679)</f>
        <v>0</v>
      </c>
      <c r="H336" s="56">
        <f>SUMIF('2.报价结算清单'!$F$7:$F$679,$A336,'2.报价结算清单'!$N$7:$N$679)</f>
        <v>0</v>
      </c>
      <c r="I336" s="59">
        <f>SUMIF('2.报价结算清单'!$F$7:$F$679,A336,'2.报价结算清单'!$P$7:$P$679)</f>
        <v>0</v>
      </c>
    </row>
    <row r="337" spans="1:9" ht="28.5">
      <c r="A337" s="74" t="s">
        <v>323</v>
      </c>
      <c r="B337" s="72"/>
      <c r="C337" s="72" t="s">
        <v>1308</v>
      </c>
      <c r="D337" s="76" t="s">
        <v>1348</v>
      </c>
      <c r="E337" s="72" t="s">
        <v>31</v>
      </c>
      <c r="F337" s="62">
        <f>VLOOKUP(A337,[1]基准价格!$A:$G,7,0)</f>
        <v>2120</v>
      </c>
      <c r="G337" s="56">
        <f>SUMIF('2.报价结算清单'!$F$7:$F$679,$A337,'2.报价结算清单'!$L$7:$L$679)</f>
        <v>0</v>
      </c>
      <c r="H337" s="56">
        <f>SUMIF('2.报价结算清单'!$F$7:$F$679,$A337,'2.报价结算清单'!$N$7:$N$679)</f>
        <v>0</v>
      </c>
      <c r="I337" s="59">
        <f>SUMIF('2.报价结算清单'!$F$7:$F$679,A337,'2.报价结算清单'!$P$7:$P$679)</f>
        <v>0</v>
      </c>
    </row>
    <row r="338" spans="1:9" ht="28.5">
      <c r="A338" s="74" t="s">
        <v>324</v>
      </c>
      <c r="B338" s="72"/>
      <c r="C338" s="72" t="s">
        <v>1308</v>
      </c>
      <c r="D338" s="76" t="s">
        <v>1349</v>
      </c>
      <c r="E338" s="72" t="s">
        <v>31</v>
      </c>
      <c r="F338" s="62">
        <f>VLOOKUP(A338,[1]基准价格!$A:$G,7,0)</f>
        <v>2066.67</v>
      </c>
      <c r="G338" s="56">
        <f>SUMIF('2.报价结算清单'!$F$7:$F$679,$A338,'2.报价结算清单'!$L$7:$L$679)</f>
        <v>0</v>
      </c>
      <c r="H338" s="56">
        <f>SUMIF('2.报价结算清单'!$F$7:$F$679,$A338,'2.报价结算清单'!$N$7:$N$679)</f>
        <v>0</v>
      </c>
      <c r="I338" s="59">
        <f>SUMIF('2.报价结算清单'!$F$7:$F$679,A338,'2.报价结算清单'!$P$7:$P$679)</f>
        <v>0</v>
      </c>
    </row>
    <row r="339" spans="1:9" ht="42.75">
      <c r="A339" s="74" t="s">
        <v>325</v>
      </c>
      <c r="B339" s="72"/>
      <c r="C339" s="72" t="s">
        <v>1308</v>
      </c>
      <c r="D339" s="76" t="s">
        <v>1350</v>
      </c>
      <c r="E339" s="72" t="s">
        <v>31</v>
      </c>
      <c r="F339" s="62">
        <f>VLOOKUP(A339,[1]基准价格!$A:$G,7,0)</f>
        <v>2833.33</v>
      </c>
      <c r="G339" s="56">
        <f>SUMIF('2.报价结算清单'!$F$7:$F$679,$A339,'2.报价结算清单'!$L$7:$L$679)</f>
        <v>0</v>
      </c>
      <c r="H339" s="56">
        <f>SUMIF('2.报价结算清单'!$F$7:$F$679,$A339,'2.报价结算清单'!$N$7:$N$679)</f>
        <v>0</v>
      </c>
      <c r="I339" s="59">
        <f>SUMIF('2.报价结算清单'!$F$7:$F$679,A339,'2.报价结算清单'!$P$7:$P$679)</f>
        <v>0</v>
      </c>
    </row>
    <row r="340" spans="1:9" ht="42.75">
      <c r="A340" s="74" t="s">
        <v>326</v>
      </c>
      <c r="B340" s="72"/>
      <c r="C340" s="72" t="s">
        <v>1308</v>
      </c>
      <c r="D340" s="76" t="s">
        <v>1351</v>
      </c>
      <c r="E340" s="72" t="s">
        <v>36</v>
      </c>
      <c r="F340" s="62">
        <f>VLOOKUP(A340,[1]基准价格!$A:$G,7,0)</f>
        <v>2900</v>
      </c>
      <c r="G340" s="56">
        <f>SUMIF('2.报价结算清单'!$F$7:$F$679,$A340,'2.报价结算清单'!$L$7:$L$679)</f>
        <v>0</v>
      </c>
      <c r="H340" s="56">
        <f>SUMIF('2.报价结算清单'!$F$7:$F$679,$A340,'2.报价结算清单'!$N$7:$N$679)</f>
        <v>0</v>
      </c>
      <c r="I340" s="59">
        <f>SUMIF('2.报价结算清单'!$F$7:$F$679,A340,'2.报价结算清单'!$P$7:$P$679)</f>
        <v>0</v>
      </c>
    </row>
    <row r="341" spans="1:9" ht="28.5">
      <c r="A341" s="74" t="s">
        <v>327</v>
      </c>
      <c r="B341" s="72"/>
      <c r="C341" s="72" t="s">
        <v>1308</v>
      </c>
      <c r="D341" s="76" t="s">
        <v>1352</v>
      </c>
      <c r="E341" s="72" t="s">
        <v>37</v>
      </c>
      <c r="F341" s="62">
        <f>VLOOKUP(A341,[1]基准价格!$A:$G,7,0)</f>
        <v>1900</v>
      </c>
      <c r="G341" s="56">
        <f>SUMIF('2.报价结算清单'!$F$7:$F$679,$A341,'2.报价结算清单'!$L$7:$L$679)</f>
        <v>0</v>
      </c>
      <c r="H341" s="56">
        <f>SUMIF('2.报价结算清单'!$F$7:$F$679,$A341,'2.报价结算清单'!$N$7:$N$679)</f>
        <v>0</v>
      </c>
      <c r="I341" s="59">
        <f>SUMIF('2.报价结算清单'!$F$7:$F$679,A341,'2.报价结算清单'!$P$7:$P$679)</f>
        <v>0</v>
      </c>
    </row>
    <row r="342" spans="1:9" ht="28.5">
      <c r="A342" s="74" t="s">
        <v>328</v>
      </c>
      <c r="B342" s="72"/>
      <c r="C342" s="72" t="s">
        <v>1308</v>
      </c>
      <c r="D342" s="76" t="s">
        <v>1353</v>
      </c>
      <c r="E342" s="72" t="s">
        <v>31</v>
      </c>
      <c r="F342" s="62">
        <f>VLOOKUP(A342,[1]基准价格!$A:$G,7,0)</f>
        <v>1833.33</v>
      </c>
      <c r="G342" s="56">
        <f>SUMIF('2.报价结算清单'!$F$7:$F$679,$A342,'2.报价结算清单'!$L$7:$L$679)</f>
        <v>0</v>
      </c>
      <c r="H342" s="56">
        <f>SUMIF('2.报价结算清单'!$F$7:$F$679,$A342,'2.报价结算清单'!$N$7:$N$679)</f>
        <v>0</v>
      </c>
      <c r="I342" s="59">
        <f>SUMIF('2.报价结算清单'!$F$7:$F$679,A342,'2.报价结算清单'!$P$7:$P$679)</f>
        <v>0</v>
      </c>
    </row>
    <row r="343" spans="1:9" ht="28.5">
      <c r="A343" s="74" t="s">
        <v>329</v>
      </c>
      <c r="B343" s="72"/>
      <c r="C343" s="72" t="s">
        <v>1308</v>
      </c>
      <c r="D343" s="76" t="s">
        <v>1354</v>
      </c>
      <c r="E343" s="72" t="s">
        <v>31</v>
      </c>
      <c r="F343" s="62">
        <f>VLOOKUP(A343,[1]基准价格!$A:$G,7,0)</f>
        <v>1666.67</v>
      </c>
      <c r="G343" s="56">
        <f>SUMIF('2.报价结算清单'!$F$7:$F$679,$A343,'2.报价结算清单'!$L$7:$L$679)</f>
        <v>0</v>
      </c>
      <c r="H343" s="56">
        <f>SUMIF('2.报价结算清单'!$F$7:$F$679,$A343,'2.报价结算清单'!$N$7:$N$679)</f>
        <v>0</v>
      </c>
      <c r="I343" s="59">
        <f>SUMIF('2.报价结算清单'!$F$7:$F$679,A343,'2.报价结算清单'!$P$7:$P$679)</f>
        <v>0</v>
      </c>
    </row>
    <row r="344" spans="1:9" ht="28.5">
      <c r="A344" s="74" t="s">
        <v>330</v>
      </c>
      <c r="B344" s="72"/>
      <c r="C344" s="72" t="s">
        <v>1308</v>
      </c>
      <c r="D344" s="76" t="s">
        <v>1355</v>
      </c>
      <c r="E344" s="72" t="s">
        <v>31</v>
      </c>
      <c r="F344" s="62">
        <f>VLOOKUP(A344,[1]基准价格!$A:$G,7,0)</f>
        <v>1187.2</v>
      </c>
      <c r="G344" s="56">
        <f>SUMIF('2.报价结算清单'!$F$7:$F$679,$A344,'2.报价结算清单'!$L$7:$L$679)</f>
        <v>0</v>
      </c>
      <c r="H344" s="56">
        <f>SUMIF('2.报价结算清单'!$F$7:$F$679,$A344,'2.报价结算清单'!$N$7:$N$679)</f>
        <v>0</v>
      </c>
      <c r="I344" s="59">
        <f>SUMIF('2.报价结算清单'!$F$7:$F$679,A344,'2.报价结算清单'!$P$7:$P$679)</f>
        <v>0</v>
      </c>
    </row>
    <row r="345" spans="1:9" ht="28.5">
      <c r="A345" s="74" t="s">
        <v>331</v>
      </c>
      <c r="B345" s="72"/>
      <c r="C345" s="72" t="s">
        <v>1308</v>
      </c>
      <c r="D345" s="76" t="s">
        <v>1356</v>
      </c>
      <c r="E345" s="72" t="s">
        <v>31</v>
      </c>
      <c r="F345" s="62">
        <f>VLOOKUP(A345,[1]基准价格!$A:$G,7,0)</f>
        <v>890.4</v>
      </c>
      <c r="G345" s="56">
        <f>SUMIF('2.报价结算清单'!$F$7:$F$679,$A345,'2.报价结算清单'!$L$7:$L$679)</f>
        <v>0</v>
      </c>
      <c r="H345" s="56">
        <f>SUMIF('2.报价结算清单'!$F$7:$F$679,$A345,'2.报价结算清单'!$N$7:$N$679)</f>
        <v>0</v>
      </c>
      <c r="I345" s="59">
        <f>SUMIF('2.报价结算清单'!$F$7:$F$679,A345,'2.报价结算清单'!$P$7:$P$679)</f>
        <v>0</v>
      </c>
    </row>
    <row r="346" spans="1:9" ht="42.75">
      <c r="A346" s="74" t="s">
        <v>332</v>
      </c>
      <c r="B346" s="72"/>
      <c r="C346" s="72" t="s">
        <v>1308</v>
      </c>
      <c r="D346" s="76" t="s">
        <v>1357</v>
      </c>
      <c r="E346" s="72" t="s">
        <v>31</v>
      </c>
      <c r="F346" s="62">
        <f>VLOOKUP(A346,[1]基准价格!$A:$G,7,0)</f>
        <v>212</v>
      </c>
      <c r="G346" s="56">
        <f>SUMIF('2.报价结算清单'!$F$7:$F$679,$A346,'2.报价结算清单'!$L$7:$L$679)</f>
        <v>0</v>
      </c>
      <c r="H346" s="56">
        <f>SUMIF('2.报价结算清单'!$F$7:$F$679,$A346,'2.报价结算清单'!$N$7:$N$679)</f>
        <v>0</v>
      </c>
      <c r="I346" s="59">
        <f>SUMIF('2.报价结算清单'!$F$7:$F$679,A346,'2.报价结算清单'!$P$7:$P$679)</f>
        <v>0</v>
      </c>
    </row>
    <row r="347" spans="1:9" ht="42.75">
      <c r="A347" s="74" t="s">
        <v>333</v>
      </c>
      <c r="B347" s="72"/>
      <c r="C347" s="72" t="s">
        <v>1308</v>
      </c>
      <c r="D347" s="76" t="s">
        <v>1358</v>
      </c>
      <c r="E347" s="72" t="s">
        <v>31</v>
      </c>
      <c r="F347" s="62">
        <f>VLOOKUP(A347,[1]基准价格!$A:$G,7,0)</f>
        <v>400</v>
      </c>
      <c r="G347" s="56">
        <f>SUMIF('2.报价结算清单'!$F$7:$F$679,$A347,'2.报价结算清单'!$L$7:$L$679)</f>
        <v>0</v>
      </c>
      <c r="H347" s="56">
        <f>SUMIF('2.报价结算清单'!$F$7:$F$679,$A347,'2.报价结算清单'!$N$7:$N$679)</f>
        <v>0</v>
      </c>
      <c r="I347" s="59">
        <f>SUMIF('2.报价结算清单'!$F$7:$F$679,A347,'2.报价结算清单'!$P$7:$P$679)</f>
        <v>0</v>
      </c>
    </row>
    <row r="348" spans="1:9" ht="42.75">
      <c r="A348" s="74" t="s">
        <v>334</v>
      </c>
      <c r="B348" s="72"/>
      <c r="C348" s="72" t="s">
        <v>1308</v>
      </c>
      <c r="D348" s="76" t="s">
        <v>1359</v>
      </c>
      <c r="E348" s="72" t="s">
        <v>31</v>
      </c>
      <c r="F348" s="62">
        <f>VLOOKUP(A348,[1]基准价格!$A:$G,7,0)</f>
        <v>700</v>
      </c>
      <c r="G348" s="56">
        <f>SUMIF('2.报价结算清单'!$F$7:$F$679,$A348,'2.报价结算清单'!$L$7:$L$679)</f>
        <v>0</v>
      </c>
      <c r="H348" s="56">
        <f>SUMIF('2.报价结算清单'!$F$7:$F$679,$A348,'2.报价结算清单'!$N$7:$N$679)</f>
        <v>0</v>
      </c>
      <c r="I348" s="59">
        <f>SUMIF('2.报价结算清单'!$F$7:$F$679,A348,'2.报价结算清单'!$P$7:$P$679)</f>
        <v>0</v>
      </c>
    </row>
    <row r="349" spans="1:9" ht="42.75">
      <c r="A349" s="74" t="s">
        <v>335</v>
      </c>
      <c r="B349" s="72"/>
      <c r="C349" s="72" t="s">
        <v>1308</v>
      </c>
      <c r="D349" s="76" t="s">
        <v>1360</v>
      </c>
      <c r="E349" s="72" t="s">
        <v>31</v>
      </c>
      <c r="F349" s="62">
        <f>VLOOKUP(A349,[1]基准价格!$A:$G,7,0)</f>
        <v>400</v>
      </c>
      <c r="G349" s="56">
        <f>SUMIF('2.报价结算清单'!$F$7:$F$679,$A349,'2.报价结算清单'!$L$7:$L$679)</f>
        <v>0</v>
      </c>
      <c r="H349" s="56">
        <f>SUMIF('2.报价结算清单'!$F$7:$F$679,$A349,'2.报价结算清单'!$N$7:$N$679)</f>
        <v>0</v>
      </c>
      <c r="I349" s="59">
        <f>SUMIF('2.报价结算清单'!$F$7:$F$679,A349,'2.报价结算清单'!$P$7:$P$679)</f>
        <v>0</v>
      </c>
    </row>
    <row r="350" spans="1:9" ht="42.75">
      <c r="A350" s="74" t="s">
        <v>336</v>
      </c>
      <c r="B350" s="72"/>
      <c r="C350" s="72" t="s">
        <v>1308</v>
      </c>
      <c r="D350" s="76" t="s">
        <v>1361</v>
      </c>
      <c r="E350" s="72" t="s">
        <v>31</v>
      </c>
      <c r="F350" s="62">
        <f>VLOOKUP(A350,[1]基准价格!$A:$G,7,0)</f>
        <v>848</v>
      </c>
      <c r="G350" s="56">
        <f>SUMIF('2.报价结算清单'!$F$7:$F$679,$A350,'2.报价结算清单'!$L$7:$L$679)</f>
        <v>0</v>
      </c>
      <c r="H350" s="56">
        <f>SUMIF('2.报价结算清单'!$F$7:$F$679,$A350,'2.报价结算清单'!$N$7:$N$679)</f>
        <v>0</v>
      </c>
      <c r="I350" s="59">
        <f>SUMIF('2.报价结算清单'!$F$7:$F$679,A350,'2.报价结算清单'!$P$7:$P$679)</f>
        <v>0</v>
      </c>
    </row>
    <row r="351" spans="1:9" ht="42.75">
      <c r="A351" s="74" t="s">
        <v>337</v>
      </c>
      <c r="B351" s="72"/>
      <c r="C351" s="72" t="s">
        <v>1308</v>
      </c>
      <c r="D351" s="76" t="s">
        <v>1362</v>
      </c>
      <c r="E351" s="72" t="s">
        <v>26</v>
      </c>
      <c r="F351" s="62">
        <f>VLOOKUP(A351,[1]基准价格!$A:$G,7,0)</f>
        <v>344.5</v>
      </c>
      <c r="G351" s="56">
        <f>SUMIF('2.报价结算清单'!$F$7:$F$679,$A351,'2.报价结算清单'!$L$7:$L$679)</f>
        <v>0</v>
      </c>
      <c r="H351" s="56">
        <f>SUMIF('2.报价结算清单'!$F$7:$F$679,$A351,'2.报价结算清单'!$N$7:$N$679)</f>
        <v>0</v>
      </c>
      <c r="I351" s="59">
        <f>SUMIF('2.报价结算清单'!$F$7:$F$679,A351,'2.报价结算清单'!$P$7:$P$679)</f>
        <v>0</v>
      </c>
    </row>
    <row r="352" spans="1:9" ht="28.5">
      <c r="A352" s="74" t="s">
        <v>338</v>
      </c>
      <c r="B352" s="72"/>
      <c r="C352" s="72" t="s">
        <v>1308</v>
      </c>
      <c r="D352" s="76" t="s">
        <v>1363</v>
      </c>
      <c r="E352" s="72" t="s">
        <v>27</v>
      </c>
      <c r="F352" s="62">
        <f>VLOOKUP(A352,[1]基准价格!$A:$G,7,0)</f>
        <v>371</v>
      </c>
      <c r="G352" s="56">
        <f>SUMIF('2.报价结算清单'!$F$7:$F$679,$A352,'2.报价结算清单'!$L$7:$L$679)</f>
        <v>0</v>
      </c>
      <c r="H352" s="56">
        <f>SUMIF('2.报价结算清单'!$F$7:$F$679,$A352,'2.报价结算清单'!$N$7:$N$679)</f>
        <v>0</v>
      </c>
      <c r="I352" s="59">
        <f>SUMIF('2.报价结算清单'!$F$7:$F$679,A352,'2.报价结算清单'!$P$7:$P$679)</f>
        <v>0</v>
      </c>
    </row>
    <row r="353" spans="1:9" ht="28.5">
      <c r="A353" s="74" t="s">
        <v>339</v>
      </c>
      <c r="B353" s="72"/>
      <c r="C353" s="72" t="s">
        <v>1308</v>
      </c>
      <c r="D353" s="76" t="s">
        <v>1364</v>
      </c>
      <c r="E353" s="72" t="s">
        <v>27</v>
      </c>
      <c r="F353" s="62">
        <f>VLOOKUP(A353,[1]基准价格!$A:$G,7,0)</f>
        <v>702</v>
      </c>
      <c r="G353" s="56">
        <f>SUMIF('2.报价结算清单'!$F$7:$F$679,$A353,'2.报价结算清单'!$L$7:$L$679)</f>
        <v>0</v>
      </c>
      <c r="H353" s="56">
        <f>SUMIF('2.报价结算清单'!$F$7:$F$679,$A353,'2.报价结算清单'!$N$7:$N$679)</f>
        <v>0</v>
      </c>
      <c r="I353" s="59">
        <f>SUMIF('2.报价结算清单'!$F$7:$F$679,A353,'2.报价结算清单'!$P$7:$P$679)</f>
        <v>0</v>
      </c>
    </row>
    <row r="354" spans="1:9" ht="28.5">
      <c r="A354" s="74" t="s">
        <v>340</v>
      </c>
      <c r="B354" s="72"/>
      <c r="C354" s="72" t="s">
        <v>1308</v>
      </c>
      <c r="D354" s="76" t="s">
        <v>1365</v>
      </c>
      <c r="E354" s="72" t="s">
        <v>27</v>
      </c>
      <c r="F354" s="62">
        <f>VLOOKUP(A354,[1]基准价格!$A:$G,7,0)</f>
        <v>1272</v>
      </c>
      <c r="G354" s="56">
        <f>SUMIF('2.报价结算清单'!$F$7:$F$679,$A354,'2.报价结算清单'!$L$7:$L$679)</f>
        <v>0</v>
      </c>
      <c r="H354" s="56">
        <f>SUMIF('2.报价结算清单'!$F$7:$F$679,$A354,'2.报价结算清单'!$N$7:$N$679)</f>
        <v>0</v>
      </c>
      <c r="I354" s="59">
        <f>SUMIF('2.报价结算清单'!$F$7:$F$679,A354,'2.报价结算清单'!$P$7:$P$679)</f>
        <v>0</v>
      </c>
    </row>
    <row r="355" spans="1:9" ht="42.75">
      <c r="A355" s="74" t="s">
        <v>341</v>
      </c>
      <c r="B355" s="72"/>
      <c r="C355" s="72" t="s">
        <v>1308</v>
      </c>
      <c r="D355" s="76" t="s">
        <v>1366</v>
      </c>
      <c r="E355" s="72" t="s">
        <v>26</v>
      </c>
      <c r="F355" s="62">
        <f>VLOOKUP(A355,[1]基准价格!$A:$G,7,0)</f>
        <v>95.4</v>
      </c>
      <c r="G355" s="56">
        <f>SUMIF('2.报价结算清单'!$F$7:$F$679,$A355,'2.报价结算清单'!$L$7:$L$679)</f>
        <v>0</v>
      </c>
      <c r="H355" s="56">
        <f>SUMIF('2.报价结算清单'!$F$7:$F$679,$A355,'2.报价结算清单'!$N$7:$N$679)</f>
        <v>0</v>
      </c>
      <c r="I355" s="59">
        <f>SUMIF('2.报价结算清单'!$F$7:$F$679,A355,'2.报价结算清单'!$P$7:$P$679)</f>
        <v>0</v>
      </c>
    </row>
    <row r="356" spans="1:9" ht="57">
      <c r="A356" s="74" t="s">
        <v>342</v>
      </c>
      <c r="B356" s="72"/>
      <c r="C356" s="72" t="s">
        <v>1308</v>
      </c>
      <c r="D356" s="76" t="s">
        <v>1367</v>
      </c>
      <c r="E356" s="72" t="s">
        <v>38</v>
      </c>
      <c r="F356" s="62">
        <f>VLOOKUP(A356,[1]基准价格!$A:$G,7,0)</f>
        <v>440</v>
      </c>
      <c r="G356" s="56">
        <f>SUMIF('2.报价结算清单'!$F$7:$F$679,$A356,'2.报价结算清单'!$L$7:$L$679)</f>
        <v>0</v>
      </c>
      <c r="H356" s="56">
        <f>SUMIF('2.报价结算清单'!$F$7:$F$679,$A356,'2.报价结算清单'!$N$7:$N$679)</f>
        <v>0</v>
      </c>
      <c r="I356" s="59">
        <f>SUMIF('2.报价结算清单'!$F$7:$F$679,A356,'2.报价结算清单'!$P$7:$P$679)</f>
        <v>0</v>
      </c>
    </row>
    <row r="357" spans="1:9" ht="42.75">
      <c r="A357" s="74" t="s">
        <v>343</v>
      </c>
      <c r="B357" s="72"/>
      <c r="C357" s="72" t="s">
        <v>1308</v>
      </c>
      <c r="D357" s="76" t="s">
        <v>1368</v>
      </c>
      <c r="E357" s="72" t="s">
        <v>31</v>
      </c>
      <c r="F357" s="62">
        <f>VLOOKUP(A357,[1]基准价格!$A:$G,7,0)</f>
        <v>493.33</v>
      </c>
      <c r="G357" s="56">
        <f>SUMIF('2.报价结算清单'!$F$7:$F$679,$A357,'2.报价结算清单'!$L$7:$L$679)</f>
        <v>0</v>
      </c>
      <c r="H357" s="56">
        <f>SUMIF('2.报价结算清单'!$F$7:$F$679,$A357,'2.报价结算清单'!$N$7:$N$679)</f>
        <v>0</v>
      </c>
      <c r="I357" s="59">
        <f>SUMIF('2.报价结算清单'!$F$7:$F$679,A357,'2.报价结算清单'!$P$7:$P$679)</f>
        <v>0</v>
      </c>
    </row>
    <row r="358" spans="1:9" ht="28.5">
      <c r="A358" s="74" t="s">
        <v>344</v>
      </c>
      <c r="B358" s="72"/>
      <c r="C358" s="72" t="s">
        <v>1308</v>
      </c>
      <c r="D358" s="76" t="s">
        <v>1369</v>
      </c>
      <c r="E358" s="72" t="s">
        <v>31</v>
      </c>
      <c r="F358" s="62">
        <f>VLOOKUP(A358,[1]基准价格!$A:$G,7,0)</f>
        <v>371</v>
      </c>
      <c r="G358" s="56">
        <f>SUMIF('2.报价结算清单'!$F$7:$F$679,$A358,'2.报价结算清单'!$L$7:$L$679)</f>
        <v>0</v>
      </c>
      <c r="H358" s="56">
        <f>SUMIF('2.报价结算清单'!$F$7:$F$679,$A358,'2.报价结算清单'!$N$7:$N$679)</f>
        <v>0</v>
      </c>
      <c r="I358" s="59">
        <f>SUMIF('2.报价结算清单'!$F$7:$F$679,A358,'2.报价结算清单'!$P$7:$P$679)</f>
        <v>0</v>
      </c>
    </row>
    <row r="359" spans="1:9" ht="28.5">
      <c r="A359" s="74" t="s">
        <v>345</v>
      </c>
      <c r="B359" s="72"/>
      <c r="C359" s="72" t="s">
        <v>1308</v>
      </c>
      <c r="D359" s="76" t="s">
        <v>1370</v>
      </c>
      <c r="E359" s="72" t="s">
        <v>31</v>
      </c>
      <c r="F359" s="62">
        <f>VLOOKUP(A359,[1]基准价格!$A:$G,7,0)</f>
        <v>848</v>
      </c>
      <c r="G359" s="56">
        <f>SUMIF('2.报价结算清单'!$F$7:$F$679,$A359,'2.报价结算清单'!$L$7:$L$679)</f>
        <v>0</v>
      </c>
      <c r="H359" s="56">
        <f>SUMIF('2.报价结算清单'!$F$7:$F$679,$A359,'2.报价结算清单'!$N$7:$N$679)</f>
        <v>0</v>
      </c>
      <c r="I359" s="59">
        <f>SUMIF('2.报价结算清单'!$F$7:$F$679,A359,'2.报价结算清单'!$P$7:$P$679)</f>
        <v>0</v>
      </c>
    </row>
    <row r="360" spans="1:9" ht="42.75">
      <c r="A360" s="74" t="s">
        <v>346</v>
      </c>
      <c r="B360" s="72"/>
      <c r="C360" s="72" t="s">
        <v>1308</v>
      </c>
      <c r="D360" s="76" t="s">
        <v>1371</v>
      </c>
      <c r="E360" s="72" t="s">
        <v>31</v>
      </c>
      <c r="F360" s="62">
        <f>VLOOKUP(A360,[1]基准价格!$A:$G,7,0)</f>
        <v>1060</v>
      </c>
      <c r="G360" s="56">
        <f>SUMIF('2.报价结算清单'!$F$7:$F$679,$A360,'2.报价结算清单'!$L$7:$L$679)</f>
        <v>0</v>
      </c>
      <c r="H360" s="56">
        <f>SUMIF('2.报价结算清单'!$F$7:$F$679,$A360,'2.报价结算清单'!$N$7:$N$679)</f>
        <v>0</v>
      </c>
      <c r="I360" s="59">
        <f>SUMIF('2.报价结算清单'!$F$7:$F$679,A360,'2.报价结算清单'!$P$7:$P$679)</f>
        <v>0</v>
      </c>
    </row>
    <row r="361" spans="1:9" ht="42.75">
      <c r="A361" s="74" t="s">
        <v>347</v>
      </c>
      <c r="B361" s="72"/>
      <c r="C361" s="72" t="s">
        <v>1308</v>
      </c>
      <c r="D361" s="76" t="s">
        <v>1372</v>
      </c>
      <c r="E361" s="72" t="s">
        <v>31</v>
      </c>
      <c r="F361" s="62">
        <f>VLOOKUP(A361,[1]基准价格!$A:$G,7,0)</f>
        <v>583.33000000000004</v>
      </c>
      <c r="G361" s="56">
        <f>SUMIF('2.报价结算清单'!$F$7:$F$679,$A361,'2.报价结算清单'!$L$7:$L$679)</f>
        <v>0</v>
      </c>
      <c r="H361" s="56">
        <f>SUMIF('2.报价结算清单'!$F$7:$F$679,$A361,'2.报价结算清单'!$N$7:$N$679)</f>
        <v>0</v>
      </c>
      <c r="I361" s="59">
        <f>SUMIF('2.报价结算清单'!$F$7:$F$679,A361,'2.报价结算清单'!$P$7:$P$679)</f>
        <v>0</v>
      </c>
    </row>
    <row r="362" spans="1:9" ht="28.5">
      <c r="A362" s="74" t="s">
        <v>348</v>
      </c>
      <c r="B362" s="72"/>
      <c r="C362" s="72" t="s">
        <v>1308</v>
      </c>
      <c r="D362" s="76" t="s">
        <v>1373</v>
      </c>
      <c r="E362" s="72" t="s">
        <v>31</v>
      </c>
      <c r="F362" s="62">
        <f>VLOOKUP(A362,[1]基准价格!$A:$G,7,0)</f>
        <v>689</v>
      </c>
      <c r="G362" s="56">
        <f>SUMIF('2.报价结算清单'!$F$7:$F$679,$A362,'2.报价结算清单'!$L$7:$L$679)</f>
        <v>0</v>
      </c>
      <c r="H362" s="56">
        <f>SUMIF('2.报价结算清单'!$F$7:$F$679,$A362,'2.报价结算清单'!$N$7:$N$679)</f>
        <v>0</v>
      </c>
      <c r="I362" s="59">
        <f>SUMIF('2.报价结算清单'!$F$7:$F$679,A362,'2.报价结算清单'!$P$7:$P$679)</f>
        <v>0</v>
      </c>
    </row>
    <row r="363" spans="1:9" ht="28.5">
      <c r="A363" s="74" t="s">
        <v>349</v>
      </c>
      <c r="B363" s="72"/>
      <c r="C363" s="72" t="s">
        <v>1308</v>
      </c>
      <c r="D363" s="76" t="s">
        <v>1374</v>
      </c>
      <c r="E363" s="72" t="s">
        <v>31</v>
      </c>
      <c r="F363" s="62">
        <f>VLOOKUP(A363,[1]基准价格!$A:$G,7,0)</f>
        <v>763.2</v>
      </c>
      <c r="G363" s="56">
        <f>SUMIF('2.报价结算清单'!$F$7:$F$679,$A363,'2.报价结算清单'!$L$7:$L$679)</f>
        <v>0</v>
      </c>
      <c r="H363" s="56">
        <f>SUMIF('2.报价结算清单'!$F$7:$F$679,$A363,'2.报价结算清单'!$N$7:$N$679)</f>
        <v>0</v>
      </c>
      <c r="I363" s="59">
        <f>SUMIF('2.报价结算清单'!$F$7:$F$679,A363,'2.报价结算清单'!$P$7:$P$679)</f>
        <v>0</v>
      </c>
    </row>
    <row r="364" spans="1:9" ht="28.5">
      <c r="A364" s="74" t="s">
        <v>350</v>
      </c>
      <c r="B364" s="72"/>
      <c r="C364" s="72" t="s">
        <v>1308</v>
      </c>
      <c r="D364" s="76" t="s">
        <v>1375</v>
      </c>
      <c r="E364" s="72" t="s">
        <v>31</v>
      </c>
      <c r="F364" s="62">
        <f>VLOOKUP(A364,[1]基准价格!$A:$G,7,0)</f>
        <v>763.2</v>
      </c>
      <c r="G364" s="56">
        <f>SUMIF('2.报价结算清单'!$F$7:$F$679,$A364,'2.报价结算清单'!$L$7:$L$679)</f>
        <v>0</v>
      </c>
      <c r="H364" s="56">
        <f>SUMIF('2.报价结算清单'!$F$7:$F$679,$A364,'2.报价结算清单'!$N$7:$N$679)</f>
        <v>0</v>
      </c>
      <c r="I364" s="59">
        <f>SUMIF('2.报价结算清单'!$F$7:$F$679,A364,'2.报价结算清单'!$P$7:$P$679)</f>
        <v>0</v>
      </c>
    </row>
    <row r="365" spans="1:9" ht="28.5">
      <c r="A365" s="74" t="s">
        <v>351</v>
      </c>
      <c r="B365" s="72"/>
      <c r="C365" s="72" t="s">
        <v>1308</v>
      </c>
      <c r="D365" s="76" t="s">
        <v>1376</v>
      </c>
      <c r="E365" s="72" t="s">
        <v>31</v>
      </c>
      <c r="F365" s="62">
        <f>VLOOKUP(A365,[1]基准价格!$A:$G,7,0)</f>
        <v>614.79999999999995</v>
      </c>
      <c r="G365" s="56">
        <f>SUMIF('2.报价结算清单'!$F$7:$F$679,$A365,'2.报价结算清单'!$L$7:$L$679)</f>
        <v>0</v>
      </c>
      <c r="H365" s="56">
        <f>SUMIF('2.报价结算清单'!$F$7:$F$679,$A365,'2.报价结算清单'!$N$7:$N$679)</f>
        <v>0</v>
      </c>
      <c r="I365" s="59">
        <f>SUMIF('2.报价结算清单'!$F$7:$F$679,A365,'2.报价结算清单'!$P$7:$P$679)</f>
        <v>0</v>
      </c>
    </row>
    <row r="366" spans="1:9" ht="28.5">
      <c r="A366" s="74" t="s">
        <v>352</v>
      </c>
      <c r="B366" s="72"/>
      <c r="C366" s="72" t="s">
        <v>1308</v>
      </c>
      <c r="D366" s="76" t="s">
        <v>1377</v>
      </c>
      <c r="E366" s="72" t="s">
        <v>31</v>
      </c>
      <c r="F366" s="62">
        <f>VLOOKUP(A366,[1]基准价格!$A:$G,7,0)</f>
        <v>636</v>
      </c>
      <c r="G366" s="56">
        <f>SUMIF('2.报价结算清单'!$F$7:$F$679,$A366,'2.报价结算清单'!$L$7:$L$679)</f>
        <v>0</v>
      </c>
      <c r="H366" s="56">
        <f>SUMIF('2.报价结算清单'!$F$7:$F$679,$A366,'2.报价结算清单'!$N$7:$N$679)</f>
        <v>0</v>
      </c>
      <c r="I366" s="59">
        <f>SUMIF('2.报价结算清单'!$F$7:$F$679,A366,'2.报价结算清单'!$P$7:$P$679)</f>
        <v>0</v>
      </c>
    </row>
    <row r="367" spans="1:9" ht="28.5">
      <c r="A367" s="74" t="s">
        <v>353</v>
      </c>
      <c r="B367" s="72"/>
      <c r="C367" s="72" t="s">
        <v>1308</v>
      </c>
      <c r="D367" s="76" t="s">
        <v>1378</v>
      </c>
      <c r="E367" s="72" t="s">
        <v>31</v>
      </c>
      <c r="F367" s="62">
        <f>VLOOKUP(A367,[1]基准价格!$A:$G,7,0)</f>
        <v>636</v>
      </c>
      <c r="G367" s="56">
        <f>SUMIF('2.报价结算清单'!$F$7:$F$679,$A367,'2.报价结算清单'!$L$7:$L$679)</f>
        <v>0</v>
      </c>
      <c r="H367" s="56">
        <f>SUMIF('2.报价结算清单'!$F$7:$F$679,$A367,'2.报价结算清单'!$N$7:$N$679)</f>
        <v>0</v>
      </c>
      <c r="I367" s="59">
        <f>SUMIF('2.报价结算清单'!$F$7:$F$679,A367,'2.报价结算清单'!$P$7:$P$679)</f>
        <v>0</v>
      </c>
    </row>
    <row r="368" spans="1:9" ht="28.5">
      <c r="A368" s="74" t="s">
        <v>354</v>
      </c>
      <c r="B368" s="72"/>
      <c r="C368" s="72" t="s">
        <v>1308</v>
      </c>
      <c r="D368" s="76" t="s">
        <v>1379</v>
      </c>
      <c r="E368" s="72" t="s">
        <v>31</v>
      </c>
      <c r="F368" s="62">
        <f>VLOOKUP(A368,[1]基准价格!$A:$G,7,0)</f>
        <v>636</v>
      </c>
      <c r="G368" s="56">
        <f>SUMIF('2.报价结算清单'!$F$7:$F$679,$A368,'2.报价结算清单'!$L$7:$L$679)</f>
        <v>0</v>
      </c>
      <c r="H368" s="56">
        <f>SUMIF('2.报价结算清单'!$F$7:$F$679,$A368,'2.报价结算清单'!$N$7:$N$679)</f>
        <v>0</v>
      </c>
      <c r="I368" s="59">
        <f>SUMIF('2.报价结算清单'!$F$7:$F$679,A368,'2.报价结算清单'!$P$7:$P$679)</f>
        <v>0</v>
      </c>
    </row>
    <row r="369" spans="1:9" ht="28.5">
      <c r="A369" s="74" t="s">
        <v>355</v>
      </c>
      <c r="B369" s="72"/>
      <c r="C369" s="72" t="s">
        <v>1308</v>
      </c>
      <c r="D369" s="76" t="s">
        <v>1380</v>
      </c>
      <c r="E369" s="72" t="s">
        <v>31</v>
      </c>
      <c r="F369" s="62">
        <f>VLOOKUP(A369,[1]基准价格!$A:$G,7,0)</f>
        <v>636</v>
      </c>
      <c r="G369" s="56">
        <f>SUMIF('2.报价结算清单'!$F$7:$F$679,$A369,'2.报价结算清单'!$L$7:$L$679)</f>
        <v>0</v>
      </c>
      <c r="H369" s="56">
        <f>SUMIF('2.报价结算清单'!$F$7:$F$679,$A369,'2.报价结算清单'!$N$7:$N$679)</f>
        <v>0</v>
      </c>
      <c r="I369" s="59">
        <f>SUMIF('2.报价结算清单'!$F$7:$F$679,A369,'2.报价结算清单'!$P$7:$P$679)</f>
        <v>0</v>
      </c>
    </row>
    <row r="370" spans="1:9" ht="28.5">
      <c r="A370" s="74" t="s">
        <v>356</v>
      </c>
      <c r="B370" s="72"/>
      <c r="C370" s="72" t="s">
        <v>1308</v>
      </c>
      <c r="D370" s="76" t="s">
        <v>1381</v>
      </c>
      <c r="E370" s="72" t="s">
        <v>31</v>
      </c>
      <c r="F370" s="62">
        <f>VLOOKUP(A370,[1]基准价格!$A:$G,7,0)</f>
        <v>560</v>
      </c>
      <c r="G370" s="56">
        <f>SUMIF('2.报价结算清单'!$F$7:$F$679,$A370,'2.报价结算清单'!$L$7:$L$679)</f>
        <v>0</v>
      </c>
      <c r="H370" s="56">
        <f>SUMIF('2.报价结算清单'!$F$7:$F$679,$A370,'2.报价结算清单'!$N$7:$N$679)</f>
        <v>0</v>
      </c>
      <c r="I370" s="59">
        <f>SUMIF('2.报价结算清单'!$F$7:$F$679,A370,'2.报价结算清单'!$P$7:$P$679)</f>
        <v>0</v>
      </c>
    </row>
    <row r="371" spans="1:9" ht="28.5">
      <c r="A371" s="74" t="s">
        <v>357</v>
      </c>
      <c r="B371" s="72"/>
      <c r="C371" s="72" t="s">
        <v>1308</v>
      </c>
      <c r="D371" s="76" t="s">
        <v>1382</v>
      </c>
      <c r="E371" s="72" t="s">
        <v>31</v>
      </c>
      <c r="F371" s="62">
        <f>VLOOKUP(A371,[1]基准价格!$A:$G,7,0)</f>
        <v>583</v>
      </c>
      <c r="G371" s="56">
        <f>SUMIF('2.报价结算清单'!$F$7:$F$679,$A371,'2.报价结算清单'!$L$7:$L$679)</f>
        <v>0</v>
      </c>
      <c r="H371" s="56">
        <f>SUMIF('2.报价结算清单'!$F$7:$F$679,$A371,'2.报价结算清单'!$N$7:$N$679)</f>
        <v>0</v>
      </c>
      <c r="I371" s="59">
        <f>SUMIF('2.报价结算清单'!$F$7:$F$679,A371,'2.报价结算清单'!$P$7:$P$679)</f>
        <v>0</v>
      </c>
    </row>
    <row r="372" spans="1:9" ht="28.5">
      <c r="A372" s="74" t="s">
        <v>358</v>
      </c>
      <c r="B372" s="72"/>
      <c r="C372" s="72" t="s">
        <v>1308</v>
      </c>
      <c r="D372" s="76" t="s">
        <v>1383</v>
      </c>
      <c r="E372" s="72" t="s">
        <v>31</v>
      </c>
      <c r="F372" s="62">
        <f>VLOOKUP(A372,[1]基准价格!$A:$G,7,0)</f>
        <v>499</v>
      </c>
      <c r="G372" s="56">
        <f>SUMIF('2.报价结算清单'!$F$7:$F$679,$A372,'2.报价结算清单'!$L$7:$L$679)</f>
        <v>0</v>
      </c>
      <c r="H372" s="56">
        <f>SUMIF('2.报价结算清单'!$F$7:$F$679,$A372,'2.报价结算清单'!$N$7:$N$679)</f>
        <v>0</v>
      </c>
      <c r="I372" s="59">
        <f>SUMIF('2.报价结算清单'!$F$7:$F$679,A372,'2.报价结算清单'!$P$7:$P$679)</f>
        <v>0</v>
      </c>
    </row>
    <row r="373" spans="1:9">
      <c r="A373" s="74" t="s">
        <v>359</v>
      </c>
      <c r="B373" s="72"/>
      <c r="C373" s="72" t="s">
        <v>1308</v>
      </c>
      <c r="D373" s="76" t="s">
        <v>1078</v>
      </c>
      <c r="E373" s="72" t="s">
        <v>40</v>
      </c>
      <c r="F373" s="62">
        <f>VLOOKUP(A373,[1]基准价格!$A:$G,7,0)</f>
        <v>318</v>
      </c>
      <c r="G373" s="56">
        <f>SUMIF('2.报价结算清单'!$F$7:$F$679,$A373,'2.报价结算清单'!$L$7:$L$679)</f>
        <v>0</v>
      </c>
      <c r="H373" s="56">
        <f>SUMIF('2.报价结算清单'!$F$7:$F$679,$A373,'2.报价结算清单'!$N$7:$N$679)</f>
        <v>0</v>
      </c>
      <c r="I373" s="59">
        <f>SUMIF('2.报价结算清单'!$F$7:$F$679,A373,'2.报价结算清单'!$P$7:$P$679)</f>
        <v>0</v>
      </c>
    </row>
    <row r="374" spans="1:9" ht="28.5">
      <c r="A374" s="74" t="s">
        <v>360</v>
      </c>
      <c r="B374" s="72"/>
      <c r="C374" s="72" t="s">
        <v>1308</v>
      </c>
      <c r="D374" s="76" t="s">
        <v>1384</v>
      </c>
      <c r="E374" s="72" t="s">
        <v>31</v>
      </c>
      <c r="F374" s="62">
        <f>VLOOKUP(A374,[1]基准价格!$A:$G,7,0)</f>
        <v>416.67</v>
      </c>
      <c r="G374" s="56">
        <f>SUMIF('2.报价结算清单'!$F$7:$F$679,$A374,'2.报价结算清单'!$L$7:$L$679)</f>
        <v>0</v>
      </c>
      <c r="H374" s="56">
        <f>SUMIF('2.报价结算清单'!$F$7:$F$679,$A374,'2.报价结算清单'!$N$7:$N$679)</f>
        <v>0</v>
      </c>
      <c r="I374" s="59">
        <f>SUMIF('2.报价结算清单'!$F$7:$F$679,A374,'2.报价结算清单'!$P$7:$P$679)</f>
        <v>0</v>
      </c>
    </row>
    <row r="375" spans="1:9" ht="42.75">
      <c r="A375" s="74" t="s">
        <v>361</v>
      </c>
      <c r="B375" s="72"/>
      <c r="C375" s="72" t="s">
        <v>1308</v>
      </c>
      <c r="D375" s="76" t="s">
        <v>1385</v>
      </c>
      <c r="E375" s="72" t="s">
        <v>31</v>
      </c>
      <c r="F375" s="62">
        <f>VLOOKUP(A375,[1]基准价格!$A:$G,7,0)</f>
        <v>2650</v>
      </c>
      <c r="G375" s="56">
        <f>SUMIF('2.报价结算清单'!$F$7:$F$679,$A375,'2.报价结算清单'!$L$7:$L$679)</f>
        <v>0</v>
      </c>
      <c r="H375" s="56">
        <f>SUMIF('2.报价结算清单'!$F$7:$F$679,$A375,'2.报价结算清单'!$N$7:$N$679)</f>
        <v>0</v>
      </c>
      <c r="I375" s="59">
        <f>SUMIF('2.报价结算清单'!$F$7:$F$679,A375,'2.报价结算清单'!$P$7:$P$679)</f>
        <v>0</v>
      </c>
    </row>
    <row r="376" spans="1:9" ht="42.75">
      <c r="A376" s="74" t="s">
        <v>362</v>
      </c>
      <c r="B376" s="72"/>
      <c r="C376" s="72" t="s">
        <v>1308</v>
      </c>
      <c r="D376" s="76" t="s">
        <v>1386</v>
      </c>
      <c r="E376" s="72" t="s">
        <v>31</v>
      </c>
      <c r="F376" s="62">
        <f>VLOOKUP(A376,[1]基准价格!$A:$G,7,0)</f>
        <v>1266.67</v>
      </c>
      <c r="G376" s="56">
        <f>SUMIF('2.报价结算清单'!$F$7:$F$679,$A376,'2.报价结算清单'!$L$7:$L$679)</f>
        <v>0</v>
      </c>
      <c r="H376" s="56">
        <f>SUMIF('2.报价结算清单'!$F$7:$F$679,$A376,'2.报价结算清单'!$N$7:$N$679)</f>
        <v>0</v>
      </c>
      <c r="I376" s="59">
        <f>SUMIF('2.报价结算清单'!$F$7:$F$679,A376,'2.报价结算清单'!$P$7:$P$679)</f>
        <v>0</v>
      </c>
    </row>
    <row r="377" spans="1:9" ht="42.75">
      <c r="A377" s="74" t="s">
        <v>363</v>
      </c>
      <c r="B377" s="72"/>
      <c r="C377" s="72" t="s">
        <v>1308</v>
      </c>
      <c r="D377" s="76" t="s">
        <v>1387</v>
      </c>
      <c r="E377" s="72" t="s">
        <v>31</v>
      </c>
      <c r="F377" s="62">
        <f>VLOOKUP(A377,[1]基准价格!$A:$G,7,0)</f>
        <v>2200</v>
      </c>
      <c r="G377" s="56">
        <f>SUMIF('2.报价结算清单'!$F$7:$F$679,$A377,'2.报价结算清单'!$L$7:$L$679)</f>
        <v>0</v>
      </c>
      <c r="H377" s="56">
        <f>SUMIF('2.报价结算清单'!$F$7:$F$679,$A377,'2.报价结算清单'!$N$7:$N$679)</f>
        <v>0</v>
      </c>
      <c r="I377" s="59">
        <f>SUMIF('2.报价结算清单'!$F$7:$F$679,A377,'2.报价结算清单'!$P$7:$P$679)</f>
        <v>0</v>
      </c>
    </row>
    <row r="378" spans="1:9" ht="42.75">
      <c r="A378" s="74" t="s">
        <v>364</v>
      </c>
      <c r="B378" s="72"/>
      <c r="C378" s="72" t="s">
        <v>1308</v>
      </c>
      <c r="D378" s="76" t="s">
        <v>1388</v>
      </c>
      <c r="E378" s="72" t="s">
        <v>31</v>
      </c>
      <c r="F378" s="62">
        <f>VLOOKUP(A378,[1]基准价格!$A:$G,7,0)</f>
        <v>1200</v>
      </c>
      <c r="G378" s="56">
        <f>SUMIF('2.报价结算清单'!$F$7:$F$679,$A378,'2.报价结算清单'!$L$7:$L$679)</f>
        <v>0</v>
      </c>
      <c r="H378" s="56">
        <f>SUMIF('2.报价结算清单'!$F$7:$F$679,$A378,'2.报价结算清单'!$N$7:$N$679)</f>
        <v>0</v>
      </c>
      <c r="I378" s="59">
        <f>SUMIF('2.报价结算清单'!$F$7:$F$679,A378,'2.报价结算清单'!$P$7:$P$679)</f>
        <v>0</v>
      </c>
    </row>
    <row r="379" spans="1:9" ht="28.5">
      <c r="A379" s="74" t="s">
        <v>365</v>
      </c>
      <c r="B379" s="72"/>
      <c r="C379" s="72" t="s">
        <v>1308</v>
      </c>
      <c r="D379" s="76" t="s">
        <v>1389</v>
      </c>
      <c r="E379" s="72" t="s">
        <v>31</v>
      </c>
      <c r="F379" s="62">
        <f>VLOOKUP(A379,[1]基准价格!$A:$G,7,0)</f>
        <v>2374.4</v>
      </c>
      <c r="G379" s="56">
        <f>SUMIF('2.报价结算清单'!$F$7:$F$679,$A379,'2.报价结算清单'!$L$7:$L$679)</f>
        <v>0</v>
      </c>
      <c r="H379" s="56">
        <f>SUMIF('2.报价结算清单'!$F$7:$F$679,$A379,'2.报价结算清单'!$N$7:$N$679)</f>
        <v>0</v>
      </c>
      <c r="I379" s="59">
        <f>SUMIF('2.报价结算清单'!$F$7:$F$679,A379,'2.报价结算清单'!$P$7:$P$679)</f>
        <v>0</v>
      </c>
    </row>
    <row r="380" spans="1:9" ht="28.5">
      <c r="A380" s="74" t="s">
        <v>366</v>
      </c>
      <c r="B380" s="72"/>
      <c r="C380" s="72" t="s">
        <v>1308</v>
      </c>
      <c r="D380" s="76" t="s">
        <v>1390</v>
      </c>
      <c r="E380" s="72" t="s">
        <v>31</v>
      </c>
      <c r="F380" s="62">
        <f>VLOOKUP(A380,[1]基准价格!$A:$G,7,0)</f>
        <v>2968</v>
      </c>
      <c r="G380" s="56">
        <f>SUMIF('2.报价结算清单'!$F$7:$F$679,$A380,'2.报价结算清单'!$L$7:$L$679)</f>
        <v>0</v>
      </c>
      <c r="H380" s="56">
        <f>SUMIF('2.报价结算清单'!$F$7:$F$679,$A380,'2.报价结算清单'!$N$7:$N$679)</f>
        <v>0</v>
      </c>
      <c r="I380" s="59">
        <f>SUMIF('2.报价结算清单'!$F$7:$F$679,A380,'2.报价结算清单'!$P$7:$P$679)</f>
        <v>0</v>
      </c>
    </row>
    <row r="381" spans="1:9" ht="28.5">
      <c r="A381" s="74" t="s">
        <v>367</v>
      </c>
      <c r="B381" s="72"/>
      <c r="C381" s="72" t="s">
        <v>1308</v>
      </c>
      <c r="D381" s="76" t="s">
        <v>1391</v>
      </c>
      <c r="E381" s="72" t="s">
        <v>31</v>
      </c>
      <c r="F381" s="62">
        <f>VLOOKUP(A381,[1]基准价格!$A:$G,7,0)</f>
        <v>2968</v>
      </c>
      <c r="G381" s="56">
        <f>SUMIF('2.报价结算清单'!$F$7:$F$679,$A381,'2.报价结算清单'!$L$7:$L$679)</f>
        <v>0</v>
      </c>
      <c r="H381" s="56">
        <f>SUMIF('2.报价结算清单'!$F$7:$F$679,$A381,'2.报价结算清单'!$N$7:$N$679)</f>
        <v>0</v>
      </c>
      <c r="I381" s="59">
        <f>SUMIF('2.报价结算清单'!$F$7:$F$679,A381,'2.报价结算清单'!$P$7:$P$679)</f>
        <v>0</v>
      </c>
    </row>
    <row r="382" spans="1:9" ht="28.5">
      <c r="A382" s="74" t="s">
        <v>368</v>
      </c>
      <c r="B382" s="72"/>
      <c r="C382" s="72" t="s">
        <v>1308</v>
      </c>
      <c r="D382" s="76" t="s">
        <v>1392</v>
      </c>
      <c r="E382" s="72" t="s">
        <v>31</v>
      </c>
      <c r="F382" s="62">
        <f>VLOOKUP(A382,[1]基准价格!$A:$G,7,0)</f>
        <v>3180</v>
      </c>
      <c r="G382" s="56">
        <f>SUMIF('2.报价结算清单'!$F$7:$F$679,$A382,'2.报价结算清单'!$L$7:$L$679)</f>
        <v>0</v>
      </c>
      <c r="H382" s="56">
        <f>SUMIF('2.报价结算清单'!$F$7:$F$679,$A382,'2.报价结算清单'!$N$7:$N$679)</f>
        <v>0</v>
      </c>
      <c r="I382" s="59">
        <f>SUMIF('2.报价结算清单'!$F$7:$F$679,A382,'2.报价结算清单'!$P$7:$P$679)</f>
        <v>0</v>
      </c>
    </row>
    <row r="383" spans="1:9" ht="42.75">
      <c r="A383" s="74" t="s">
        <v>369</v>
      </c>
      <c r="B383" s="72"/>
      <c r="C383" s="72" t="s">
        <v>1308</v>
      </c>
      <c r="D383" s="76" t="s">
        <v>1393</v>
      </c>
      <c r="E383" s="72" t="s">
        <v>28</v>
      </c>
      <c r="F383" s="62">
        <f>VLOOKUP(A383,[1]基准价格!$A:$G,7,0)</f>
        <v>159</v>
      </c>
      <c r="G383" s="56">
        <f>SUMIF('2.报价结算清单'!$F$7:$F$679,$A383,'2.报价结算清单'!$L$7:$L$679)</f>
        <v>0</v>
      </c>
      <c r="H383" s="56">
        <f>SUMIF('2.报价结算清单'!$F$7:$F$679,$A383,'2.报价结算清单'!$N$7:$N$679)</f>
        <v>0</v>
      </c>
      <c r="I383" s="59">
        <f>SUMIF('2.报价结算清单'!$F$7:$F$679,A383,'2.报价结算清单'!$P$7:$P$679)</f>
        <v>0</v>
      </c>
    </row>
    <row r="384" spans="1:9" ht="42.75">
      <c r="A384" s="74" t="s">
        <v>370</v>
      </c>
      <c r="B384" s="72"/>
      <c r="C384" s="72" t="s">
        <v>1308</v>
      </c>
      <c r="D384" s="76" t="s">
        <v>1394</v>
      </c>
      <c r="E384" s="72" t="s">
        <v>28</v>
      </c>
      <c r="F384" s="62">
        <f>VLOOKUP(A384,[1]基准价格!$A:$G,7,0)</f>
        <v>159</v>
      </c>
      <c r="G384" s="56">
        <f>SUMIF('2.报价结算清单'!$F$7:$F$679,$A384,'2.报价结算清单'!$L$7:$L$679)</f>
        <v>0</v>
      </c>
      <c r="H384" s="56">
        <f>SUMIF('2.报价结算清单'!$F$7:$F$679,$A384,'2.报价结算清单'!$N$7:$N$679)</f>
        <v>0</v>
      </c>
      <c r="I384" s="59">
        <f>SUMIF('2.报价结算清单'!$F$7:$F$679,A384,'2.报价结算清单'!$P$7:$P$679)</f>
        <v>0</v>
      </c>
    </row>
    <row r="385" spans="1:9" ht="42.75">
      <c r="A385" s="74" t="s">
        <v>371</v>
      </c>
      <c r="B385" s="72"/>
      <c r="C385" s="72" t="s">
        <v>1308</v>
      </c>
      <c r="D385" s="76" t="s">
        <v>1395</v>
      </c>
      <c r="E385" s="72" t="s">
        <v>28</v>
      </c>
      <c r="F385" s="62">
        <f>VLOOKUP(A385,[1]基准价格!$A:$G,7,0)</f>
        <v>169.6</v>
      </c>
      <c r="G385" s="56">
        <f>SUMIF('2.报价结算清单'!$F$7:$F$679,$A385,'2.报价结算清单'!$L$7:$L$679)</f>
        <v>0</v>
      </c>
      <c r="H385" s="56">
        <f>SUMIF('2.报价结算清单'!$F$7:$F$679,$A385,'2.报价结算清单'!$N$7:$N$679)</f>
        <v>0</v>
      </c>
      <c r="I385" s="59">
        <f>SUMIF('2.报价结算清单'!$F$7:$F$679,A385,'2.报价结算清单'!$P$7:$P$679)</f>
        <v>0</v>
      </c>
    </row>
    <row r="386" spans="1:9" ht="42.75">
      <c r="A386" s="74" t="s">
        <v>372</v>
      </c>
      <c r="B386" s="72"/>
      <c r="C386" s="72" t="s">
        <v>1308</v>
      </c>
      <c r="D386" s="76" t="s">
        <v>1396</v>
      </c>
      <c r="E386" s="72" t="s">
        <v>28</v>
      </c>
      <c r="F386" s="62">
        <f>VLOOKUP(A386,[1]基准价格!$A:$G,7,0)</f>
        <v>185.5</v>
      </c>
      <c r="G386" s="56">
        <f>SUMIF('2.报价结算清单'!$F$7:$F$679,$A386,'2.报价结算清单'!$L$7:$L$679)</f>
        <v>0</v>
      </c>
      <c r="H386" s="56">
        <f>SUMIF('2.报价结算清单'!$F$7:$F$679,$A386,'2.报价结算清单'!$N$7:$N$679)</f>
        <v>0</v>
      </c>
      <c r="I386" s="59">
        <f>SUMIF('2.报价结算清单'!$F$7:$F$679,A386,'2.报价结算清单'!$P$7:$P$679)</f>
        <v>0</v>
      </c>
    </row>
    <row r="387" spans="1:9" ht="42.75">
      <c r="A387" s="74" t="s">
        <v>373</v>
      </c>
      <c r="B387" s="72"/>
      <c r="C387" s="72" t="s">
        <v>1308</v>
      </c>
      <c r="D387" s="76" t="s">
        <v>1397</v>
      </c>
      <c r="E387" s="72" t="s">
        <v>28</v>
      </c>
      <c r="F387" s="62">
        <f>VLOOKUP(A387,[1]基准价格!$A:$G,7,0)</f>
        <v>183.33</v>
      </c>
      <c r="G387" s="56">
        <f>SUMIF('2.报价结算清单'!$F$7:$F$679,$A387,'2.报价结算清单'!$L$7:$L$679)</f>
        <v>0</v>
      </c>
      <c r="H387" s="56">
        <f>SUMIF('2.报价结算清单'!$F$7:$F$679,$A387,'2.报价结算清单'!$N$7:$N$679)</f>
        <v>0</v>
      </c>
      <c r="I387" s="59">
        <f>SUMIF('2.报价结算清单'!$F$7:$F$679,A387,'2.报价结算清单'!$P$7:$P$679)</f>
        <v>0</v>
      </c>
    </row>
    <row r="388" spans="1:9" ht="57">
      <c r="A388" s="74" t="s">
        <v>374</v>
      </c>
      <c r="B388" s="72"/>
      <c r="C388" s="72" t="s">
        <v>1308</v>
      </c>
      <c r="D388" s="76" t="s">
        <v>1398</v>
      </c>
      <c r="E388" s="72" t="s">
        <v>31</v>
      </c>
      <c r="F388" s="62">
        <f>VLOOKUP(A388,[1]基准价格!$A:$G,7,0)</f>
        <v>424</v>
      </c>
      <c r="G388" s="56">
        <f>SUMIF('2.报价结算清单'!$F$7:$F$679,$A388,'2.报价结算清单'!$L$7:$L$679)</f>
        <v>0</v>
      </c>
      <c r="H388" s="56">
        <f>SUMIF('2.报价结算清单'!$F$7:$F$679,$A388,'2.报价结算清单'!$N$7:$N$679)</f>
        <v>0</v>
      </c>
      <c r="I388" s="59">
        <f>SUMIF('2.报价结算清单'!$F$7:$F$679,A388,'2.报价结算清单'!$P$7:$P$679)</f>
        <v>0</v>
      </c>
    </row>
    <row r="389" spans="1:9" ht="28.5">
      <c r="A389" s="74" t="s">
        <v>375</v>
      </c>
      <c r="B389" s="72"/>
      <c r="C389" s="72" t="s">
        <v>1308</v>
      </c>
      <c r="D389" s="76" t="s">
        <v>1399</v>
      </c>
      <c r="E389" s="72" t="s">
        <v>31</v>
      </c>
      <c r="F389" s="62">
        <f>VLOOKUP(A389,[1]基准价格!$A:$G,7,0)</f>
        <v>159</v>
      </c>
      <c r="G389" s="56">
        <f>SUMIF('2.报价结算清单'!$F$7:$F$679,$A389,'2.报价结算清单'!$L$7:$L$679)</f>
        <v>0</v>
      </c>
      <c r="H389" s="56">
        <f>SUMIF('2.报价结算清单'!$F$7:$F$679,$A389,'2.报价结算清单'!$N$7:$N$679)</f>
        <v>0</v>
      </c>
      <c r="I389" s="59">
        <f>SUMIF('2.报价结算清单'!$F$7:$F$679,A389,'2.报价结算清单'!$P$7:$P$679)</f>
        <v>0</v>
      </c>
    </row>
    <row r="390" spans="1:9" ht="42.75">
      <c r="A390" s="74" t="s">
        <v>376</v>
      </c>
      <c r="B390" s="72"/>
      <c r="C390" s="72" t="s">
        <v>1308</v>
      </c>
      <c r="D390" s="76" t="s">
        <v>1400</v>
      </c>
      <c r="E390" s="72" t="s">
        <v>31</v>
      </c>
      <c r="F390" s="62">
        <f>VLOOKUP(A390,[1]基准价格!$A:$G,7,0)</f>
        <v>1060</v>
      </c>
      <c r="G390" s="56">
        <f>SUMIF('2.报价结算清单'!$F$7:$F$679,$A390,'2.报价结算清单'!$L$7:$L$679)</f>
        <v>0</v>
      </c>
      <c r="H390" s="56">
        <f>SUMIF('2.报价结算清单'!$F$7:$F$679,$A390,'2.报价结算清单'!$N$7:$N$679)</f>
        <v>0</v>
      </c>
      <c r="I390" s="59">
        <f>SUMIF('2.报价结算清单'!$F$7:$F$679,A390,'2.报价结算清单'!$P$7:$P$679)</f>
        <v>0</v>
      </c>
    </row>
    <row r="391" spans="1:9" ht="57">
      <c r="A391" s="74" t="s">
        <v>377</v>
      </c>
      <c r="B391" s="72"/>
      <c r="C391" s="72" t="s">
        <v>1308</v>
      </c>
      <c r="D391" s="76" t="s">
        <v>1401</v>
      </c>
      <c r="E391" s="72" t="s">
        <v>28</v>
      </c>
      <c r="F391" s="62">
        <f>VLOOKUP(A391,[1]基准价格!$A:$G,7,0)</f>
        <v>318</v>
      </c>
      <c r="G391" s="56">
        <f>SUMIF('2.报价结算清单'!$F$7:$F$679,$A391,'2.报价结算清单'!$L$7:$L$679)</f>
        <v>0</v>
      </c>
      <c r="H391" s="56">
        <f>SUMIF('2.报价结算清单'!$F$7:$F$679,$A391,'2.报价结算清单'!$N$7:$N$679)</f>
        <v>0</v>
      </c>
      <c r="I391" s="59">
        <f>SUMIF('2.报价结算清单'!$F$7:$F$679,A391,'2.报价结算清单'!$P$7:$P$679)</f>
        <v>0</v>
      </c>
    </row>
    <row r="392" spans="1:9" ht="28.5">
      <c r="A392" s="74" t="s">
        <v>378</v>
      </c>
      <c r="B392" s="72"/>
      <c r="C392" s="72" t="s">
        <v>1308</v>
      </c>
      <c r="D392" s="76" t="s">
        <v>1402</v>
      </c>
      <c r="E392" s="72" t="s">
        <v>31</v>
      </c>
      <c r="F392" s="62">
        <f>VLOOKUP(A392,[1]基准价格!$A:$G,7,0)</f>
        <v>1219</v>
      </c>
      <c r="G392" s="56">
        <f>SUMIF('2.报价结算清单'!$F$7:$F$679,$A392,'2.报价结算清单'!$L$7:$L$679)</f>
        <v>0</v>
      </c>
      <c r="H392" s="56">
        <f>SUMIF('2.报价结算清单'!$F$7:$F$679,$A392,'2.报价结算清单'!$N$7:$N$679)</f>
        <v>0</v>
      </c>
      <c r="I392" s="59">
        <f>SUMIF('2.报价结算清单'!$F$7:$F$679,A392,'2.报价结算清单'!$P$7:$P$679)</f>
        <v>0</v>
      </c>
    </row>
    <row r="393" spans="1:9" ht="28.5">
      <c r="A393" s="74" t="s">
        <v>379</v>
      </c>
      <c r="B393" s="72"/>
      <c r="C393" s="72" t="s">
        <v>1308</v>
      </c>
      <c r="D393" s="76" t="s">
        <v>1403</v>
      </c>
      <c r="E393" s="72" t="s">
        <v>31</v>
      </c>
      <c r="F393" s="62">
        <f>VLOOKUP(A393,[1]基准价格!$A:$G,7,0)</f>
        <v>212</v>
      </c>
      <c r="G393" s="56">
        <f>SUMIF('2.报价结算清单'!$F$7:$F$679,$A393,'2.报价结算清单'!$L$7:$L$679)</f>
        <v>0</v>
      </c>
      <c r="H393" s="56">
        <f>SUMIF('2.报价结算清单'!$F$7:$F$679,$A393,'2.报价结算清单'!$N$7:$N$679)</f>
        <v>0</v>
      </c>
      <c r="I393" s="59">
        <f>SUMIF('2.报价结算清单'!$F$7:$F$679,A393,'2.报价结算清单'!$P$7:$P$679)</f>
        <v>0</v>
      </c>
    </row>
    <row r="394" spans="1:9" ht="28.5">
      <c r="A394" s="74" t="s">
        <v>380</v>
      </c>
      <c r="B394" s="72"/>
      <c r="C394" s="72" t="s">
        <v>1308</v>
      </c>
      <c r="D394" s="76" t="s">
        <v>1404</v>
      </c>
      <c r="E394" s="72" t="s">
        <v>31</v>
      </c>
      <c r="F394" s="62">
        <f>VLOOKUP(A394,[1]基准价格!$A:$G,7,0)</f>
        <v>318</v>
      </c>
      <c r="G394" s="56">
        <f>SUMIF('2.报价结算清单'!$F$7:$F$679,$A394,'2.报价结算清单'!$L$7:$L$679)</f>
        <v>0</v>
      </c>
      <c r="H394" s="56">
        <f>SUMIF('2.报价结算清单'!$F$7:$F$679,$A394,'2.报价结算清单'!$N$7:$N$679)</f>
        <v>0</v>
      </c>
      <c r="I394" s="59">
        <f>SUMIF('2.报价结算清单'!$F$7:$F$679,A394,'2.报价结算清单'!$P$7:$P$679)</f>
        <v>0</v>
      </c>
    </row>
    <row r="395" spans="1:9" ht="42.75">
      <c r="A395" s="74" t="s">
        <v>381</v>
      </c>
      <c r="B395" s="72"/>
      <c r="C395" s="72" t="s">
        <v>1308</v>
      </c>
      <c r="D395" s="76" t="s">
        <v>1405</v>
      </c>
      <c r="E395" s="72" t="s">
        <v>31</v>
      </c>
      <c r="F395" s="62">
        <f>VLOOKUP(A395,[1]基准价格!$A:$G,7,0)</f>
        <v>212</v>
      </c>
      <c r="G395" s="56">
        <f>SUMIF('2.报价结算清单'!$F$7:$F$679,$A395,'2.报价结算清单'!$L$7:$L$679)</f>
        <v>0</v>
      </c>
      <c r="H395" s="56">
        <f>SUMIF('2.报价结算清单'!$F$7:$F$679,$A395,'2.报价结算清单'!$N$7:$N$679)</f>
        <v>0</v>
      </c>
      <c r="I395" s="59">
        <f>SUMIF('2.报价结算清单'!$F$7:$F$679,A395,'2.报价结算清单'!$P$7:$P$679)</f>
        <v>0</v>
      </c>
    </row>
    <row r="396" spans="1:9" ht="42.75">
      <c r="A396" s="74" t="s">
        <v>382</v>
      </c>
      <c r="B396" s="72"/>
      <c r="C396" s="72" t="s">
        <v>1308</v>
      </c>
      <c r="D396" s="76" t="s">
        <v>1406</v>
      </c>
      <c r="E396" s="72" t="s">
        <v>31</v>
      </c>
      <c r="F396" s="62">
        <f>VLOOKUP(A396,[1]基准价格!$A:$G,7,0)</f>
        <v>318</v>
      </c>
      <c r="G396" s="56">
        <f>SUMIF('2.报价结算清单'!$F$7:$F$679,$A396,'2.报价结算清单'!$L$7:$L$679)</f>
        <v>0</v>
      </c>
      <c r="H396" s="56">
        <f>SUMIF('2.报价结算清单'!$F$7:$F$679,$A396,'2.报价结算清单'!$N$7:$N$679)</f>
        <v>0</v>
      </c>
      <c r="I396" s="59">
        <f>SUMIF('2.报价结算清单'!$F$7:$F$679,A396,'2.报价结算清单'!$P$7:$P$679)</f>
        <v>0</v>
      </c>
    </row>
    <row r="397" spans="1:9" ht="42.75">
      <c r="A397" s="74" t="s">
        <v>383</v>
      </c>
      <c r="B397" s="72"/>
      <c r="C397" s="72" t="s">
        <v>1308</v>
      </c>
      <c r="D397" s="76" t="s">
        <v>1407</v>
      </c>
      <c r="E397" s="72" t="s">
        <v>31</v>
      </c>
      <c r="F397" s="62">
        <f>VLOOKUP(A397,[1]基准价格!$A:$G,7,0)</f>
        <v>42.4</v>
      </c>
      <c r="G397" s="56">
        <f>SUMIF('2.报价结算清单'!$F$7:$F$679,$A397,'2.报价结算清单'!$L$7:$L$679)</f>
        <v>0</v>
      </c>
      <c r="H397" s="56">
        <f>SUMIF('2.报价结算清单'!$F$7:$F$679,$A397,'2.报价结算清单'!$N$7:$N$679)</f>
        <v>0</v>
      </c>
      <c r="I397" s="59">
        <f>SUMIF('2.报价结算清单'!$F$7:$F$679,A397,'2.报价结算清单'!$P$7:$P$679)</f>
        <v>0</v>
      </c>
    </row>
    <row r="398" spans="1:9" ht="28.5">
      <c r="A398" s="74" t="s">
        <v>384</v>
      </c>
      <c r="B398" s="72"/>
      <c r="C398" s="72" t="s">
        <v>1308</v>
      </c>
      <c r="D398" s="76" t="s">
        <v>1408</v>
      </c>
      <c r="E398" s="72" t="s">
        <v>31</v>
      </c>
      <c r="F398" s="62">
        <f>VLOOKUP(A398,[1]基准价格!$A:$G,7,0)</f>
        <v>212</v>
      </c>
      <c r="G398" s="56">
        <f>SUMIF('2.报价结算清单'!$F$7:$F$679,$A398,'2.报价结算清单'!$L$7:$L$679)</f>
        <v>0</v>
      </c>
      <c r="H398" s="56">
        <f>SUMIF('2.报价结算清单'!$F$7:$F$679,$A398,'2.报价结算清单'!$N$7:$N$679)</f>
        <v>0</v>
      </c>
      <c r="I398" s="59">
        <f>SUMIF('2.报价结算清单'!$F$7:$F$679,A398,'2.报价结算清单'!$P$7:$P$679)</f>
        <v>0</v>
      </c>
    </row>
    <row r="399" spans="1:9">
      <c r="A399" s="74" t="s">
        <v>385</v>
      </c>
      <c r="B399" s="72"/>
      <c r="C399" s="72" t="s">
        <v>1308</v>
      </c>
      <c r="D399" s="76" t="s">
        <v>1079</v>
      </c>
      <c r="E399" s="72" t="s">
        <v>42</v>
      </c>
      <c r="F399" s="62">
        <f>VLOOKUP(A399,[1]基准价格!$A:$G,7,0)</f>
        <v>180.2</v>
      </c>
      <c r="G399" s="56">
        <f>SUMIF('2.报价结算清单'!$F$7:$F$679,$A399,'2.报价结算清单'!$L$7:$L$679)</f>
        <v>0</v>
      </c>
      <c r="H399" s="56">
        <f>SUMIF('2.报价结算清单'!$F$7:$F$679,$A399,'2.报价结算清单'!$N$7:$N$679)</f>
        <v>0</v>
      </c>
      <c r="I399" s="59">
        <f>SUMIF('2.报价结算清单'!$F$7:$F$679,A399,'2.报价结算清单'!$P$7:$P$679)</f>
        <v>0</v>
      </c>
    </row>
    <row r="400" spans="1:9">
      <c r="A400" s="74" t="s">
        <v>386</v>
      </c>
      <c r="B400" s="72"/>
      <c r="C400" s="72" t="s">
        <v>1308</v>
      </c>
      <c r="D400" s="76" t="s">
        <v>1080</v>
      </c>
      <c r="E400" s="72" t="s">
        <v>42</v>
      </c>
      <c r="F400" s="62">
        <f>VLOOKUP(A400,[1]基准价格!$A:$G,7,0)</f>
        <v>95.4</v>
      </c>
      <c r="G400" s="56">
        <f>SUMIF('2.报价结算清单'!$F$7:$F$679,$A400,'2.报价结算清单'!$L$7:$L$679)</f>
        <v>0</v>
      </c>
      <c r="H400" s="56">
        <f>SUMIF('2.报价结算清单'!$F$7:$F$679,$A400,'2.报价结算清单'!$N$7:$N$679)</f>
        <v>0</v>
      </c>
      <c r="I400" s="59">
        <f>SUMIF('2.报价结算清单'!$F$7:$F$679,A400,'2.报价结算清单'!$P$7:$P$679)</f>
        <v>0</v>
      </c>
    </row>
    <row r="401" spans="1:9" ht="28.5">
      <c r="A401" s="74" t="s">
        <v>387</v>
      </c>
      <c r="B401" s="72"/>
      <c r="C401" s="72" t="s">
        <v>1308</v>
      </c>
      <c r="D401" s="76" t="s">
        <v>1081</v>
      </c>
      <c r="E401" s="72" t="s">
        <v>31</v>
      </c>
      <c r="F401" s="62">
        <f>VLOOKUP(A401,[1]基准价格!$A:$G,7,0)</f>
        <v>530</v>
      </c>
      <c r="G401" s="56">
        <f>SUMIF('2.报价结算清单'!$F$7:$F$679,$A401,'2.报价结算清单'!$L$7:$L$679)</f>
        <v>0</v>
      </c>
      <c r="H401" s="56">
        <f>SUMIF('2.报价结算清单'!$F$7:$F$679,$A401,'2.报价结算清单'!$N$7:$N$679)</f>
        <v>0</v>
      </c>
      <c r="I401" s="59">
        <f>SUMIF('2.报价结算清单'!$F$7:$F$679,A401,'2.报价结算清单'!$P$7:$P$679)</f>
        <v>0</v>
      </c>
    </row>
    <row r="402" spans="1:9" ht="28.5">
      <c r="A402" s="74" t="s">
        <v>388</v>
      </c>
      <c r="B402" s="72"/>
      <c r="C402" s="72" t="s">
        <v>1308</v>
      </c>
      <c r="D402" s="76" t="s">
        <v>1082</v>
      </c>
      <c r="E402" s="72" t="s">
        <v>31</v>
      </c>
      <c r="F402" s="62">
        <f>VLOOKUP(A402,[1]基准价格!$A:$G,7,0)</f>
        <v>689</v>
      </c>
      <c r="G402" s="56">
        <f>SUMIF('2.报价结算清单'!$F$7:$F$679,$A402,'2.报价结算清单'!$L$7:$L$679)</f>
        <v>0</v>
      </c>
      <c r="H402" s="56">
        <f>SUMIF('2.报价结算清单'!$F$7:$F$679,$A402,'2.报价结算清单'!$N$7:$N$679)</f>
        <v>0</v>
      </c>
      <c r="I402" s="59">
        <f>SUMIF('2.报价结算清单'!$F$7:$F$679,A402,'2.报价结算清单'!$P$7:$P$679)</f>
        <v>0</v>
      </c>
    </row>
    <row r="403" spans="1:9" ht="28.5">
      <c r="A403" s="74" t="s">
        <v>389</v>
      </c>
      <c r="B403" s="72"/>
      <c r="C403" s="72" t="s">
        <v>1308</v>
      </c>
      <c r="D403" s="76" t="s">
        <v>1083</v>
      </c>
      <c r="E403" s="72" t="s">
        <v>31</v>
      </c>
      <c r="F403" s="62">
        <f>VLOOKUP(A403,[1]基准价格!$A:$G,7,0)</f>
        <v>424</v>
      </c>
      <c r="G403" s="56">
        <f>SUMIF('2.报价结算清单'!$F$7:$F$679,$A403,'2.报价结算清单'!$L$7:$L$679)</f>
        <v>0</v>
      </c>
      <c r="H403" s="56">
        <f>SUMIF('2.报价结算清单'!$F$7:$F$679,$A403,'2.报价结算清单'!$N$7:$N$679)</f>
        <v>0</v>
      </c>
      <c r="I403" s="59">
        <f>SUMIF('2.报价结算清单'!$F$7:$F$679,A403,'2.报价结算清单'!$P$7:$P$679)</f>
        <v>0</v>
      </c>
    </row>
    <row r="404" spans="1:9" ht="28.5">
      <c r="A404" s="74" t="s">
        <v>390</v>
      </c>
      <c r="B404" s="72"/>
      <c r="C404" s="72" t="s">
        <v>1308</v>
      </c>
      <c r="D404" s="76" t="s">
        <v>1084</v>
      </c>
      <c r="E404" s="72" t="s">
        <v>31</v>
      </c>
      <c r="F404" s="62">
        <f>VLOOKUP(A404,[1]基准价格!$A:$G,7,0)</f>
        <v>530</v>
      </c>
      <c r="G404" s="56">
        <f>SUMIF('2.报价结算清单'!$F$7:$F$679,$A404,'2.报价结算清单'!$L$7:$L$679)</f>
        <v>0</v>
      </c>
      <c r="H404" s="56">
        <f>SUMIF('2.报价结算清单'!$F$7:$F$679,$A404,'2.报价结算清单'!$N$7:$N$679)</f>
        <v>0</v>
      </c>
      <c r="I404" s="59">
        <f>SUMIF('2.报价结算清单'!$F$7:$F$679,A404,'2.报价结算清单'!$P$7:$P$679)</f>
        <v>0</v>
      </c>
    </row>
    <row r="405" spans="1:9">
      <c r="A405" s="74" t="s">
        <v>391</v>
      </c>
      <c r="B405" s="72"/>
      <c r="C405" s="72" t="s">
        <v>1308</v>
      </c>
      <c r="D405" s="76" t="s">
        <v>1085</v>
      </c>
      <c r="E405" s="72" t="s">
        <v>31</v>
      </c>
      <c r="F405" s="62">
        <f>VLOOKUP(A405,[1]基准价格!$A:$G,7,0)</f>
        <v>742</v>
      </c>
      <c r="G405" s="56">
        <f>SUMIF('2.报价结算清单'!$F$7:$F$679,$A405,'2.报价结算清单'!$L$7:$L$679)</f>
        <v>0</v>
      </c>
      <c r="H405" s="56">
        <f>SUMIF('2.报价结算清单'!$F$7:$F$679,$A405,'2.报价结算清单'!$N$7:$N$679)</f>
        <v>0</v>
      </c>
      <c r="I405" s="59">
        <f>SUMIF('2.报价结算清单'!$F$7:$F$679,A405,'2.报价结算清单'!$P$7:$P$679)</f>
        <v>0</v>
      </c>
    </row>
    <row r="406" spans="1:9" ht="28.5">
      <c r="A406" s="74" t="s">
        <v>392</v>
      </c>
      <c r="B406" s="72"/>
      <c r="C406" s="72" t="s">
        <v>1308</v>
      </c>
      <c r="D406" s="76" t="s">
        <v>1086</v>
      </c>
      <c r="E406" s="72" t="s">
        <v>31</v>
      </c>
      <c r="F406" s="62">
        <f>VLOOKUP(A406,[1]基准价格!$A:$G,7,0)</f>
        <v>296</v>
      </c>
      <c r="G406" s="56">
        <f>SUMIF('2.报价结算清单'!$F$7:$F$679,$A406,'2.报价结算清单'!$L$7:$L$679)</f>
        <v>0</v>
      </c>
      <c r="H406" s="56">
        <f>SUMIF('2.报价结算清单'!$F$7:$F$679,$A406,'2.报价结算清单'!$N$7:$N$679)</f>
        <v>0</v>
      </c>
      <c r="I406" s="59">
        <f>SUMIF('2.报价结算清单'!$F$7:$F$679,A406,'2.报价结算清单'!$P$7:$P$679)</f>
        <v>0</v>
      </c>
    </row>
    <row r="407" spans="1:9" ht="28.5">
      <c r="A407" s="74" t="s">
        <v>393</v>
      </c>
      <c r="B407" s="72"/>
      <c r="C407" s="72" t="s">
        <v>1308</v>
      </c>
      <c r="D407" s="76" t="s">
        <v>1087</v>
      </c>
      <c r="E407" s="72" t="s">
        <v>31</v>
      </c>
      <c r="F407" s="62">
        <f>VLOOKUP(A407,[1]基准价格!$A:$G,7,0)</f>
        <v>371</v>
      </c>
      <c r="G407" s="56">
        <f>SUMIF('2.报价结算清单'!$F$7:$F$679,$A407,'2.报价结算清单'!$L$7:$L$679)</f>
        <v>0</v>
      </c>
      <c r="H407" s="56">
        <f>SUMIF('2.报价结算清单'!$F$7:$F$679,$A407,'2.报价结算清单'!$N$7:$N$679)</f>
        <v>0</v>
      </c>
      <c r="I407" s="59">
        <f>SUMIF('2.报价结算清单'!$F$7:$F$679,A407,'2.报价结算清单'!$P$7:$P$679)</f>
        <v>0</v>
      </c>
    </row>
    <row r="408" spans="1:9">
      <c r="A408" s="74" t="s">
        <v>394</v>
      </c>
      <c r="B408" s="72"/>
      <c r="C408" s="72" t="s">
        <v>1308</v>
      </c>
      <c r="D408" s="76" t="s">
        <v>1088</v>
      </c>
      <c r="E408" s="72" t="s">
        <v>31</v>
      </c>
      <c r="F408" s="62">
        <f>VLOOKUP(A408,[1]基准价格!$A:$G,7,0)</f>
        <v>498.2</v>
      </c>
      <c r="G408" s="56">
        <f>SUMIF('2.报价结算清单'!$F$7:$F$679,$A408,'2.报价结算清单'!$L$7:$L$679)</f>
        <v>0</v>
      </c>
      <c r="H408" s="56">
        <f>SUMIF('2.报价结算清单'!$F$7:$F$679,$A408,'2.报价结算清单'!$N$7:$N$679)</f>
        <v>0</v>
      </c>
      <c r="I408" s="59">
        <f>SUMIF('2.报价结算清单'!$F$7:$F$679,A408,'2.报价结算清单'!$P$7:$P$679)</f>
        <v>0</v>
      </c>
    </row>
    <row r="409" spans="1:9" ht="28.5">
      <c r="A409" s="74" t="s">
        <v>395</v>
      </c>
      <c r="B409" s="72"/>
      <c r="C409" s="72" t="s">
        <v>1308</v>
      </c>
      <c r="D409" s="76" t="s">
        <v>1089</v>
      </c>
      <c r="E409" s="72" t="s">
        <v>31</v>
      </c>
      <c r="F409" s="62">
        <f>VLOOKUP(A409,[1]基准价格!$A:$G,7,0)</f>
        <v>689</v>
      </c>
      <c r="G409" s="56">
        <f>SUMIF('2.报价结算清单'!$F$7:$F$679,$A409,'2.报价结算清单'!$L$7:$L$679)</f>
        <v>0</v>
      </c>
      <c r="H409" s="56">
        <f>SUMIF('2.报价结算清单'!$F$7:$F$679,$A409,'2.报价结算清单'!$N$7:$N$679)</f>
        <v>0</v>
      </c>
      <c r="I409" s="59">
        <f>SUMIF('2.报价结算清单'!$F$7:$F$679,A409,'2.报价结算清单'!$P$7:$P$679)</f>
        <v>0</v>
      </c>
    </row>
    <row r="410" spans="1:9" ht="28.5">
      <c r="A410" s="74" t="s">
        <v>396</v>
      </c>
      <c r="B410" s="72"/>
      <c r="C410" s="72" t="s">
        <v>1308</v>
      </c>
      <c r="D410" s="76" t="s">
        <v>1090</v>
      </c>
      <c r="E410" s="72" t="s">
        <v>31</v>
      </c>
      <c r="F410" s="62">
        <f>VLOOKUP(A410,[1]基准价格!$A:$G,7,0)</f>
        <v>366.67</v>
      </c>
      <c r="G410" s="56">
        <f>SUMIF('2.报价结算清单'!$F$7:$F$679,$A410,'2.报价结算清单'!$L$7:$L$679)</f>
        <v>0</v>
      </c>
      <c r="H410" s="56">
        <f>SUMIF('2.报价结算清单'!$F$7:$F$679,$A410,'2.报价结算清单'!$N$7:$N$679)</f>
        <v>0</v>
      </c>
      <c r="I410" s="59">
        <f>SUMIF('2.报价结算清单'!$F$7:$F$679,A410,'2.报价结算清单'!$P$7:$P$679)</f>
        <v>0</v>
      </c>
    </row>
    <row r="411" spans="1:9" ht="28.5">
      <c r="A411" s="74" t="s">
        <v>397</v>
      </c>
      <c r="B411" s="72"/>
      <c r="C411" s="72" t="s">
        <v>1308</v>
      </c>
      <c r="D411" s="76" t="s">
        <v>1091</v>
      </c>
      <c r="E411" s="72" t="s">
        <v>31</v>
      </c>
      <c r="F411" s="62">
        <f>VLOOKUP(A411,[1]基准价格!$A:$G,7,0)</f>
        <v>302.10000000000002</v>
      </c>
      <c r="G411" s="56">
        <f>SUMIF('2.报价结算清单'!$F$7:$F$679,$A411,'2.报价结算清单'!$L$7:$L$679)</f>
        <v>0</v>
      </c>
      <c r="H411" s="56">
        <f>SUMIF('2.报价结算清单'!$F$7:$F$679,$A411,'2.报价结算清单'!$N$7:$N$679)</f>
        <v>0</v>
      </c>
      <c r="I411" s="59">
        <f>SUMIF('2.报价结算清单'!$F$7:$F$679,A411,'2.报价结算清单'!$P$7:$P$679)</f>
        <v>0</v>
      </c>
    </row>
    <row r="412" spans="1:9">
      <c r="A412" s="74" t="s">
        <v>398</v>
      </c>
      <c r="B412" s="72"/>
      <c r="C412" s="72" t="s">
        <v>1308</v>
      </c>
      <c r="D412" s="76" t="s">
        <v>1092</v>
      </c>
      <c r="E412" s="72" t="s">
        <v>31</v>
      </c>
      <c r="F412" s="62">
        <f>VLOOKUP(A412,[1]基准价格!$A:$G,7,0)</f>
        <v>302.10000000000002</v>
      </c>
      <c r="G412" s="56">
        <f>SUMIF('2.报价结算清单'!$F$7:$F$679,$A412,'2.报价结算清单'!$L$7:$L$679)</f>
        <v>0</v>
      </c>
      <c r="H412" s="56">
        <f>SUMIF('2.报价结算清单'!$F$7:$F$679,$A412,'2.报价结算清单'!$N$7:$N$679)</f>
        <v>0</v>
      </c>
      <c r="I412" s="59">
        <f>SUMIF('2.报价结算清单'!$F$7:$F$679,A412,'2.报价结算清单'!$P$7:$P$679)</f>
        <v>0</v>
      </c>
    </row>
    <row r="413" spans="1:9" ht="42.75">
      <c r="A413" s="74" t="s">
        <v>399</v>
      </c>
      <c r="B413" s="72"/>
      <c r="C413" s="72" t="s">
        <v>1308</v>
      </c>
      <c r="D413" s="76" t="s">
        <v>1409</v>
      </c>
      <c r="E413" s="72" t="s">
        <v>31</v>
      </c>
      <c r="F413" s="62">
        <f>VLOOKUP(A413,[1]基准价格!$A:$G,7,0)</f>
        <v>253.33</v>
      </c>
      <c r="G413" s="56">
        <f>SUMIF('2.报价结算清单'!$F$7:$F$679,$A413,'2.报价结算清单'!$L$7:$L$679)</f>
        <v>0</v>
      </c>
      <c r="H413" s="56">
        <f>SUMIF('2.报价结算清单'!$F$7:$F$679,$A413,'2.报价结算清单'!$N$7:$N$679)</f>
        <v>0</v>
      </c>
      <c r="I413" s="59">
        <f>SUMIF('2.报价结算清单'!$F$7:$F$679,A413,'2.报价结算清单'!$P$7:$P$679)</f>
        <v>0</v>
      </c>
    </row>
    <row r="414" spans="1:9" ht="42.75">
      <c r="A414" s="74" t="s">
        <v>400</v>
      </c>
      <c r="B414" s="72"/>
      <c r="C414" s="72" t="s">
        <v>1308</v>
      </c>
      <c r="D414" s="76" t="s">
        <v>1410</v>
      </c>
      <c r="E414" s="72" t="s">
        <v>31</v>
      </c>
      <c r="F414" s="62">
        <f>VLOOKUP(A414,[1]基准价格!$A:$G,7,0)</f>
        <v>183.33</v>
      </c>
      <c r="G414" s="56">
        <f>SUMIF('2.报价结算清单'!$F$7:$F$679,$A414,'2.报价结算清单'!$L$7:$L$679)</f>
        <v>0</v>
      </c>
      <c r="H414" s="56">
        <f>SUMIF('2.报价结算清单'!$F$7:$F$679,$A414,'2.报价结算清单'!$N$7:$N$679)</f>
        <v>0</v>
      </c>
      <c r="I414" s="59">
        <f>SUMIF('2.报价结算清单'!$F$7:$F$679,A414,'2.报价结算清单'!$P$7:$P$679)</f>
        <v>0</v>
      </c>
    </row>
    <row r="415" spans="1:9" ht="42.75">
      <c r="A415" s="74" t="s">
        <v>401</v>
      </c>
      <c r="B415" s="72"/>
      <c r="C415" s="72" t="s">
        <v>1308</v>
      </c>
      <c r="D415" s="76" t="s">
        <v>1411</v>
      </c>
      <c r="E415" s="72" t="s">
        <v>28</v>
      </c>
      <c r="F415" s="62">
        <f>VLOOKUP(A415,[1]基准价格!$A:$G,7,0)</f>
        <v>176.67</v>
      </c>
      <c r="G415" s="56">
        <f>SUMIF('2.报价结算清单'!$F$7:$F$679,$A415,'2.报价结算清单'!$L$7:$L$679)</f>
        <v>0</v>
      </c>
      <c r="H415" s="56">
        <f>SUMIF('2.报价结算清单'!$F$7:$F$679,$A415,'2.报价结算清单'!$N$7:$N$679)</f>
        <v>0</v>
      </c>
      <c r="I415" s="59">
        <f>SUMIF('2.报价结算清单'!$F$7:$F$679,A415,'2.报价结算清单'!$P$7:$P$679)</f>
        <v>0</v>
      </c>
    </row>
    <row r="416" spans="1:9" ht="42.75">
      <c r="A416" s="74" t="s">
        <v>402</v>
      </c>
      <c r="B416" s="72"/>
      <c r="C416" s="72" t="s">
        <v>1308</v>
      </c>
      <c r="D416" s="76" t="s">
        <v>1412</v>
      </c>
      <c r="E416" s="72" t="s">
        <v>28</v>
      </c>
      <c r="F416" s="62">
        <f>VLOOKUP(A416,[1]基准价格!$A:$G,7,0)</f>
        <v>190.8</v>
      </c>
      <c r="G416" s="56">
        <f>SUMIF('2.报价结算清单'!$F$7:$F$679,$A416,'2.报价结算清单'!$L$7:$L$679)</f>
        <v>0</v>
      </c>
      <c r="H416" s="56">
        <f>SUMIF('2.报价结算清单'!$F$7:$F$679,$A416,'2.报价结算清单'!$N$7:$N$679)</f>
        <v>0</v>
      </c>
      <c r="I416" s="59">
        <f>SUMIF('2.报价结算清单'!$F$7:$F$679,A416,'2.报价结算清单'!$P$7:$P$679)</f>
        <v>0</v>
      </c>
    </row>
    <row r="417" spans="1:9" ht="42.75">
      <c r="A417" s="74" t="s">
        <v>403</v>
      </c>
      <c r="B417" s="72"/>
      <c r="C417" s="72" t="s">
        <v>1308</v>
      </c>
      <c r="D417" s="76" t="s">
        <v>1413</v>
      </c>
      <c r="E417" s="72" t="s">
        <v>28</v>
      </c>
      <c r="F417" s="62">
        <f>VLOOKUP(A417,[1]基准价格!$A:$G,7,0)</f>
        <v>402.8</v>
      </c>
      <c r="G417" s="56">
        <f>SUMIF('2.报价结算清单'!$F$7:$F$679,$A417,'2.报价结算清单'!$L$7:$L$679)</f>
        <v>0</v>
      </c>
      <c r="H417" s="56">
        <f>SUMIF('2.报价结算清单'!$F$7:$F$679,$A417,'2.报价结算清单'!$N$7:$N$679)</f>
        <v>0</v>
      </c>
      <c r="I417" s="59">
        <f>SUMIF('2.报价结算清单'!$F$7:$F$679,A417,'2.报价结算清单'!$P$7:$P$679)</f>
        <v>0</v>
      </c>
    </row>
    <row r="418" spans="1:9" ht="42.75">
      <c r="A418" s="74" t="s">
        <v>404</v>
      </c>
      <c r="B418" s="72"/>
      <c r="C418" s="72" t="s">
        <v>1308</v>
      </c>
      <c r="D418" s="76" t="s">
        <v>1414</v>
      </c>
      <c r="E418" s="72" t="s">
        <v>31</v>
      </c>
      <c r="F418" s="62">
        <f>VLOOKUP(A418,[1]基准价格!$A:$G,7,0)</f>
        <v>381.6</v>
      </c>
      <c r="G418" s="56">
        <f>SUMIF('2.报价结算清单'!$F$7:$F$679,$A418,'2.报价结算清单'!$L$7:$L$679)</f>
        <v>0</v>
      </c>
      <c r="H418" s="56">
        <f>SUMIF('2.报价结算清单'!$F$7:$F$679,$A418,'2.报价结算清单'!$N$7:$N$679)</f>
        <v>0</v>
      </c>
      <c r="I418" s="59">
        <f>SUMIF('2.报价结算清单'!$F$7:$F$679,A418,'2.报价结算清单'!$P$7:$P$679)</f>
        <v>0</v>
      </c>
    </row>
    <row r="419" spans="1:9" ht="42.75">
      <c r="A419" s="74" t="s">
        <v>405</v>
      </c>
      <c r="B419" s="72"/>
      <c r="C419" s="72" t="s">
        <v>1308</v>
      </c>
      <c r="D419" s="76" t="s">
        <v>1415</v>
      </c>
      <c r="E419" s="72" t="s">
        <v>31</v>
      </c>
      <c r="F419" s="62">
        <f>VLOOKUP(A419,[1]基准价格!$A:$G,7,0)</f>
        <v>699.6</v>
      </c>
      <c r="G419" s="56">
        <f>SUMIF('2.报价结算清单'!$F$7:$F$679,$A419,'2.报价结算清单'!$L$7:$L$679)</f>
        <v>0</v>
      </c>
      <c r="H419" s="56">
        <f>SUMIF('2.报价结算清单'!$F$7:$F$679,$A419,'2.报价结算清单'!$N$7:$N$679)</f>
        <v>0</v>
      </c>
      <c r="I419" s="59">
        <f>SUMIF('2.报价结算清单'!$F$7:$F$679,A419,'2.报价结算清单'!$P$7:$P$679)</f>
        <v>0</v>
      </c>
    </row>
    <row r="420" spans="1:9" ht="42.75">
      <c r="A420" s="74" t="s">
        <v>406</v>
      </c>
      <c r="B420" s="72"/>
      <c r="C420" s="72" t="s">
        <v>1308</v>
      </c>
      <c r="D420" s="76" t="s">
        <v>1416</v>
      </c>
      <c r="E420" s="72" t="s">
        <v>31</v>
      </c>
      <c r="F420" s="62">
        <f>VLOOKUP(A420,[1]基准价格!$A:$G,7,0)</f>
        <v>636</v>
      </c>
      <c r="G420" s="56">
        <f>SUMIF('2.报价结算清单'!$F$7:$F$679,$A420,'2.报价结算清单'!$L$7:$L$679)</f>
        <v>0</v>
      </c>
      <c r="H420" s="56">
        <f>SUMIF('2.报价结算清单'!$F$7:$F$679,$A420,'2.报价结算清单'!$N$7:$N$679)</f>
        <v>0</v>
      </c>
      <c r="I420" s="59">
        <f>SUMIF('2.报价结算清单'!$F$7:$F$679,A420,'2.报价结算清单'!$P$7:$P$679)</f>
        <v>0</v>
      </c>
    </row>
    <row r="421" spans="1:9" ht="28.5">
      <c r="A421" s="74" t="s">
        <v>407</v>
      </c>
      <c r="B421" s="72"/>
      <c r="C421" s="72" t="s">
        <v>1308</v>
      </c>
      <c r="D421" s="76" t="s">
        <v>1417</v>
      </c>
      <c r="E421" s="72" t="s">
        <v>31</v>
      </c>
      <c r="F421" s="62">
        <f>VLOOKUP(A421,[1]基准价格!$A:$G,7,0)</f>
        <v>127.2</v>
      </c>
      <c r="G421" s="56">
        <f>SUMIF('2.报价结算清单'!$F$7:$F$679,$A421,'2.报价结算清单'!$L$7:$L$679)</f>
        <v>0</v>
      </c>
      <c r="H421" s="56">
        <f>SUMIF('2.报价结算清单'!$F$7:$F$679,$A421,'2.报价结算清单'!$N$7:$N$679)</f>
        <v>0</v>
      </c>
      <c r="I421" s="59">
        <f>SUMIF('2.报价结算清单'!$F$7:$F$679,A421,'2.报价结算清单'!$P$7:$P$679)</f>
        <v>0</v>
      </c>
    </row>
    <row r="422" spans="1:9" ht="28.5">
      <c r="A422" s="74" t="s">
        <v>408</v>
      </c>
      <c r="B422" s="72"/>
      <c r="C422" s="72" t="s">
        <v>1308</v>
      </c>
      <c r="D422" s="76" t="s">
        <v>1418</v>
      </c>
      <c r="E422" s="72" t="s">
        <v>31</v>
      </c>
      <c r="F422" s="62">
        <f>VLOOKUP(A422,[1]基准价格!$A:$G,7,0)</f>
        <v>127.2</v>
      </c>
      <c r="G422" s="56">
        <f>SUMIF('2.报价结算清单'!$F$7:$F$679,$A422,'2.报价结算清单'!$L$7:$L$679)</f>
        <v>0</v>
      </c>
      <c r="H422" s="56">
        <f>SUMIF('2.报价结算清单'!$F$7:$F$679,$A422,'2.报价结算清单'!$N$7:$N$679)</f>
        <v>0</v>
      </c>
      <c r="I422" s="59">
        <f>SUMIF('2.报价结算清单'!$F$7:$F$679,A422,'2.报价结算清单'!$P$7:$P$679)</f>
        <v>0</v>
      </c>
    </row>
    <row r="423" spans="1:9" ht="28.5">
      <c r="A423" s="74" t="s">
        <v>409</v>
      </c>
      <c r="B423" s="72"/>
      <c r="C423" s="72" t="s">
        <v>1308</v>
      </c>
      <c r="D423" s="76" t="s">
        <v>1419</v>
      </c>
      <c r="E423" s="72" t="s">
        <v>31</v>
      </c>
      <c r="F423" s="62">
        <f>VLOOKUP(A423,[1]基准价格!$A:$G,7,0)</f>
        <v>212</v>
      </c>
      <c r="G423" s="56">
        <f>SUMIF('2.报价结算清单'!$F$7:$F$679,$A423,'2.报价结算清单'!$L$7:$L$679)</f>
        <v>0</v>
      </c>
      <c r="H423" s="56">
        <f>SUMIF('2.报价结算清单'!$F$7:$F$679,$A423,'2.报价结算清单'!$N$7:$N$679)</f>
        <v>0</v>
      </c>
      <c r="I423" s="59">
        <f>SUMIF('2.报价结算清单'!$F$7:$F$679,A423,'2.报价结算清单'!$P$7:$P$679)</f>
        <v>0</v>
      </c>
    </row>
    <row r="424" spans="1:9" ht="28.5">
      <c r="A424" s="74" t="s">
        <v>410</v>
      </c>
      <c r="B424" s="72"/>
      <c r="C424" s="72" t="s">
        <v>1308</v>
      </c>
      <c r="D424" s="76" t="s">
        <v>1420</v>
      </c>
      <c r="E424" s="72" t="s">
        <v>31</v>
      </c>
      <c r="F424" s="62">
        <f>VLOOKUP(A424,[1]基准价格!$A:$G,7,0)</f>
        <v>508.8</v>
      </c>
      <c r="G424" s="56">
        <f>SUMIF('2.报价结算清单'!$F$7:$F$679,$A424,'2.报价结算清单'!$L$7:$L$679)</f>
        <v>0</v>
      </c>
      <c r="H424" s="56">
        <f>SUMIF('2.报价结算清单'!$F$7:$F$679,$A424,'2.报价结算清单'!$N$7:$N$679)</f>
        <v>0</v>
      </c>
      <c r="I424" s="59">
        <f>SUMIF('2.报价结算清单'!$F$7:$F$679,A424,'2.报价结算清单'!$P$7:$P$679)</f>
        <v>0</v>
      </c>
    </row>
    <row r="425" spans="1:9" ht="28.5">
      <c r="A425" s="74" t="s">
        <v>411</v>
      </c>
      <c r="B425" s="72"/>
      <c r="C425" s="72" t="s">
        <v>1308</v>
      </c>
      <c r="D425" s="76" t="s">
        <v>1421</v>
      </c>
      <c r="E425" s="72" t="s">
        <v>31</v>
      </c>
      <c r="F425" s="62">
        <f>VLOOKUP(A425,[1]基准价格!$A:$G,7,0)</f>
        <v>212</v>
      </c>
      <c r="G425" s="56">
        <f>SUMIF('2.报价结算清单'!$F$7:$F$679,$A425,'2.报价结算清单'!$L$7:$L$679)</f>
        <v>0</v>
      </c>
      <c r="H425" s="56">
        <f>SUMIF('2.报价结算清单'!$F$7:$F$679,$A425,'2.报价结算清单'!$N$7:$N$679)</f>
        <v>0</v>
      </c>
      <c r="I425" s="59">
        <f>SUMIF('2.报价结算清单'!$F$7:$F$679,A425,'2.报价结算清单'!$P$7:$P$679)</f>
        <v>0</v>
      </c>
    </row>
    <row r="426" spans="1:9" ht="42.75">
      <c r="A426" s="74" t="s">
        <v>412</v>
      </c>
      <c r="B426" s="72"/>
      <c r="C426" s="72" t="s">
        <v>1308</v>
      </c>
      <c r="D426" s="76" t="s">
        <v>1422</v>
      </c>
      <c r="E426" s="72" t="s">
        <v>31</v>
      </c>
      <c r="F426" s="62">
        <f>VLOOKUP(A426,[1]基准价格!$A:$G,7,0)</f>
        <v>318</v>
      </c>
      <c r="G426" s="56">
        <f>SUMIF('2.报价结算清单'!$F$7:$F$679,$A426,'2.报价结算清单'!$L$7:$L$679)</f>
        <v>0</v>
      </c>
      <c r="H426" s="56">
        <f>SUMIF('2.报价结算清单'!$F$7:$F$679,$A426,'2.报价结算清单'!$N$7:$N$679)</f>
        <v>0</v>
      </c>
      <c r="I426" s="59">
        <f>SUMIF('2.报价结算清单'!$F$7:$F$679,A426,'2.报价结算清单'!$P$7:$P$679)</f>
        <v>0</v>
      </c>
    </row>
    <row r="427" spans="1:9" ht="42.75">
      <c r="A427" s="74" t="s">
        <v>413</v>
      </c>
      <c r="B427" s="72"/>
      <c r="C427" s="72" t="s">
        <v>1308</v>
      </c>
      <c r="D427" s="76" t="s">
        <v>1423</v>
      </c>
      <c r="E427" s="72" t="s">
        <v>31</v>
      </c>
      <c r="F427" s="62">
        <f>VLOOKUP(A427,[1]基准价格!$A:$G,7,0)</f>
        <v>424</v>
      </c>
      <c r="G427" s="56">
        <f>SUMIF('2.报价结算清单'!$F$7:$F$679,$A427,'2.报价结算清单'!$L$7:$L$679)</f>
        <v>0</v>
      </c>
      <c r="H427" s="56">
        <f>SUMIF('2.报价结算清单'!$F$7:$F$679,$A427,'2.报价结算清单'!$N$7:$N$679)</f>
        <v>0</v>
      </c>
      <c r="I427" s="59">
        <f>SUMIF('2.报价结算清单'!$F$7:$F$679,A427,'2.报价结算清单'!$P$7:$P$679)</f>
        <v>0</v>
      </c>
    </row>
    <row r="428" spans="1:9" ht="42.75">
      <c r="A428" s="74" t="s">
        <v>414</v>
      </c>
      <c r="B428" s="72"/>
      <c r="C428" s="72" t="s">
        <v>1308</v>
      </c>
      <c r="D428" s="76" t="s">
        <v>1424</v>
      </c>
      <c r="E428" s="72" t="s">
        <v>31</v>
      </c>
      <c r="F428" s="62">
        <f>VLOOKUP(A428,[1]基准价格!$A:$G,7,0)</f>
        <v>424</v>
      </c>
      <c r="G428" s="56">
        <f>SUMIF('2.报价结算清单'!$F$7:$F$679,$A428,'2.报价结算清单'!$L$7:$L$679)</f>
        <v>0</v>
      </c>
      <c r="H428" s="56">
        <f>SUMIF('2.报价结算清单'!$F$7:$F$679,$A428,'2.报价结算清单'!$N$7:$N$679)</f>
        <v>0</v>
      </c>
      <c r="I428" s="59">
        <f>SUMIF('2.报价结算清单'!$F$7:$F$679,A428,'2.报价结算清单'!$P$7:$P$679)</f>
        <v>0</v>
      </c>
    </row>
    <row r="429" spans="1:9" ht="28.5">
      <c r="A429" s="74" t="s">
        <v>415</v>
      </c>
      <c r="B429" s="72"/>
      <c r="C429" s="72" t="s">
        <v>1308</v>
      </c>
      <c r="D429" s="76" t="s">
        <v>1425</v>
      </c>
      <c r="E429" s="72" t="s">
        <v>31</v>
      </c>
      <c r="F429" s="62">
        <f>VLOOKUP(A429,[1]基准价格!$A:$G,7,0)</f>
        <v>416.67</v>
      </c>
      <c r="G429" s="56">
        <f>SUMIF('2.报价结算清单'!$F$7:$F$679,$A429,'2.报价结算清单'!$L$7:$L$679)</f>
        <v>0</v>
      </c>
      <c r="H429" s="56">
        <f>SUMIF('2.报价结算清单'!$F$7:$F$679,$A429,'2.报价结算清单'!$N$7:$N$679)</f>
        <v>0</v>
      </c>
      <c r="I429" s="59">
        <f>SUMIF('2.报价结算清单'!$F$7:$F$679,A429,'2.报价结算清单'!$P$7:$P$679)</f>
        <v>0</v>
      </c>
    </row>
    <row r="430" spans="1:9" ht="28.5">
      <c r="A430" s="74" t="s">
        <v>416</v>
      </c>
      <c r="B430" s="72"/>
      <c r="C430" s="72" t="s">
        <v>1308</v>
      </c>
      <c r="D430" s="76" t="s">
        <v>1426</v>
      </c>
      <c r="E430" s="72" t="s">
        <v>31</v>
      </c>
      <c r="F430" s="62">
        <f>VLOOKUP(A430,[1]基准价格!$A:$G,7,0)</f>
        <v>466.67</v>
      </c>
      <c r="G430" s="56">
        <f>SUMIF('2.报价结算清单'!$F$7:$F$679,$A430,'2.报价结算清单'!$L$7:$L$679)</f>
        <v>0</v>
      </c>
      <c r="H430" s="56">
        <f>SUMIF('2.报价结算清单'!$F$7:$F$679,$A430,'2.报价结算清单'!$N$7:$N$679)</f>
        <v>0</v>
      </c>
      <c r="I430" s="59">
        <f>SUMIF('2.报价结算清单'!$F$7:$F$679,A430,'2.报价结算清单'!$P$7:$P$679)</f>
        <v>0</v>
      </c>
    </row>
    <row r="431" spans="1:9" ht="28.5">
      <c r="A431" s="74" t="s">
        <v>417</v>
      </c>
      <c r="B431" s="72"/>
      <c r="C431" s="72" t="s">
        <v>1308</v>
      </c>
      <c r="D431" s="76" t="s">
        <v>1427</v>
      </c>
      <c r="E431" s="72" t="s">
        <v>31</v>
      </c>
      <c r="F431" s="62">
        <f>VLOOKUP(A431,[1]基准价格!$A:$G,7,0)</f>
        <v>466.67</v>
      </c>
      <c r="G431" s="56">
        <f>SUMIF('2.报价结算清单'!$F$7:$F$679,$A431,'2.报价结算清单'!$L$7:$L$679)</f>
        <v>0</v>
      </c>
      <c r="H431" s="56">
        <f>SUMIF('2.报价结算清单'!$F$7:$F$679,$A431,'2.报价结算清单'!$N$7:$N$679)</f>
        <v>0</v>
      </c>
      <c r="I431" s="59">
        <f>SUMIF('2.报价结算清单'!$F$7:$F$679,A431,'2.报价结算清单'!$P$7:$P$679)</f>
        <v>0</v>
      </c>
    </row>
    <row r="432" spans="1:9" ht="28.5">
      <c r="A432" s="74" t="s">
        <v>418</v>
      </c>
      <c r="B432" s="72"/>
      <c r="C432" s="72" t="s">
        <v>1308</v>
      </c>
      <c r="D432" s="76" t="s">
        <v>1428</v>
      </c>
      <c r="E432" s="72" t="s">
        <v>31</v>
      </c>
      <c r="F432" s="62">
        <f>VLOOKUP(A432,[1]基准价格!$A:$G,7,0)</f>
        <v>233</v>
      </c>
      <c r="G432" s="56">
        <f>SUMIF('2.报价结算清单'!$F$7:$F$679,$A432,'2.报价结算清单'!$L$7:$L$679)</f>
        <v>0</v>
      </c>
      <c r="H432" s="56">
        <f>SUMIF('2.报价结算清单'!$F$7:$F$679,$A432,'2.报价结算清单'!$N$7:$N$679)</f>
        <v>0</v>
      </c>
      <c r="I432" s="59">
        <f>SUMIF('2.报价结算清单'!$F$7:$F$679,A432,'2.报价结算清单'!$P$7:$P$679)</f>
        <v>0</v>
      </c>
    </row>
    <row r="433" spans="1:9" ht="42.75">
      <c r="A433" s="74" t="s">
        <v>419</v>
      </c>
      <c r="B433" s="72"/>
      <c r="C433" s="72" t="s">
        <v>1308</v>
      </c>
      <c r="D433" s="76" t="s">
        <v>1429</v>
      </c>
      <c r="E433" s="72" t="s">
        <v>31</v>
      </c>
      <c r="F433" s="62">
        <f>VLOOKUP(A433,[1]基准价格!$A:$G,7,0)</f>
        <v>1700</v>
      </c>
      <c r="G433" s="56">
        <f>SUMIF('2.报价结算清单'!$F$7:$F$679,$A433,'2.报价结算清单'!$L$7:$L$679)</f>
        <v>0</v>
      </c>
      <c r="H433" s="56">
        <f>SUMIF('2.报价结算清单'!$F$7:$F$679,$A433,'2.报价结算清单'!$N$7:$N$679)</f>
        <v>0</v>
      </c>
      <c r="I433" s="59">
        <f>SUMIF('2.报价结算清单'!$F$7:$F$679,A433,'2.报价结算清单'!$P$7:$P$679)</f>
        <v>0</v>
      </c>
    </row>
    <row r="434" spans="1:9" ht="42.75">
      <c r="A434" s="74" t="s">
        <v>420</v>
      </c>
      <c r="B434" s="72"/>
      <c r="C434" s="72" t="s">
        <v>1308</v>
      </c>
      <c r="D434" s="76" t="s">
        <v>1430</v>
      </c>
      <c r="E434" s="72" t="s">
        <v>31</v>
      </c>
      <c r="F434" s="62">
        <f>VLOOKUP(A434,[1]基准价格!$A:$G,7,0)</f>
        <v>1833.33</v>
      </c>
      <c r="G434" s="56">
        <f>SUMIF('2.报价结算清单'!$F$7:$F$679,$A434,'2.报价结算清单'!$L$7:$L$679)</f>
        <v>0</v>
      </c>
      <c r="H434" s="56">
        <f>SUMIF('2.报价结算清单'!$F$7:$F$679,$A434,'2.报价结算清单'!$N$7:$N$679)</f>
        <v>0</v>
      </c>
      <c r="I434" s="59">
        <f>SUMIF('2.报价结算清单'!$F$7:$F$679,A434,'2.报价结算清单'!$P$7:$P$679)</f>
        <v>0</v>
      </c>
    </row>
    <row r="435" spans="1:9" ht="42.75">
      <c r="A435" s="74" t="s">
        <v>421</v>
      </c>
      <c r="B435" s="72"/>
      <c r="C435" s="72" t="s">
        <v>1308</v>
      </c>
      <c r="D435" s="76" t="s">
        <v>1431</v>
      </c>
      <c r="E435" s="72" t="s">
        <v>31</v>
      </c>
      <c r="F435" s="62">
        <f>VLOOKUP(A435,[1]基准价格!$A:$G,7,0)</f>
        <v>106</v>
      </c>
      <c r="G435" s="56">
        <f>SUMIF('2.报价结算清单'!$F$7:$F$679,$A435,'2.报价结算清单'!$L$7:$L$679)</f>
        <v>0</v>
      </c>
      <c r="H435" s="56">
        <f>SUMIF('2.报价结算清单'!$F$7:$F$679,$A435,'2.报价结算清单'!$N$7:$N$679)</f>
        <v>0</v>
      </c>
      <c r="I435" s="59">
        <f>SUMIF('2.报价结算清单'!$F$7:$F$679,A435,'2.报价结算清单'!$P$7:$P$679)</f>
        <v>0</v>
      </c>
    </row>
    <row r="436" spans="1:9" ht="28.5">
      <c r="A436" s="74" t="s">
        <v>422</v>
      </c>
      <c r="B436" s="72"/>
      <c r="C436" s="72" t="s">
        <v>1308</v>
      </c>
      <c r="D436" s="76" t="s">
        <v>1432</v>
      </c>
      <c r="E436" s="72" t="s">
        <v>31</v>
      </c>
      <c r="F436" s="62">
        <f>VLOOKUP(A436,[1]基准价格!$A:$G,7,0)</f>
        <v>212</v>
      </c>
      <c r="G436" s="56">
        <f>SUMIF('2.报价结算清单'!$F$7:$F$679,$A436,'2.报价结算清单'!$L$7:$L$679)</f>
        <v>0</v>
      </c>
      <c r="H436" s="56">
        <f>SUMIF('2.报价结算清单'!$F$7:$F$679,$A436,'2.报价结算清单'!$N$7:$N$679)</f>
        <v>0</v>
      </c>
      <c r="I436" s="59">
        <f>SUMIF('2.报价结算清单'!$F$7:$F$679,A436,'2.报价结算清单'!$P$7:$P$679)</f>
        <v>0</v>
      </c>
    </row>
    <row r="437" spans="1:9" ht="28.5">
      <c r="A437" s="74" t="s">
        <v>423</v>
      </c>
      <c r="B437" s="72"/>
      <c r="C437" s="72" t="s">
        <v>1308</v>
      </c>
      <c r="D437" s="76" t="s">
        <v>1433</v>
      </c>
      <c r="E437" s="72" t="s">
        <v>31</v>
      </c>
      <c r="F437" s="62">
        <f>VLOOKUP(A437,[1]基准价格!$A:$G,7,0)</f>
        <v>148.4</v>
      </c>
      <c r="G437" s="56">
        <f>SUMIF('2.报价结算清单'!$F$7:$F$679,$A437,'2.报价结算清单'!$L$7:$L$679)</f>
        <v>0</v>
      </c>
      <c r="H437" s="56">
        <f>SUMIF('2.报价结算清单'!$F$7:$F$679,$A437,'2.报价结算清单'!$N$7:$N$679)</f>
        <v>0</v>
      </c>
      <c r="I437" s="59">
        <f>SUMIF('2.报价结算清单'!$F$7:$F$679,A437,'2.报价结算清单'!$P$7:$P$679)</f>
        <v>0</v>
      </c>
    </row>
    <row r="438" spans="1:9" ht="42.75">
      <c r="A438" s="74" t="s">
        <v>424</v>
      </c>
      <c r="B438" s="72"/>
      <c r="C438" s="72" t="s">
        <v>1308</v>
      </c>
      <c r="D438" s="76" t="s">
        <v>1434</v>
      </c>
      <c r="E438" s="72" t="s">
        <v>43</v>
      </c>
      <c r="F438" s="62">
        <f>VLOOKUP(A438,[1]基准价格!$A:$G,7,0)</f>
        <v>12.72</v>
      </c>
      <c r="G438" s="56">
        <f>SUMIF('2.报价结算清单'!$F$7:$F$679,$A438,'2.报价结算清单'!$L$7:$L$679)</f>
        <v>0</v>
      </c>
      <c r="H438" s="56">
        <f>SUMIF('2.报价结算清单'!$F$7:$F$679,$A438,'2.报价结算清单'!$N$7:$N$679)</f>
        <v>0</v>
      </c>
      <c r="I438" s="59">
        <f>SUMIF('2.报价结算清单'!$F$7:$F$679,A438,'2.报价结算清单'!$P$7:$P$679)</f>
        <v>0</v>
      </c>
    </row>
    <row r="439" spans="1:9" ht="42.75">
      <c r="A439" s="74" t="s">
        <v>425</v>
      </c>
      <c r="B439" s="72"/>
      <c r="C439" s="72" t="s">
        <v>1308</v>
      </c>
      <c r="D439" s="76" t="s">
        <v>1435</v>
      </c>
      <c r="E439" s="72" t="s">
        <v>24</v>
      </c>
      <c r="F439" s="62">
        <f>VLOOKUP(A439,[1]基准价格!$A:$G,7,0)</f>
        <v>128.26</v>
      </c>
      <c r="G439" s="56">
        <f>SUMIF('2.报价结算清单'!$F$7:$F$679,$A439,'2.报价结算清单'!$L$7:$L$679)</f>
        <v>0</v>
      </c>
      <c r="H439" s="56">
        <f>SUMIF('2.报价结算清单'!$F$7:$F$679,$A439,'2.报价结算清单'!$N$7:$N$679)</f>
        <v>0</v>
      </c>
      <c r="I439" s="59">
        <f>SUMIF('2.报价结算清单'!$F$7:$F$679,A439,'2.报价结算清单'!$P$7:$P$679)</f>
        <v>0</v>
      </c>
    </row>
    <row r="440" spans="1:9" ht="42.75">
      <c r="A440" s="74" t="s">
        <v>426</v>
      </c>
      <c r="B440" s="72"/>
      <c r="C440" s="72" t="s">
        <v>1308</v>
      </c>
      <c r="D440" s="76" t="s">
        <v>1436</v>
      </c>
      <c r="E440" s="72" t="s">
        <v>24</v>
      </c>
      <c r="F440" s="62">
        <f>VLOOKUP(A440,[1]基准价格!$A:$G,7,0)</f>
        <v>97.33</v>
      </c>
      <c r="G440" s="56">
        <f>SUMIF('2.报价结算清单'!$F$7:$F$679,$A440,'2.报价结算清单'!$L$7:$L$679)</f>
        <v>0</v>
      </c>
      <c r="H440" s="56">
        <f>SUMIF('2.报价结算清单'!$F$7:$F$679,$A440,'2.报价结算清单'!$N$7:$N$679)</f>
        <v>0</v>
      </c>
      <c r="I440" s="59">
        <f>SUMIF('2.报价结算清单'!$F$7:$F$679,A440,'2.报价结算清单'!$P$7:$P$679)</f>
        <v>0</v>
      </c>
    </row>
    <row r="441" spans="1:9" ht="42.75">
      <c r="A441" s="74" t="s">
        <v>427</v>
      </c>
      <c r="B441" s="72"/>
      <c r="C441" s="72" t="s">
        <v>1308</v>
      </c>
      <c r="D441" s="76" t="s">
        <v>1437</v>
      </c>
      <c r="E441" s="72" t="s">
        <v>24</v>
      </c>
      <c r="F441" s="62">
        <f>VLOOKUP(A441,[1]基准价格!$A:$G,7,0)</f>
        <v>74.2</v>
      </c>
      <c r="G441" s="56">
        <f>SUMIF('2.报价结算清单'!$F$7:$F$679,$A441,'2.报价结算清单'!$L$7:$L$679)</f>
        <v>0</v>
      </c>
      <c r="H441" s="56">
        <f>SUMIF('2.报价结算清单'!$F$7:$F$679,$A441,'2.报价结算清单'!$N$7:$N$679)</f>
        <v>0</v>
      </c>
      <c r="I441" s="59">
        <f>SUMIF('2.报价结算清单'!$F$7:$F$679,A441,'2.报价结算清单'!$P$7:$P$679)</f>
        <v>0</v>
      </c>
    </row>
    <row r="442" spans="1:9" ht="42.75">
      <c r="A442" s="74" t="s">
        <v>428</v>
      </c>
      <c r="B442" s="72"/>
      <c r="C442" s="72" t="s">
        <v>1308</v>
      </c>
      <c r="D442" s="76" t="s">
        <v>1438</v>
      </c>
      <c r="E442" s="72" t="s">
        <v>24</v>
      </c>
      <c r="F442" s="62">
        <f>VLOOKUP(A442,[1]基准价格!$A:$G,7,0)</f>
        <v>183.33</v>
      </c>
      <c r="G442" s="56">
        <f>SUMIF('2.报价结算清单'!$F$7:$F$679,$A442,'2.报价结算清单'!$L$7:$L$679)</f>
        <v>0</v>
      </c>
      <c r="H442" s="56">
        <f>SUMIF('2.报价结算清单'!$F$7:$F$679,$A442,'2.报价结算清单'!$N$7:$N$679)</f>
        <v>0</v>
      </c>
      <c r="I442" s="59">
        <f>SUMIF('2.报价结算清单'!$F$7:$F$679,A442,'2.报价结算清单'!$P$7:$P$679)</f>
        <v>0</v>
      </c>
    </row>
    <row r="443" spans="1:9" ht="42.75">
      <c r="A443" s="74" t="s">
        <v>429</v>
      </c>
      <c r="B443" s="72"/>
      <c r="C443" s="72" t="s">
        <v>1308</v>
      </c>
      <c r="D443" s="76" t="s">
        <v>1439</v>
      </c>
      <c r="E443" s="72" t="s">
        <v>24</v>
      </c>
      <c r="F443" s="62">
        <f>VLOOKUP(A443,[1]基准价格!$A:$G,7,0)</f>
        <v>216.67</v>
      </c>
      <c r="G443" s="56">
        <f>SUMIF('2.报价结算清单'!$F$7:$F$679,$A443,'2.报价结算清单'!$L$7:$L$679)</f>
        <v>0</v>
      </c>
      <c r="H443" s="56">
        <f>SUMIF('2.报价结算清单'!$F$7:$F$679,$A443,'2.报价结算清单'!$N$7:$N$679)</f>
        <v>0</v>
      </c>
      <c r="I443" s="59">
        <f>SUMIF('2.报价结算清单'!$F$7:$F$679,A443,'2.报价结算清单'!$P$7:$P$679)</f>
        <v>0</v>
      </c>
    </row>
    <row r="444" spans="1:9" ht="42.75">
      <c r="A444" s="74" t="s">
        <v>430</v>
      </c>
      <c r="B444" s="72"/>
      <c r="C444" s="72" t="s">
        <v>1308</v>
      </c>
      <c r="D444" s="76" t="s">
        <v>1440</v>
      </c>
      <c r="E444" s="72" t="s">
        <v>24</v>
      </c>
      <c r="F444" s="62">
        <f>VLOOKUP(A444,[1]基准价格!$A:$G,7,0)</f>
        <v>293.33</v>
      </c>
      <c r="G444" s="56">
        <f>SUMIF('2.报价结算清单'!$F$7:$F$679,$A444,'2.报价结算清单'!$L$7:$L$679)</f>
        <v>0</v>
      </c>
      <c r="H444" s="56">
        <f>SUMIF('2.报价结算清单'!$F$7:$F$679,$A444,'2.报价结算清单'!$N$7:$N$679)</f>
        <v>0</v>
      </c>
      <c r="I444" s="59">
        <f>SUMIF('2.报价结算清单'!$F$7:$F$679,A444,'2.报价结算清单'!$P$7:$P$679)</f>
        <v>0</v>
      </c>
    </row>
    <row r="445" spans="1:9" ht="28.5">
      <c r="A445" s="74" t="s">
        <v>431</v>
      </c>
      <c r="B445" s="72"/>
      <c r="C445" s="72" t="s">
        <v>1308</v>
      </c>
      <c r="D445" s="76" t="s">
        <v>1441</v>
      </c>
      <c r="E445" s="72" t="s">
        <v>26</v>
      </c>
      <c r="F445" s="62">
        <f>VLOOKUP(A445,[1]基准价格!$A:$G,7,0)</f>
        <v>159</v>
      </c>
      <c r="G445" s="56">
        <f>SUMIF('2.报价结算清单'!$F$7:$F$679,$A445,'2.报价结算清单'!$L$7:$L$679)</f>
        <v>0</v>
      </c>
      <c r="H445" s="56">
        <f>SUMIF('2.报价结算清单'!$F$7:$F$679,$A445,'2.报价结算清单'!$N$7:$N$679)</f>
        <v>0</v>
      </c>
      <c r="I445" s="59">
        <f>SUMIF('2.报价结算清单'!$F$7:$F$679,A445,'2.报价结算清单'!$P$7:$P$679)</f>
        <v>0</v>
      </c>
    </row>
    <row r="446" spans="1:9" ht="28.5">
      <c r="A446" s="74" t="s">
        <v>432</v>
      </c>
      <c r="B446" s="72"/>
      <c r="C446" s="72" t="s">
        <v>1308</v>
      </c>
      <c r="D446" s="76" t="s">
        <v>1442</v>
      </c>
      <c r="E446" s="72" t="s">
        <v>26</v>
      </c>
      <c r="F446" s="62">
        <f>VLOOKUP(A446,[1]基准价格!$A:$G,7,0)</f>
        <v>159</v>
      </c>
      <c r="G446" s="56">
        <f>SUMIF('2.报价结算清单'!$F$7:$F$679,$A446,'2.报价结算清单'!$L$7:$L$679)</f>
        <v>0</v>
      </c>
      <c r="H446" s="56">
        <f>SUMIF('2.报价结算清单'!$F$7:$F$679,$A446,'2.报价结算清单'!$N$7:$N$679)</f>
        <v>0</v>
      </c>
      <c r="I446" s="59">
        <f>SUMIF('2.报价结算清单'!$F$7:$F$679,A446,'2.报价结算清单'!$P$7:$P$679)</f>
        <v>0</v>
      </c>
    </row>
    <row r="447" spans="1:9" ht="28.5">
      <c r="A447" s="74" t="s">
        <v>433</v>
      </c>
      <c r="B447" s="72"/>
      <c r="C447" s="72" t="s">
        <v>1308</v>
      </c>
      <c r="D447" s="76" t="s">
        <v>1443</v>
      </c>
      <c r="E447" s="72" t="s">
        <v>26</v>
      </c>
      <c r="F447" s="62">
        <f>VLOOKUP(A447,[1]基准价格!$A:$G,7,0)</f>
        <v>159</v>
      </c>
      <c r="G447" s="56">
        <f>SUMIF('2.报价结算清单'!$F$7:$F$679,$A447,'2.报价结算清单'!$L$7:$L$679)</f>
        <v>0</v>
      </c>
      <c r="H447" s="56">
        <f>SUMIF('2.报价结算清单'!$F$7:$F$679,$A447,'2.报价结算清单'!$N$7:$N$679)</f>
        <v>0</v>
      </c>
      <c r="I447" s="59">
        <f>SUMIF('2.报价结算清单'!$F$7:$F$679,A447,'2.报价结算清单'!$P$7:$P$679)</f>
        <v>0</v>
      </c>
    </row>
    <row r="448" spans="1:9" ht="28.5">
      <c r="A448" s="74" t="s">
        <v>434</v>
      </c>
      <c r="B448" s="72"/>
      <c r="C448" s="72" t="s">
        <v>1308</v>
      </c>
      <c r="D448" s="76" t="s">
        <v>1444</v>
      </c>
      <c r="E448" s="72" t="s">
        <v>26</v>
      </c>
      <c r="F448" s="62">
        <f>VLOOKUP(A448,[1]基准价格!$A:$G,7,0)</f>
        <v>159</v>
      </c>
      <c r="G448" s="56">
        <f>SUMIF('2.报价结算清单'!$F$7:$F$679,$A448,'2.报价结算清单'!$L$7:$L$679)</f>
        <v>0</v>
      </c>
      <c r="H448" s="56">
        <f>SUMIF('2.报价结算清单'!$F$7:$F$679,$A448,'2.报价结算清单'!$N$7:$N$679)</f>
        <v>0</v>
      </c>
      <c r="I448" s="59">
        <f>SUMIF('2.报价结算清单'!$F$7:$F$679,A448,'2.报价结算清单'!$P$7:$P$679)</f>
        <v>0</v>
      </c>
    </row>
    <row r="449" spans="1:9" ht="28.5">
      <c r="A449" s="74" t="s">
        <v>435</v>
      </c>
      <c r="B449" s="72"/>
      <c r="C449" s="72" t="s">
        <v>1308</v>
      </c>
      <c r="D449" s="76" t="s">
        <v>1445</v>
      </c>
      <c r="E449" s="72" t="s">
        <v>26</v>
      </c>
      <c r="F449" s="62">
        <f>VLOOKUP(A449,[1]基准价格!$A:$G,7,0)</f>
        <v>159</v>
      </c>
      <c r="G449" s="56">
        <f>SUMIF('2.报价结算清单'!$F$7:$F$679,$A449,'2.报价结算清单'!$L$7:$L$679)</f>
        <v>0</v>
      </c>
      <c r="H449" s="56">
        <f>SUMIF('2.报价结算清单'!$F$7:$F$679,$A449,'2.报价结算清单'!$N$7:$N$679)</f>
        <v>0</v>
      </c>
      <c r="I449" s="59">
        <f>SUMIF('2.报价结算清单'!$F$7:$F$679,A449,'2.报价结算清单'!$P$7:$P$679)</f>
        <v>0</v>
      </c>
    </row>
    <row r="450" spans="1:9" ht="42.75">
      <c r="A450" s="74" t="s">
        <v>436</v>
      </c>
      <c r="B450" s="72"/>
      <c r="C450" s="72" t="s">
        <v>1308</v>
      </c>
      <c r="D450" s="76" t="s">
        <v>1446</v>
      </c>
      <c r="E450" s="72" t="s">
        <v>31</v>
      </c>
      <c r="F450" s="62">
        <f>VLOOKUP(A450,[1]基准价格!$A:$G,7,0)</f>
        <v>434.6</v>
      </c>
      <c r="G450" s="56">
        <f>SUMIF('2.报价结算清单'!$F$7:$F$679,$A450,'2.报价结算清单'!$L$7:$L$679)</f>
        <v>0</v>
      </c>
      <c r="H450" s="56">
        <f>SUMIF('2.报价结算清单'!$F$7:$F$679,$A450,'2.报价结算清单'!$N$7:$N$679)</f>
        <v>0</v>
      </c>
      <c r="I450" s="59">
        <f>SUMIF('2.报价结算清单'!$F$7:$F$679,A450,'2.报价结算清单'!$P$7:$P$679)</f>
        <v>0</v>
      </c>
    </row>
    <row r="451" spans="1:9" ht="42.75">
      <c r="A451" s="74" t="s">
        <v>437</v>
      </c>
      <c r="B451" s="72"/>
      <c r="C451" s="72" t="s">
        <v>1308</v>
      </c>
      <c r="D451" s="76" t="s">
        <v>1447</v>
      </c>
      <c r="E451" s="72" t="s">
        <v>31</v>
      </c>
      <c r="F451" s="62">
        <f>VLOOKUP(A451,[1]基准价格!$A:$G,7,0)</f>
        <v>316.67</v>
      </c>
      <c r="G451" s="56">
        <f>SUMIF('2.报价结算清单'!$F$7:$F$679,$A451,'2.报价结算清单'!$L$7:$L$679)</f>
        <v>0</v>
      </c>
      <c r="H451" s="56">
        <f>SUMIF('2.报价结算清单'!$F$7:$F$679,$A451,'2.报价结算清单'!$N$7:$N$679)</f>
        <v>0</v>
      </c>
      <c r="I451" s="59">
        <f>SUMIF('2.报价结算清单'!$F$7:$F$679,A451,'2.报价结算清单'!$P$7:$P$679)</f>
        <v>0</v>
      </c>
    </row>
    <row r="452" spans="1:9" ht="42.75">
      <c r="A452" s="74" t="s">
        <v>438</v>
      </c>
      <c r="B452" s="72"/>
      <c r="C452" s="72" t="s">
        <v>1308</v>
      </c>
      <c r="D452" s="76" t="s">
        <v>1448</v>
      </c>
      <c r="E452" s="72" t="s">
        <v>31</v>
      </c>
      <c r="F452" s="62">
        <f>VLOOKUP(A452,[1]基准价格!$A:$G,7,0)</f>
        <v>212</v>
      </c>
      <c r="G452" s="56">
        <f>SUMIF('2.报价结算清单'!$F$7:$F$679,$A452,'2.报价结算清单'!$L$7:$L$679)</f>
        <v>0</v>
      </c>
      <c r="H452" s="56">
        <f>SUMIF('2.报价结算清单'!$F$7:$F$679,$A452,'2.报价结算清单'!$N$7:$N$679)</f>
        <v>0</v>
      </c>
      <c r="I452" s="59">
        <f>SUMIF('2.报价结算清单'!$F$7:$F$679,A452,'2.报价结算清单'!$P$7:$P$679)</f>
        <v>0</v>
      </c>
    </row>
    <row r="453" spans="1:9" ht="42.75">
      <c r="A453" s="74" t="s">
        <v>439</v>
      </c>
      <c r="B453" s="72"/>
      <c r="C453" s="72" t="s">
        <v>1308</v>
      </c>
      <c r="D453" s="76" t="s">
        <v>1449</v>
      </c>
      <c r="E453" s="72" t="s">
        <v>31</v>
      </c>
      <c r="F453" s="62">
        <f>VLOOKUP(A453,[1]基准价格!$A:$G,7,0)</f>
        <v>180.2</v>
      </c>
      <c r="G453" s="56">
        <f>SUMIF('2.报价结算清单'!$F$7:$F$679,$A453,'2.报价结算清单'!$L$7:$L$679)</f>
        <v>0</v>
      </c>
      <c r="H453" s="56">
        <f>SUMIF('2.报价结算清单'!$F$7:$F$679,$A453,'2.报价结算清单'!$N$7:$N$679)</f>
        <v>0</v>
      </c>
      <c r="I453" s="59">
        <f>SUMIF('2.报价结算清单'!$F$7:$F$679,A453,'2.报价结算清单'!$P$7:$P$679)</f>
        <v>0</v>
      </c>
    </row>
    <row r="454" spans="1:9" ht="42.75">
      <c r="A454" s="74" t="s">
        <v>440</v>
      </c>
      <c r="B454" s="72"/>
      <c r="C454" s="72" t="s">
        <v>1308</v>
      </c>
      <c r="D454" s="76" t="s">
        <v>1450</v>
      </c>
      <c r="E454" s="72" t="s">
        <v>31</v>
      </c>
      <c r="F454" s="62">
        <f>VLOOKUP(A454,[1]基准价格!$A:$G,7,0)</f>
        <v>328.6</v>
      </c>
      <c r="G454" s="56">
        <f>SUMIF('2.报价结算清单'!$F$7:$F$679,$A454,'2.报价结算清单'!$L$7:$L$679)</f>
        <v>0</v>
      </c>
      <c r="H454" s="56">
        <f>SUMIF('2.报价结算清单'!$F$7:$F$679,$A454,'2.报价结算清单'!$N$7:$N$679)</f>
        <v>0</v>
      </c>
      <c r="I454" s="59">
        <f>SUMIF('2.报价结算清单'!$F$7:$F$679,A454,'2.报价结算清单'!$P$7:$P$679)</f>
        <v>0</v>
      </c>
    </row>
    <row r="455" spans="1:9" ht="42.75">
      <c r="A455" s="74" t="s">
        <v>441</v>
      </c>
      <c r="B455" s="72"/>
      <c r="C455" s="72" t="s">
        <v>1308</v>
      </c>
      <c r="D455" s="76" t="s">
        <v>1451</v>
      </c>
      <c r="E455" s="72" t="s">
        <v>28</v>
      </c>
      <c r="F455" s="62">
        <f>VLOOKUP(A455,[1]基准价格!$A:$G,7,0)</f>
        <v>103.88</v>
      </c>
      <c r="G455" s="56">
        <f>SUMIF('2.报价结算清单'!$F$7:$F$679,$A455,'2.报价结算清单'!$L$7:$L$679)</f>
        <v>0</v>
      </c>
      <c r="H455" s="56">
        <f>SUMIF('2.报价结算清单'!$F$7:$F$679,$A455,'2.报价结算清单'!$N$7:$N$679)</f>
        <v>0</v>
      </c>
      <c r="I455" s="59">
        <f>SUMIF('2.报价结算清单'!$F$7:$F$679,A455,'2.报价结算清单'!$P$7:$P$679)</f>
        <v>0</v>
      </c>
    </row>
    <row r="456" spans="1:9" ht="28.5">
      <c r="A456" s="74" t="s">
        <v>442</v>
      </c>
      <c r="B456" s="72"/>
      <c r="C456" s="72" t="s">
        <v>1308</v>
      </c>
      <c r="D456" s="76" t="s">
        <v>1452</v>
      </c>
      <c r="E456" s="72" t="s">
        <v>31</v>
      </c>
      <c r="F456" s="62">
        <f>VLOOKUP(A456,[1]基准价格!$A:$G,7,0)</f>
        <v>265</v>
      </c>
      <c r="G456" s="56">
        <f>SUMIF('2.报价结算清单'!$F$7:$F$679,$A456,'2.报价结算清单'!$L$7:$L$679)</f>
        <v>0</v>
      </c>
      <c r="H456" s="56">
        <f>SUMIF('2.报价结算清单'!$F$7:$F$679,$A456,'2.报价结算清单'!$N$7:$N$679)</f>
        <v>0</v>
      </c>
      <c r="I456" s="59">
        <f>SUMIF('2.报价结算清单'!$F$7:$F$679,A456,'2.报价结算清单'!$P$7:$P$679)</f>
        <v>0</v>
      </c>
    </row>
    <row r="457" spans="1:9">
      <c r="A457" s="74" t="s">
        <v>443</v>
      </c>
      <c r="B457" s="72"/>
      <c r="C457" s="72" t="s">
        <v>1308</v>
      </c>
      <c r="D457" s="76" t="s">
        <v>1093</v>
      </c>
      <c r="E457" s="72" t="s">
        <v>31</v>
      </c>
      <c r="F457" s="62">
        <f>VLOOKUP(A457,[1]基准价格!$A:$G,7,0)</f>
        <v>477</v>
      </c>
      <c r="G457" s="56">
        <f>SUMIF('2.报价结算清单'!$F$7:$F$679,$A457,'2.报价结算清单'!$L$7:$L$679)</f>
        <v>0</v>
      </c>
      <c r="H457" s="56">
        <f>SUMIF('2.报价结算清单'!$F$7:$F$679,$A457,'2.报价结算清单'!$N$7:$N$679)</f>
        <v>0</v>
      </c>
      <c r="I457" s="59">
        <f>SUMIF('2.报价结算清单'!$F$7:$F$679,A457,'2.报价结算清单'!$P$7:$P$679)</f>
        <v>0</v>
      </c>
    </row>
    <row r="458" spans="1:9">
      <c r="A458" s="74" t="s">
        <v>444</v>
      </c>
      <c r="B458" s="72"/>
      <c r="C458" s="72" t="s">
        <v>1308</v>
      </c>
      <c r="D458" s="76" t="s">
        <v>1094</v>
      </c>
      <c r="E458" s="72" t="s">
        <v>31</v>
      </c>
      <c r="F458" s="62">
        <f>VLOOKUP(A458,[1]基准价格!$A:$G,7,0)</f>
        <v>1166</v>
      </c>
      <c r="G458" s="56">
        <f>SUMIF('2.报价结算清单'!$F$7:$F$679,$A458,'2.报价结算清单'!$L$7:$L$679)</f>
        <v>0</v>
      </c>
      <c r="H458" s="56">
        <f>SUMIF('2.报价结算清单'!$F$7:$F$679,$A458,'2.报价结算清单'!$N$7:$N$679)</f>
        <v>0</v>
      </c>
      <c r="I458" s="59">
        <f>SUMIF('2.报价结算清单'!$F$7:$F$679,A458,'2.报价结算清单'!$P$7:$P$679)</f>
        <v>0</v>
      </c>
    </row>
    <row r="459" spans="1:9">
      <c r="A459" s="74" t="s">
        <v>445</v>
      </c>
      <c r="B459" s="72"/>
      <c r="C459" s="72" t="s">
        <v>1308</v>
      </c>
      <c r="D459" s="76" t="s">
        <v>1095</v>
      </c>
      <c r="E459" s="72" t="s">
        <v>31</v>
      </c>
      <c r="F459" s="62">
        <f>VLOOKUP(A459,[1]基准价格!$A:$G,7,0)</f>
        <v>233.2</v>
      </c>
      <c r="G459" s="56">
        <f>SUMIF('2.报价结算清单'!$F$7:$F$679,$A459,'2.报价结算清单'!$L$7:$L$679)</f>
        <v>0</v>
      </c>
      <c r="H459" s="56">
        <f>SUMIF('2.报价结算清单'!$F$7:$F$679,$A459,'2.报价结算清单'!$N$7:$N$679)</f>
        <v>0</v>
      </c>
      <c r="I459" s="59">
        <f>SUMIF('2.报价结算清单'!$F$7:$F$679,A459,'2.报价结算清单'!$P$7:$P$679)</f>
        <v>0</v>
      </c>
    </row>
    <row r="460" spans="1:9">
      <c r="A460" s="74" t="s">
        <v>446</v>
      </c>
      <c r="B460" s="72"/>
      <c r="C460" s="72" t="s">
        <v>1308</v>
      </c>
      <c r="D460" s="76" t="s">
        <v>1096</v>
      </c>
      <c r="E460" s="72" t="s">
        <v>31</v>
      </c>
      <c r="F460" s="62">
        <f>VLOOKUP(A460,[1]基准价格!$A:$G,7,0)</f>
        <v>530</v>
      </c>
      <c r="G460" s="56">
        <f>SUMIF('2.报价结算清单'!$F$7:$F$679,$A460,'2.报价结算清单'!$L$7:$L$679)</f>
        <v>0</v>
      </c>
      <c r="H460" s="56">
        <f>SUMIF('2.报价结算清单'!$F$7:$F$679,$A460,'2.报价结算清单'!$N$7:$N$679)</f>
        <v>0</v>
      </c>
      <c r="I460" s="59">
        <f>SUMIF('2.报价结算清单'!$F$7:$F$679,A460,'2.报价结算清单'!$P$7:$P$679)</f>
        <v>0</v>
      </c>
    </row>
    <row r="461" spans="1:9">
      <c r="A461" s="74" t="s">
        <v>447</v>
      </c>
      <c r="B461" s="72"/>
      <c r="C461" s="72" t="s">
        <v>1308</v>
      </c>
      <c r="D461" s="76" t="s">
        <v>1097</v>
      </c>
      <c r="E461" s="72" t="s">
        <v>1215</v>
      </c>
      <c r="F461" s="62">
        <f>VLOOKUP(A461,[1]基准价格!$A:$G,7,0)</f>
        <v>530</v>
      </c>
      <c r="G461" s="56">
        <f>SUMIF('2.报价结算清单'!$F$7:$F$679,$A461,'2.报价结算清单'!$L$7:$L$679)</f>
        <v>0</v>
      </c>
      <c r="H461" s="56">
        <f>SUMIF('2.报价结算清单'!$F$7:$F$679,$A461,'2.报价结算清单'!$N$7:$N$679)</f>
        <v>0</v>
      </c>
      <c r="I461" s="59">
        <f>SUMIF('2.报价结算清单'!$F$7:$F$679,A461,'2.报价结算清单'!$P$7:$P$679)</f>
        <v>0</v>
      </c>
    </row>
    <row r="462" spans="1:9">
      <c r="A462" s="74" t="s">
        <v>448</v>
      </c>
      <c r="B462" s="72"/>
      <c r="C462" s="72" t="s">
        <v>1308</v>
      </c>
      <c r="D462" s="76" t="s">
        <v>1098</v>
      </c>
      <c r="E462" s="72" t="s">
        <v>1215</v>
      </c>
      <c r="F462" s="62">
        <f>VLOOKUP(A462,[1]基准价格!$A:$G,7,0)</f>
        <v>1908</v>
      </c>
      <c r="G462" s="56">
        <f>SUMIF('2.报价结算清单'!$F$7:$F$679,$A462,'2.报价结算清单'!$L$7:$L$679)</f>
        <v>0</v>
      </c>
      <c r="H462" s="56">
        <f>SUMIF('2.报价结算清单'!$F$7:$F$679,$A462,'2.报价结算清单'!$N$7:$N$679)</f>
        <v>0</v>
      </c>
      <c r="I462" s="59">
        <f>SUMIF('2.报价结算清单'!$F$7:$F$679,A462,'2.报价结算清单'!$P$7:$P$679)</f>
        <v>0</v>
      </c>
    </row>
    <row r="463" spans="1:9">
      <c r="A463" s="74" t="s">
        <v>449</v>
      </c>
      <c r="B463" s="72"/>
      <c r="C463" s="72" t="s">
        <v>1308</v>
      </c>
      <c r="D463" s="76" t="s">
        <v>1099</v>
      </c>
      <c r="E463" s="72" t="s">
        <v>1215</v>
      </c>
      <c r="F463" s="62">
        <f>VLOOKUP(A463,[1]基准价格!$A:$G,7,0)</f>
        <v>530</v>
      </c>
      <c r="G463" s="56">
        <f>SUMIF('2.报价结算清单'!$F$7:$F$679,$A463,'2.报价结算清单'!$L$7:$L$679)</f>
        <v>0</v>
      </c>
      <c r="H463" s="56">
        <f>SUMIF('2.报价结算清单'!$F$7:$F$679,$A463,'2.报价结算清单'!$N$7:$N$679)</f>
        <v>0</v>
      </c>
      <c r="I463" s="59">
        <f>SUMIF('2.报价结算清单'!$F$7:$F$679,A463,'2.报价结算清单'!$P$7:$P$679)</f>
        <v>0</v>
      </c>
    </row>
    <row r="464" spans="1:9">
      <c r="A464" s="74" t="s">
        <v>450</v>
      </c>
      <c r="B464" s="72"/>
      <c r="C464" s="72" t="s">
        <v>1308</v>
      </c>
      <c r="D464" s="76" t="s">
        <v>1100</v>
      </c>
      <c r="E464" s="72" t="s">
        <v>1215</v>
      </c>
      <c r="F464" s="62">
        <f>VLOOKUP(A464,[1]基准价格!$A:$G,7,0)</f>
        <v>174.9</v>
      </c>
      <c r="G464" s="56">
        <f>SUMIF('2.报价结算清单'!$F$7:$F$679,$A464,'2.报价结算清单'!$L$7:$L$679)</f>
        <v>0</v>
      </c>
      <c r="H464" s="56">
        <f>SUMIF('2.报价结算清单'!$F$7:$F$679,$A464,'2.报价结算清单'!$N$7:$N$679)</f>
        <v>0</v>
      </c>
      <c r="I464" s="59">
        <f>SUMIF('2.报价结算清单'!$F$7:$F$679,A464,'2.报价结算清单'!$P$7:$P$679)</f>
        <v>0</v>
      </c>
    </row>
    <row r="465" spans="1:9">
      <c r="A465" s="74" t="s">
        <v>451</v>
      </c>
      <c r="B465" s="72"/>
      <c r="C465" s="72" t="s">
        <v>1308</v>
      </c>
      <c r="D465" s="76" t="s">
        <v>1101</v>
      </c>
      <c r="E465" s="72" t="s">
        <v>1215</v>
      </c>
      <c r="F465" s="62">
        <f>VLOOKUP(A465,[1]基准价格!$A:$G,7,0)</f>
        <v>174.9</v>
      </c>
      <c r="G465" s="56">
        <f>SUMIF('2.报价结算清单'!$F$7:$F$679,$A465,'2.报价结算清单'!$L$7:$L$679)</f>
        <v>0</v>
      </c>
      <c r="H465" s="56">
        <f>SUMIF('2.报价结算清单'!$F$7:$F$679,$A465,'2.报价结算清单'!$N$7:$N$679)</f>
        <v>0</v>
      </c>
      <c r="I465" s="59">
        <f>SUMIF('2.报价结算清单'!$F$7:$F$679,A465,'2.报价结算清单'!$P$7:$P$679)</f>
        <v>0</v>
      </c>
    </row>
    <row r="466" spans="1:9">
      <c r="A466" s="74" t="s">
        <v>452</v>
      </c>
      <c r="B466" s="72"/>
      <c r="C466" s="72" t="s">
        <v>1308</v>
      </c>
      <c r="D466" s="76" t="s">
        <v>1102</v>
      </c>
      <c r="E466" s="72" t="s">
        <v>1215</v>
      </c>
      <c r="F466" s="62">
        <f>VLOOKUP(A466,[1]基准价格!$A:$G,7,0)</f>
        <v>424</v>
      </c>
      <c r="G466" s="56">
        <f>SUMIF('2.报价结算清单'!$F$7:$F$679,$A466,'2.报价结算清单'!$L$7:$L$679)</f>
        <v>0</v>
      </c>
      <c r="H466" s="56">
        <f>SUMIF('2.报价结算清单'!$F$7:$F$679,$A466,'2.报价结算清单'!$N$7:$N$679)</f>
        <v>0</v>
      </c>
      <c r="I466" s="59">
        <f>SUMIF('2.报价结算清单'!$F$7:$F$679,A466,'2.报价结算清单'!$P$7:$P$679)</f>
        <v>0</v>
      </c>
    </row>
    <row r="467" spans="1:9">
      <c r="A467" s="74" t="s">
        <v>453</v>
      </c>
      <c r="B467" s="72"/>
      <c r="C467" s="72" t="s">
        <v>1308</v>
      </c>
      <c r="D467" s="76" t="s">
        <v>1103</v>
      </c>
      <c r="E467" s="72" t="s">
        <v>1215</v>
      </c>
      <c r="F467" s="62">
        <f>VLOOKUP(A467,[1]基准价格!$A:$G,7,0)</f>
        <v>477</v>
      </c>
      <c r="G467" s="56">
        <f>SUMIF('2.报价结算清单'!$F$7:$F$679,$A467,'2.报价结算清单'!$L$7:$L$679)</f>
        <v>0</v>
      </c>
      <c r="H467" s="56">
        <f>SUMIF('2.报价结算清单'!$F$7:$F$679,$A467,'2.报价结算清单'!$N$7:$N$679)</f>
        <v>0</v>
      </c>
      <c r="I467" s="59">
        <f>SUMIF('2.报价结算清单'!$F$7:$F$679,A467,'2.报价结算清单'!$P$7:$P$679)</f>
        <v>0</v>
      </c>
    </row>
    <row r="468" spans="1:9">
      <c r="A468" s="74" t="s">
        <v>454</v>
      </c>
      <c r="B468" s="72"/>
      <c r="C468" s="72" t="s">
        <v>1308</v>
      </c>
      <c r="D468" s="76" t="s">
        <v>1104</v>
      </c>
      <c r="E468" s="72" t="s">
        <v>1215</v>
      </c>
      <c r="F468" s="62">
        <f>VLOOKUP(A468,[1]基准价格!$A:$G,7,0)</f>
        <v>4770</v>
      </c>
      <c r="G468" s="56">
        <f>SUMIF('2.报价结算清单'!$F$7:$F$679,$A468,'2.报价结算清单'!$L$7:$L$679)</f>
        <v>0</v>
      </c>
      <c r="H468" s="56">
        <f>SUMIF('2.报价结算清单'!$F$7:$F$679,$A468,'2.报价结算清单'!$N$7:$N$679)</f>
        <v>0</v>
      </c>
      <c r="I468" s="59">
        <f>SUMIF('2.报价结算清单'!$F$7:$F$679,A468,'2.报价结算清单'!$P$7:$P$679)</f>
        <v>0</v>
      </c>
    </row>
    <row r="469" spans="1:9">
      <c r="A469" s="74" t="s">
        <v>511</v>
      </c>
      <c r="B469" s="72"/>
      <c r="C469" s="72" t="s">
        <v>1308</v>
      </c>
      <c r="D469" s="76" t="s">
        <v>1105</v>
      </c>
      <c r="E469" s="72" t="s">
        <v>1215</v>
      </c>
      <c r="F469" s="62">
        <f>VLOOKUP(A469,[1]基准价格!$A:$G,7,0)</f>
        <v>1908</v>
      </c>
      <c r="G469" s="56">
        <f>SUMIF('2.报价结算清单'!$F$7:$F$679,$A469,'2.报价结算清单'!$L$7:$L$679)</f>
        <v>0</v>
      </c>
      <c r="H469" s="56">
        <f>SUMIF('2.报价结算清单'!$F$7:$F$679,$A469,'2.报价结算清单'!$N$7:$N$679)</f>
        <v>0</v>
      </c>
      <c r="I469" s="59">
        <f>SUMIF('2.报价结算清单'!$F$7:$F$679,A469,'2.报价结算清单'!$P$7:$P$679)</f>
        <v>0</v>
      </c>
    </row>
    <row r="470" spans="1:9">
      <c r="A470" s="74" t="s">
        <v>512</v>
      </c>
      <c r="B470" s="72"/>
      <c r="C470" s="72" t="s">
        <v>1308</v>
      </c>
      <c r="D470" s="76" t="s">
        <v>1106</v>
      </c>
      <c r="E470" s="72" t="s">
        <v>1216</v>
      </c>
      <c r="F470" s="62">
        <f>VLOOKUP(A470,[1]基准价格!$A:$G,7,0)</f>
        <v>4028</v>
      </c>
      <c r="G470" s="56">
        <f>SUMIF('2.报价结算清单'!$F$7:$F$679,$A470,'2.报价结算清单'!$L$7:$L$679)</f>
        <v>0</v>
      </c>
      <c r="H470" s="56">
        <f>SUMIF('2.报价结算清单'!$F$7:$F$679,$A470,'2.报价结算清单'!$N$7:$N$679)</f>
        <v>0</v>
      </c>
      <c r="I470" s="59">
        <f>SUMIF('2.报价结算清单'!$F$7:$F$679,A470,'2.报价结算清单'!$P$7:$P$679)</f>
        <v>0</v>
      </c>
    </row>
    <row r="471" spans="1:9" ht="28.5">
      <c r="A471" s="74" t="s">
        <v>513</v>
      </c>
      <c r="B471" s="72"/>
      <c r="C471" s="72" t="s">
        <v>1308</v>
      </c>
      <c r="D471" s="76" t="s">
        <v>1107</v>
      </c>
      <c r="E471" s="72" t="s">
        <v>1216</v>
      </c>
      <c r="F471" s="62">
        <f>VLOOKUP(A471,[1]基准价格!$A:$G,7,0)</f>
        <v>4500</v>
      </c>
      <c r="G471" s="56">
        <f>SUMIF('2.报价结算清单'!$F$7:$F$679,$A471,'2.报价结算清单'!$L$7:$L$679)</f>
        <v>0</v>
      </c>
      <c r="H471" s="56">
        <f>SUMIF('2.报价结算清单'!$F$7:$F$679,$A471,'2.报价结算清单'!$N$7:$N$679)</f>
        <v>0</v>
      </c>
      <c r="I471" s="59">
        <f>SUMIF('2.报价结算清单'!$F$7:$F$679,A471,'2.报价结算清单'!$P$7:$P$679)</f>
        <v>0</v>
      </c>
    </row>
    <row r="472" spans="1:9">
      <c r="A472" s="74" t="s">
        <v>514</v>
      </c>
      <c r="B472" s="72"/>
      <c r="C472" s="72" t="s">
        <v>1308</v>
      </c>
      <c r="D472" s="76" t="s">
        <v>1108</v>
      </c>
      <c r="E472" s="72" t="s">
        <v>1216</v>
      </c>
      <c r="F472" s="62">
        <f>VLOOKUP(A472,[1]基准价格!$A:$G,7,0)</f>
        <v>6000</v>
      </c>
      <c r="G472" s="56">
        <f>SUMIF('2.报价结算清单'!$F$7:$F$679,$A472,'2.报价结算清单'!$L$7:$L$679)</f>
        <v>0</v>
      </c>
      <c r="H472" s="56">
        <f>SUMIF('2.报价结算清单'!$F$7:$F$679,$A472,'2.报价结算清单'!$N$7:$N$679)</f>
        <v>0</v>
      </c>
      <c r="I472" s="59">
        <f>SUMIF('2.报价结算清单'!$F$7:$F$679,A472,'2.报价结算清单'!$P$7:$P$679)</f>
        <v>0</v>
      </c>
    </row>
    <row r="473" spans="1:9" ht="28.5">
      <c r="A473" s="74" t="s">
        <v>515</v>
      </c>
      <c r="B473" s="72"/>
      <c r="C473" s="72" t="s">
        <v>1308</v>
      </c>
      <c r="D473" s="76" t="s">
        <v>1109</v>
      </c>
      <c r="E473" s="72" t="s">
        <v>1215</v>
      </c>
      <c r="F473" s="62">
        <f>VLOOKUP(A473,[1]基准价格!$A:$G,7,0)</f>
        <v>3180</v>
      </c>
      <c r="G473" s="56">
        <f>SUMIF('2.报价结算清单'!$F$7:$F$679,$A473,'2.报价结算清单'!$L$7:$L$679)</f>
        <v>0</v>
      </c>
      <c r="H473" s="56">
        <f>SUMIF('2.报价结算清单'!$F$7:$F$679,$A473,'2.报价结算清单'!$N$7:$N$679)</f>
        <v>0</v>
      </c>
      <c r="I473" s="59">
        <f>SUMIF('2.报价结算清单'!$F$7:$F$679,A473,'2.报价结算清单'!$P$7:$P$679)</f>
        <v>0</v>
      </c>
    </row>
    <row r="474" spans="1:9" ht="28.5">
      <c r="A474" s="74" t="s">
        <v>516</v>
      </c>
      <c r="B474" s="72"/>
      <c r="C474" s="72" t="s">
        <v>1308</v>
      </c>
      <c r="D474" s="76" t="s">
        <v>1110</v>
      </c>
      <c r="E474" s="72" t="s">
        <v>1215</v>
      </c>
      <c r="F474" s="62">
        <f>VLOOKUP(A474,[1]基准价格!$A:$G,7,0)</f>
        <v>4750</v>
      </c>
      <c r="G474" s="56">
        <f>SUMIF('2.报价结算清单'!$F$7:$F$679,$A474,'2.报价结算清单'!$L$7:$L$679)</f>
        <v>0</v>
      </c>
      <c r="H474" s="56">
        <f>SUMIF('2.报价结算清单'!$F$7:$F$679,$A474,'2.报价结算清单'!$N$7:$N$679)</f>
        <v>0</v>
      </c>
      <c r="I474" s="59">
        <f>SUMIF('2.报价结算清单'!$F$7:$F$679,A474,'2.报价结算清单'!$P$7:$P$679)</f>
        <v>0</v>
      </c>
    </row>
    <row r="475" spans="1:9">
      <c r="A475" s="74" t="s">
        <v>526</v>
      </c>
      <c r="B475" s="72"/>
      <c r="C475" s="72" t="s">
        <v>1308</v>
      </c>
      <c r="D475" s="76" t="s">
        <v>1111</v>
      </c>
      <c r="E475" s="72" t="s">
        <v>1215</v>
      </c>
      <c r="F475" s="62">
        <f>VLOOKUP(A475,[1]基准价格!$A:$G,7,0)</f>
        <v>153.69999999999999</v>
      </c>
      <c r="G475" s="56">
        <f>SUMIF('2.报价结算清单'!$F$7:$F$679,$A475,'2.报价结算清单'!$L$7:$L$679)</f>
        <v>0</v>
      </c>
      <c r="H475" s="56">
        <f>SUMIF('2.报价结算清单'!$F$7:$F$679,$A475,'2.报价结算清单'!$N$7:$N$679)</f>
        <v>0</v>
      </c>
      <c r="I475" s="59">
        <f>SUMIF('2.报价结算清单'!$F$7:$F$679,A475,'2.报价结算清单'!$P$7:$P$679)</f>
        <v>0</v>
      </c>
    </row>
    <row r="476" spans="1:9" ht="28.5">
      <c r="A476" s="74" t="s">
        <v>527</v>
      </c>
      <c r="B476" s="72"/>
      <c r="C476" s="72" t="s">
        <v>1308</v>
      </c>
      <c r="D476" s="76" t="s">
        <v>1112</v>
      </c>
      <c r="E476" s="72" t="s">
        <v>1215</v>
      </c>
      <c r="F476" s="62">
        <f>VLOOKUP(A476,[1]基准价格!$A:$G,7,0)</f>
        <v>700</v>
      </c>
      <c r="G476" s="56">
        <f>SUMIF('2.报价结算清单'!$F$7:$F$679,$A476,'2.报价结算清单'!$L$7:$L$679)</f>
        <v>0</v>
      </c>
      <c r="H476" s="56">
        <f>SUMIF('2.报价结算清单'!$F$7:$F$679,$A476,'2.报价结算清单'!$N$7:$N$679)</f>
        <v>0</v>
      </c>
      <c r="I476" s="59">
        <f>SUMIF('2.报价结算清单'!$F$7:$F$679,A476,'2.报价结算清单'!$P$7:$P$679)</f>
        <v>0</v>
      </c>
    </row>
    <row r="477" spans="1:9">
      <c r="A477" s="74" t="s">
        <v>528</v>
      </c>
      <c r="B477" s="72"/>
      <c r="C477" s="72" t="s">
        <v>1308</v>
      </c>
      <c r="D477" s="76" t="s">
        <v>1113</v>
      </c>
      <c r="E477" s="72" t="s">
        <v>1215</v>
      </c>
      <c r="F477" s="62">
        <f>VLOOKUP(A477,[1]基准价格!$A:$G,7,0)</f>
        <v>318</v>
      </c>
      <c r="G477" s="56">
        <f>SUMIF('2.报价结算清单'!$F$7:$F$679,$A477,'2.报价结算清单'!$L$7:$L$679)</f>
        <v>0</v>
      </c>
      <c r="H477" s="56">
        <f>SUMIF('2.报价结算清单'!$F$7:$F$679,$A477,'2.报价结算清单'!$N$7:$N$679)</f>
        <v>0</v>
      </c>
      <c r="I477" s="59">
        <f>SUMIF('2.报价结算清单'!$F$7:$F$679,A477,'2.报价结算清单'!$P$7:$P$679)</f>
        <v>0</v>
      </c>
    </row>
    <row r="478" spans="1:9">
      <c r="A478" s="74" t="s">
        <v>529</v>
      </c>
      <c r="B478" s="72"/>
      <c r="C478" s="72" t="s">
        <v>1308</v>
      </c>
      <c r="D478" s="76" t="s">
        <v>1114</v>
      </c>
      <c r="E478" s="72" t="s">
        <v>1215</v>
      </c>
      <c r="F478" s="62">
        <f>VLOOKUP(A478,[1]基准价格!$A:$G,7,0)</f>
        <v>1590</v>
      </c>
      <c r="G478" s="56">
        <f>SUMIF('2.报价结算清单'!$F$7:$F$679,$A478,'2.报价结算清单'!$L$7:$L$679)</f>
        <v>0</v>
      </c>
      <c r="H478" s="56">
        <f>SUMIF('2.报价结算清单'!$F$7:$F$679,$A478,'2.报价结算清单'!$N$7:$N$679)</f>
        <v>0</v>
      </c>
      <c r="I478" s="59">
        <f>SUMIF('2.报价结算清单'!$F$7:$F$679,A478,'2.报价结算清单'!$P$7:$P$679)</f>
        <v>0</v>
      </c>
    </row>
    <row r="479" spans="1:9">
      <c r="A479" s="74" t="s">
        <v>530</v>
      </c>
      <c r="B479" s="72"/>
      <c r="C479" s="72" t="s">
        <v>1308</v>
      </c>
      <c r="D479" s="76" t="s">
        <v>1115</v>
      </c>
      <c r="E479" s="72" t="s">
        <v>38</v>
      </c>
      <c r="F479" s="62">
        <f>VLOOKUP(A479,[1]基准价格!$A:$G,7,0)</f>
        <v>0.11</v>
      </c>
      <c r="G479" s="56">
        <f>SUMIF('2.报价结算清单'!$F$7:$F$679,$A479,'2.报价结算清单'!$L$7:$L$679)</f>
        <v>0</v>
      </c>
      <c r="H479" s="56">
        <f>SUMIF('2.报价结算清单'!$F$7:$F$679,$A479,'2.报价结算清单'!$N$7:$N$679)</f>
        <v>0</v>
      </c>
      <c r="I479" s="59">
        <f>SUMIF('2.报价结算清单'!$F$7:$F$679,A479,'2.报价结算清单'!$P$7:$P$679)</f>
        <v>0</v>
      </c>
    </row>
    <row r="480" spans="1:9" ht="28.5">
      <c r="A480" s="74" t="s">
        <v>611</v>
      </c>
      <c r="B480" s="72"/>
      <c r="C480" s="72" t="s">
        <v>1453</v>
      </c>
      <c r="D480" s="76" t="s">
        <v>1116</v>
      </c>
      <c r="E480" s="72" t="s">
        <v>548</v>
      </c>
      <c r="F480" s="62">
        <f>VLOOKUP(A480,[1]基准价格!$A:$G,7,0)</f>
        <v>416.67</v>
      </c>
      <c r="G480" s="56">
        <f>SUMIF('2.报价结算清单'!$F$7:$F$679,$A480,'2.报价结算清单'!$L$7:$L$679)</f>
        <v>0</v>
      </c>
      <c r="H480" s="56">
        <f>SUMIF('2.报价结算清单'!$F$7:$F$679,$A480,'2.报价结算清单'!$N$7:$N$679)</f>
        <v>0</v>
      </c>
      <c r="I480" s="59">
        <f>SUMIF('2.报价结算清单'!$F$7:$F$679,A480,'2.报价结算清单'!$P$7:$P$679)</f>
        <v>0</v>
      </c>
    </row>
    <row r="481" spans="1:9" ht="28.5">
      <c r="A481" s="74" t="s">
        <v>455</v>
      </c>
      <c r="B481" s="72"/>
      <c r="C481" s="72" t="s">
        <v>1453</v>
      </c>
      <c r="D481" s="76" t="s">
        <v>1117</v>
      </c>
      <c r="E481" s="72" t="s">
        <v>548</v>
      </c>
      <c r="F481" s="62">
        <f>VLOOKUP(A481,[1]基准价格!$A:$G,7,0)</f>
        <v>1060</v>
      </c>
      <c r="G481" s="56">
        <f>SUMIF('2.报价结算清单'!$F$7:$F$679,$A481,'2.报价结算清单'!$L$7:$L$679)</f>
        <v>0</v>
      </c>
      <c r="H481" s="56">
        <f>SUMIF('2.报价结算清单'!$F$7:$F$679,$A481,'2.报价结算清单'!$N$7:$N$679)</f>
        <v>0</v>
      </c>
      <c r="I481" s="59">
        <f>SUMIF('2.报价结算清单'!$F$7:$F$679,A481,'2.报价结算清单'!$P$7:$P$679)</f>
        <v>0</v>
      </c>
    </row>
    <row r="482" spans="1:9" ht="28.5">
      <c r="A482" s="74" t="s">
        <v>456</v>
      </c>
      <c r="B482" s="72"/>
      <c r="C482" s="72" t="s">
        <v>1453</v>
      </c>
      <c r="D482" s="76" t="s">
        <v>1118</v>
      </c>
      <c r="E482" s="72" t="s">
        <v>548</v>
      </c>
      <c r="F482" s="62">
        <f>VLOOKUP(A482,[1]基准价格!$A:$G,7,0)</f>
        <v>516.66999999999996</v>
      </c>
      <c r="G482" s="56">
        <f>SUMIF('2.报价结算清单'!$F$7:$F$679,$A482,'2.报价结算清单'!$L$7:$L$679)</f>
        <v>0</v>
      </c>
      <c r="H482" s="56">
        <f>SUMIF('2.报价结算清单'!$F$7:$F$679,$A482,'2.报价结算清单'!$N$7:$N$679)</f>
        <v>0</v>
      </c>
      <c r="I482" s="59">
        <f>SUMIF('2.报价结算清单'!$F$7:$F$679,A482,'2.报价结算清单'!$P$7:$P$679)</f>
        <v>0</v>
      </c>
    </row>
    <row r="483" spans="1:9" ht="28.5">
      <c r="A483" s="74" t="s">
        <v>457</v>
      </c>
      <c r="B483" s="72"/>
      <c r="C483" s="72" t="s">
        <v>1453</v>
      </c>
      <c r="D483" s="76" t="s">
        <v>1119</v>
      </c>
      <c r="E483" s="72" t="s">
        <v>548</v>
      </c>
      <c r="F483" s="62">
        <f>VLOOKUP(A483,[1]基准价格!$A:$G,7,0)</f>
        <v>1484</v>
      </c>
      <c r="G483" s="56">
        <f>SUMIF('2.报价结算清单'!$F$7:$F$679,$A483,'2.报价结算清单'!$L$7:$L$679)</f>
        <v>0</v>
      </c>
      <c r="H483" s="56">
        <f>SUMIF('2.报价结算清单'!$F$7:$F$679,$A483,'2.报价结算清单'!$N$7:$N$679)</f>
        <v>0</v>
      </c>
      <c r="I483" s="59">
        <f>SUMIF('2.报价结算清单'!$F$7:$F$679,A483,'2.报价结算清单'!$P$7:$P$679)</f>
        <v>0</v>
      </c>
    </row>
    <row r="484" spans="1:9" ht="28.5">
      <c r="A484" s="74" t="s">
        <v>458</v>
      </c>
      <c r="B484" s="72"/>
      <c r="C484" s="72" t="s">
        <v>1453</v>
      </c>
      <c r="D484" s="76" t="s">
        <v>1120</v>
      </c>
      <c r="E484" s="72" t="s">
        <v>44</v>
      </c>
      <c r="F484" s="62">
        <f>VLOOKUP(A484,[1]基准价格!$A:$G,7,0)</f>
        <v>260</v>
      </c>
      <c r="G484" s="56">
        <f>SUMIF('2.报价结算清单'!$F$7:$F$679,$A484,'2.报价结算清单'!$L$7:$L$679)</f>
        <v>0</v>
      </c>
      <c r="H484" s="56">
        <f>SUMIF('2.报价结算清单'!$F$7:$F$679,$A484,'2.报价结算清单'!$N$7:$N$679)</f>
        <v>0</v>
      </c>
      <c r="I484" s="59">
        <f>SUMIF('2.报价结算清单'!$F$7:$F$679,A484,'2.报价结算清单'!$P$7:$P$679)</f>
        <v>0</v>
      </c>
    </row>
    <row r="485" spans="1:9" ht="28.5">
      <c r="A485" s="74" t="s">
        <v>459</v>
      </c>
      <c r="B485" s="72"/>
      <c r="C485" s="72" t="s">
        <v>1453</v>
      </c>
      <c r="D485" s="76" t="s">
        <v>1121</v>
      </c>
      <c r="E485" s="72" t="s">
        <v>38</v>
      </c>
      <c r="F485" s="62">
        <f>VLOOKUP(A485,[1]基准价格!$A:$G,7,0)</f>
        <v>2400</v>
      </c>
      <c r="G485" s="56">
        <f>SUMIF('2.报价结算清单'!$F$7:$F$679,$A485,'2.报价结算清单'!$L$7:$L$679)</f>
        <v>0</v>
      </c>
      <c r="H485" s="56">
        <f>SUMIF('2.报价结算清单'!$F$7:$F$679,$A485,'2.报价结算清单'!$N$7:$N$679)</f>
        <v>0</v>
      </c>
      <c r="I485" s="59">
        <f>SUMIF('2.报价结算清单'!$F$7:$F$679,A485,'2.报价结算清单'!$P$7:$P$679)</f>
        <v>0</v>
      </c>
    </row>
    <row r="486" spans="1:9" ht="28.5">
      <c r="A486" s="74" t="s">
        <v>460</v>
      </c>
      <c r="B486" s="72"/>
      <c r="C486" s="72" t="s">
        <v>1453</v>
      </c>
      <c r="D486" s="76" t="s">
        <v>1122</v>
      </c>
      <c r="E486" s="72" t="s">
        <v>38</v>
      </c>
      <c r="F486" s="62">
        <f>VLOOKUP(A486,[1]基准价格!$A:$G,7,0)</f>
        <v>3180</v>
      </c>
      <c r="G486" s="56">
        <f>SUMIF('2.报价结算清单'!$F$7:$F$679,$A486,'2.报价结算清单'!$L$7:$L$679)</f>
        <v>0</v>
      </c>
      <c r="H486" s="56">
        <f>SUMIF('2.报价结算清单'!$F$7:$F$679,$A486,'2.报价结算清单'!$N$7:$N$679)</f>
        <v>0</v>
      </c>
      <c r="I486" s="59">
        <f>SUMIF('2.报价结算清单'!$F$7:$F$679,A486,'2.报价结算清单'!$P$7:$P$679)</f>
        <v>0</v>
      </c>
    </row>
    <row r="487" spans="1:9" ht="28.5">
      <c r="A487" s="74" t="s">
        <v>461</v>
      </c>
      <c r="B487" s="72"/>
      <c r="C487" s="72" t="s">
        <v>1453</v>
      </c>
      <c r="D487" s="76" t="s">
        <v>1123</v>
      </c>
      <c r="E487" s="72" t="s">
        <v>548</v>
      </c>
      <c r="F487" s="62">
        <f>VLOOKUP(A487,[1]基准价格!$A:$G,7,0)</f>
        <v>750</v>
      </c>
      <c r="G487" s="56">
        <f>SUMIF('2.报价结算清单'!$F$7:$F$679,$A487,'2.报价结算清单'!$L$7:$L$679)</f>
        <v>0</v>
      </c>
      <c r="H487" s="56">
        <f>SUMIF('2.报价结算清单'!$F$7:$F$679,$A487,'2.报价结算清单'!$N$7:$N$679)</f>
        <v>0</v>
      </c>
      <c r="I487" s="59">
        <f>SUMIF('2.报价结算清单'!$F$7:$F$679,A487,'2.报价结算清单'!$P$7:$P$679)</f>
        <v>0</v>
      </c>
    </row>
    <row r="488" spans="1:9">
      <c r="A488" s="74" t="s">
        <v>462</v>
      </c>
      <c r="B488" s="72"/>
      <c r="C488" s="72" t="s">
        <v>1453</v>
      </c>
      <c r="D488" s="76" t="s">
        <v>1124</v>
      </c>
      <c r="E488" s="72" t="s">
        <v>548</v>
      </c>
      <c r="F488" s="62">
        <f>VLOOKUP(A488,[1]基准价格!$A:$G,7,0)</f>
        <v>2968</v>
      </c>
      <c r="G488" s="56">
        <f>SUMIF('2.报价结算清单'!$F$7:$F$679,$A488,'2.报价结算清单'!$L$7:$L$679)</f>
        <v>0</v>
      </c>
      <c r="H488" s="56">
        <f>SUMIF('2.报价结算清单'!$F$7:$F$679,$A488,'2.报价结算清单'!$N$7:$N$679)</f>
        <v>0</v>
      </c>
      <c r="I488" s="59">
        <f>SUMIF('2.报价结算清单'!$F$7:$F$679,A488,'2.报价结算清单'!$P$7:$P$679)</f>
        <v>0</v>
      </c>
    </row>
    <row r="489" spans="1:9" ht="28.5">
      <c r="A489" s="74" t="s">
        <v>463</v>
      </c>
      <c r="B489" s="72"/>
      <c r="C489" s="72" t="s">
        <v>1453</v>
      </c>
      <c r="D489" s="76" t="s">
        <v>1125</v>
      </c>
      <c r="E489" s="72" t="s">
        <v>548</v>
      </c>
      <c r="F489" s="62">
        <f>VLOOKUP(A489,[1]基准价格!$A:$G,7,0)</f>
        <v>3561.6</v>
      </c>
      <c r="G489" s="56">
        <f>SUMIF('2.报价结算清单'!$F$7:$F$679,$A489,'2.报价结算清单'!$L$7:$L$679)</f>
        <v>0</v>
      </c>
      <c r="H489" s="56">
        <f>SUMIF('2.报价结算清单'!$F$7:$F$679,$A489,'2.报价结算清单'!$N$7:$N$679)</f>
        <v>0</v>
      </c>
      <c r="I489" s="59">
        <f>SUMIF('2.报价结算清单'!$F$7:$F$679,A489,'2.报价结算清单'!$P$7:$P$679)</f>
        <v>0</v>
      </c>
    </row>
    <row r="490" spans="1:9" ht="42.75">
      <c r="A490" s="74" t="s">
        <v>464</v>
      </c>
      <c r="B490" s="72"/>
      <c r="C490" s="72" t="s">
        <v>1453</v>
      </c>
      <c r="D490" s="76" t="s">
        <v>1126</v>
      </c>
      <c r="E490" s="72" t="s">
        <v>1217</v>
      </c>
      <c r="F490" s="62">
        <f>VLOOKUP(A490,[1]基准价格!$A:$G,7,0)</f>
        <v>2200</v>
      </c>
      <c r="G490" s="56">
        <f>SUMIF('2.报价结算清单'!$F$7:$F$679,$A490,'2.报价结算清单'!$L$7:$L$679)</f>
        <v>0</v>
      </c>
      <c r="H490" s="56">
        <f>SUMIF('2.报价结算清单'!$F$7:$F$679,$A490,'2.报价结算清单'!$N$7:$N$679)</f>
        <v>0</v>
      </c>
      <c r="I490" s="59">
        <f>SUMIF('2.报价结算清单'!$F$7:$F$679,A490,'2.报价结算清单'!$P$7:$P$679)</f>
        <v>0</v>
      </c>
    </row>
    <row r="491" spans="1:9" ht="28.5">
      <c r="A491" s="74" t="s">
        <v>465</v>
      </c>
      <c r="B491" s="72"/>
      <c r="C491" s="72" t="s">
        <v>1453</v>
      </c>
      <c r="D491" s="76" t="s">
        <v>1127</v>
      </c>
      <c r="E491" s="72" t="s">
        <v>1217</v>
      </c>
      <c r="F491" s="62">
        <f>VLOOKUP(A491,[1]基准价格!$A:$G,7,0)</f>
        <v>2066.67</v>
      </c>
      <c r="G491" s="56">
        <f>SUMIF('2.报价结算清单'!$F$7:$F$679,$A491,'2.报价结算清单'!$L$7:$L$679)</f>
        <v>0</v>
      </c>
      <c r="H491" s="56">
        <f>SUMIF('2.报价结算清单'!$F$7:$F$679,$A491,'2.报价结算清单'!$N$7:$N$679)</f>
        <v>0</v>
      </c>
      <c r="I491" s="59">
        <f>SUMIF('2.报价结算清单'!$F$7:$F$679,A491,'2.报价结算清单'!$P$7:$P$679)</f>
        <v>0</v>
      </c>
    </row>
    <row r="492" spans="1:9" ht="42.75">
      <c r="A492" s="74" t="s">
        <v>466</v>
      </c>
      <c r="B492" s="72"/>
      <c r="C492" s="72" t="s">
        <v>1453</v>
      </c>
      <c r="D492" s="76" t="s">
        <v>1128</v>
      </c>
      <c r="E492" s="72" t="s">
        <v>1217</v>
      </c>
      <c r="F492" s="62">
        <f>VLOOKUP(A492,[1]基准价格!$A:$G,7,0)</f>
        <v>2438</v>
      </c>
      <c r="G492" s="56">
        <f>SUMIF('2.报价结算清单'!$F$7:$F$679,$A492,'2.报价结算清单'!$L$7:$L$679)</f>
        <v>0</v>
      </c>
      <c r="H492" s="56">
        <f>SUMIF('2.报价结算清单'!$F$7:$F$679,$A492,'2.报价结算清单'!$N$7:$N$679)</f>
        <v>0</v>
      </c>
      <c r="I492" s="59">
        <f>SUMIF('2.报价结算清单'!$F$7:$F$679,A492,'2.报价结算清单'!$P$7:$P$679)</f>
        <v>0</v>
      </c>
    </row>
    <row r="493" spans="1:9" ht="28.5">
      <c r="A493" s="74" t="s">
        <v>467</v>
      </c>
      <c r="B493" s="72"/>
      <c r="C493" s="72" t="s">
        <v>1453</v>
      </c>
      <c r="D493" s="76" t="s">
        <v>1129</v>
      </c>
      <c r="E493" s="72" t="s">
        <v>1217</v>
      </c>
      <c r="F493" s="62">
        <f>VLOOKUP(A493,[1]基准价格!$A:$G,7,0)</f>
        <v>3498</v>
      </c>
      <c r="G493" s="56">
        <f>SUMIF('2.报价结算清单'!$F$7:$F$679,$A493,'2.报价结算清单'!$L$7:$L$679)</f>
        <v>0</v>
      </c>
      <c r="H493" s="56">
        <f>SUMIF('2.报价结算清单'!$F$7:$F$679,$A493,'2.报价结算清单'!$N$7:$N$679)</f>
        <v>0</v>
      </c>
      <c r="I493" s="59">
        <f>SUMIF('2.报价结算清单'!$F$7:$F$679,A493,'2.报价结算清单'!$P$7:$P$679)</f>
        <v>0</v>
      </c>
    </row>
    <row r="494" spans="1:9" ht="28.5">
      <c r="A494" s="74" t="s">
        <v>468</v>
      </c>
      <c r="B494" s="72"/>
      <c r="C494" s="72" t="s">
        <v>1453</v>
      </c>
      <c r="D494" s="76" t="s">
        <v>1130</v>
      </c>
      <c r="E494" s="72" t="s">
        <v>1217</v>
      </c>
      <c r="F494" s="62">
        <f>VLOOKUP(A494,[1]基准价格!$A:$G,7,0)</f>
        <v>1500</v>
      </c>
      <c r="G494" s="56">
        <f>SUMIF('2.报价结算清单'!$F$7:$F$679,$A494,'2.报价结算清单'!$L$7:$L$679)</f>
        <v>0</v>
      </c>
      <c r="H494" s="56">
        <f>SUMIF('2.报价结算清单'!$F$7:$F$679,$A494,'2.报价结算清单'!$N$7:$N$679)</f>
        <v>0</v>
      </c>
      <c r="I494" s="59">
        <f>SUMIF('2.报价结算清单'!$F$7:$F$679,A494,'2.报价结算清单'!$P$7:$P$679)</f>
        <v>0</v>
      </c>
    </row>
    <row r="495" spans="1:9" ht="42.75">
      <c r="A495" s="74" t="s">
        <v>469</v>
      </c>
      <c r="B495" s="72"/>
      <c r="C495" s="72" t="s">
        <v>1453</v>
      </c>
      <c r="D495" s="76" t="s">
        <v>1131</v>
      </c>
      <c r="E495" s="72" t="s">
        <v>1217</v>
      </c>
      <c r="F495" s="62">
        <f>VLOOKUP(A495,[1]基准价格!$A:$G,7,0)</f>
        <v>3498.33</v>
      </c>
      <c r="G495" s="56">
        <f>SUMIF('2.报价结算清单'!$F$7:$F$679,$A495,'2.报价结算清单'!$L$7:$L$679)</f>
        <v>7</v>
      </c>
      <c r="H495" s="56">
        <f>SUMIF('2.报价结算清单'!$F$7:$F$679,$A495,'2.报价结算清单'!$N$7:$N$679)</f>
        <v>8</v>
      </c>
      <c r="I495" s="59">
        <f>SUMIF('2.报价结算清单'!$F$7:$F$679,A495,'2.报价结算清单'!$P$7:$P$679)</f>
        <v>118943.22</v>
      </c>
    </row>
    <row r="496" spans="1:9" ht="28.5">
      <c r="A496" s="74" t="s">
        <v>470</v>
      </c>
      <c r="B496" s="72"/>
      <c r="C496" s="72" t="s">
        <v>1453</v>
      </c>
      <c r="D496" s="76" t="s">
        <v>1132</v>
      </c>
      <c r="E496" s="72" t="s">
        <v>544</v>
      </c>
      <c r="F496" s="62">
        <f>VLOOKUP(A496,[1]基准价格!$A:$G,7,0)</f>
        <v>3500</v>
      </c>
      <c r="G496" s="56">
        <f>SUMIF('2.报价结算清单'!$F$7:$F$679,$A496,'2.报价结算清单'!$L$7:$L$679)</f>
        <v>0</v>
      </c>
      <c r="H496" s="56">
        <f>SUMIF('2.报价结算清单'!$F$7:$F$679,$A496,'2.报价结算清单'!$N$7:$N$679)</f>
        <v>0</v>
      </c>
      <c r="I496" s="59">
        <f>SUMIF('2.报价结算清单'!$F$7:$F$679,A496,'2.报价结算清单'!$P$7:$P$679)</f>
        <v>0</v>
      </c>
    </row>
    <row r="497" spans="1:9" ht="28.5">
      <c r="A497" s="74" t="s">
        <v>471</v>
      </c>
      <c r="B497" s="72"/>
      <c r="C497" s="72" t="s">
        <v>1453</v>
      </c>
      <c r="D497" s="76" t="s">
        <v>1133</v>
      </c>
      <c r="E497" s="72" t="s">
        <v>1217</v>
      </c>
      <c r="F497" s="62">
        <f>VLOOKUP(A497,[1]基准价格!$A:$G,7,0)</f>
        <v>604.20000000000005</v>
      </c>
      <c r="G497" s="56">
        <f>SUMIF('2.报价结算清单'!$F$7:$F$679,$A497,'2.报价结算清单'!$L$7:$L$679)</f>
        <v>0</v>
      </c>
      <c r="H497" s="56">
        <f>SUMIF('2.报价结算清单'!$F$7:$F$679,$A497,'2.报价结算清单'!$N$7:$N$679)</f>
        <v>0</v>
      </c>
      <c r="I497" s="59">
        <f>SUMIF('2.报价结算清单'!$F$7:$F$679,A497,'2.报价结算清单'!$P$7:$P$679)</f>
        <v>0</v>
      </c>
    </row>
    <row r="498" spans="1:9" ht="28.5">
      <c r="A498" s="74" t="s">
        <v>472</v>
      </c>
      <c r="B498" s="72"/>
      <c r="C498" s="72" t="s">
        <v>1453</v>
      </c>
      <c r="D498" s="76" t="s">
        <v>1134</v>
      </c>
      <c r="E498" s="72" t="s">
        <v>1217</v>
      </c>
      <c r="F498" s="62">
        <f>VLOOKUP(A498,[1]基准价格!$A:$G,7,0)</f>
        <v>614.79999999999995</v>
      </c>
      <c r="G498" s="56">
        <f>SUMIF('2.报价结算清单'!$F$7:$F$679,$A498,'2.报价结算清单'!$L$7:$L$679)</f>
        <v>0</v>
      </c>
      <c r="H498" s="56">
        <f>SUMIF('2.报价结算清单'!$F$7:$F$679,$A498,'2.报价结算清单'!$N$7:$N$679)</f>
        <v>0</v>
      </c>
      <c r="I498" s="59">
        <f>SUMIF('2.报价结算清单'!$F$7:$F$679,A498,'2.报价结算清单'!$P$7:$P$679)</f>
        <v>0</v>
      </c>
    </row>
    <row r="499" spans="1:9" ht="28.5">
      <c r="A499" s="74" t="s">
        <v>473</v>
      </c>
      <c r="B499" s="72"/>
      <c r="C499" s="72" t="s">
        <v>1453</v>
      </c>
      <c r="D499" s="76" t="s">
        <v>1135</v>
      </c>
      <c r="E499" s="72" t="s">
        <v>1217</v>
      </c>
      <c r="F499" s="62">
        <f>VLOOKUP(A499,[1]基准价格!$A:$G,7,0)</f>
        <v>1484</v>
      </c>
      <c r="G499" s="56">
        <f>SUMIF('2.报价结算清单'!$F$7:$F$679,$A499,'2.报价结算清单'!$L$7:$L$679)</f>
        <v>0</v>
      </c>
      <c r="H499" s="56">
        <f>SUMIF('2.报价结算清单'!$F$7:$F$679,$A499,'2.报价结算清单'!$N$7:$N$679)</f>
        <v>0</v>
      </c>
      <c r="I499" s="59">
        <f>SUMIF('2.报价结算清单'!$F$7:$F$679,A499,'2.报价结算清单'!$P$7:$P$679)</f>
        <v>0</v>
      </c>
    </row>
    <row r="500" spans="1:9">
      <c r="A500" s="74" t="s">
        <v>474</v>
      </c>
      <c r="B500" s="72"/>
      <c r="C500" s="72" t="s">
        <v>1453</v>
      </c>
      <c r="D500" s="76" t="s">
        <v>1136</v>
      </c>
      <c r="E500" s="72" t="s">
        <v>1218</v>
      </c>
      <c r="F500" s="62">
        <f>VLOOKUP(A500,[1]基准价格!$A:$G,7,0)</f>
        <v>316.67</v>
      </c>
      <c r="G500" s="56">
        <f>SUMIF('2.报价结算清单'!$F$7:$F$679,$A500,'2.报价结算清单'!$L$7:$L$679)</f>
        <v>15</v>
      </c>
      <c r="H500" s="56">
        <f>SUMIF('2.报价结算清单'!$F$7:$F$679,$A500,'2.报价结算清单'!$N$7:$N$679)</f>
        <v>4</v>
      </c>
      <c r="I500" s="59">
        <f>SUMIF('2.报价结算清单'!$F$7:$F$679,A500,'2.报价结算清单'!$P$7:$P$679)</f>
        <v>19000.2</v>
      </c>
    </row>
    <row r="501" spans="1:9" ht="28.5">
      <c r="A501" s="74" t="s">
        <v>475</v>
      </c>
      <c r="B501" s="72"/>
      <c r="C501" s="72" t="s">
        <v>1453</v>
      </c>
      <c r="D501" s="76" t="s">
        <v>1137</v>
      </c>
      <c r="E501" s="72" t="s">
        <v>1218</v>
      </c>
      <c r="F501" s="62">
        <f>VLOOKUP(A501,[1]基准价格!$A:$G,7,0)</f>
        <v>318</v>
      </c>
      <c r="G501" s="56">
        <f>SUMIF('2.报价结算清单'!$F$7:$F$679,$A501,'2.报价结算清单'!$L$7:$L$679)</f>
        <v>0</v>
      </c>
      <c r="H501" s="56">
        <f>SUMIF('2.报价结算清单'!$F$7:$F$679,$A501,'2.报价结算清单'!$N$7:$N$679)</f>
        <v>0</v>
      </c>
      <c r="I501" s="59">
        <f>SUMIF('2.报价结算清单'!$F$7:$F$679,A501,'2.报价结算清单'!$P$7:$P$679)</f>
        <v>0</v>
      </c>
    </row>
    <row r="502" spans="1:9" ht="28.5">
      <c r="A502" s="74" t="s">
        <v>476</v>
      </c>
      <c r="B502" s="72"/>
      <c r="C502" s="72" t="s">
        <v>1453</v>
      </c>
      <c r="D502" s="76" t="s">
        <v>1138</v>
      </c>
      <c r="E502" s="72" t="s">
        <v>1218</v>
      </c>
      <c r="F502" s="62">
        <f>VLOOKUP(A502,[1]基准价格!$A:$G,7,0)</f>
        <v>424</v>
      </c>
      <c r="G502" s="56">
        <f>SUMIF('2.报价结算清单'!$F$7:$F$679,$A502,'2.报价结算清单'!$L$7:$L$679)</f>
        <v>0</v>
      </c>
      <c r="H502" s="56">
        <f>SUMIF('2.报价结算清单'!$F$7:$F$679,$A502,'2.报价结算清单'!$N$7:$N$679)</f>
        <v>0</v>
      </c>
      <c r="I502" s="59">
        <f>SUMIF('2.报价结算清单'!$F$7:$F$679,A502,'2.报价结算清单'!$P$7:$P$679)</f>
        <v>0</v>
      </c>
    </row>
    <row r="503" spans="1:9">
      <c r="A503" s="74" t="s">
        <v>477</v>
      </c>
      <c r="B503" s="72"/>
      <c r="C503" s="72" t="s">
        <v>1453</v>
      </c>
      <c r="D503" s="76" t="s">
        <v>1139</v>
      </c>
      <c r="E503" s="72" t="s">
        <v>1218</v>
      </c>
      <c r="F503" s="62">
        <f>VLOOKUP(A503,[1]基准价格!$A:$G,7,0)</f>
        <v>190.8</v>
      </c>
      <c r="G503" s="56">
        <f>SUMIF('2.报价结算清单'!$F$7:$F$679,$A503,'2.报价结算清单'!$L$7:$L$679)</f>
        <v>0</v>
      </c>
      <c r="H503" s="56">
        <f>SUMIF('2.报价结算清单'!$F$7:$F$679,$A503,'2.报价结算清单'!$N$7:$N$679)</f>
        <v>0</v>
      </c>
      <c r="I503" s="59">
        <f>SUMIF('2.报价结算清单'!$F$7:$F$679,A503,'2.报价结算清单'!$P$7:$P$679)</f>
        <v>0</v>
      </c>
    </row>
    <row r="504" spans="1:9" ht="57">
      <c r="A504" s="74" t="s">
        <v>478</v>
      </c>
      <c r="B504" s="72"/>
      <c r="C504" s="72" t="s">
        <v>1453</v>
      </c>
      <c r="D504" s="76" t="s">
        <v>1454</v>
      </c>
      <c r="E504" s="72" t="s">
        <v>1218</v>
      </c>
      <c r="F504" s="62">
        <f>VLOOKUP(A504,[1]基准价格!$A:$G,7,0)</f>
        <v>948</v>
      </c>
      <c r="G504" s="56">
        <f>SUMIF('2.报价结算清单'!$F$7:$F$679,$A504,'2.报价结算清单'!$L$7:$L$679)</f>
        <v>13</v>
      </c>
      <c r="H504" s="56">
        <f>SUMIF('2.报价结算清单'!$F$7:$F$679,$A504,'2.报价结算清单'!$N$7:$N$679)</f>
        <v>13</v>
      </c>
      <c r="I504" s="59">
        <f>SUMIF('2.报价结算清单'!$F$7:$F$679,A504,'2.报价结算清单'!$P$7:$P$679)</f>
        <v>55932</v>
      </c>
    </row>
    <row r="505" spans="1:9" ht="42.75">
      <c r="A505" s="74" t="s">
        <v>479</v>
      </c>
      <c r="B505" s="72"/>
      <c r="C505" s="72" t="s">
        <v>1453</v>
      </c>
      <c r="D505" s="76" t="s">
        <v>1455</v>
      </c>
      <c r="E505" s="72" t="s">
        <v>1218</v>
      </c>
      <c r="F505" s="62">
        <f>VLOOKUP(A505,[1]基准价格!$A:$G,7,0)</f>
        <v>689</v>
      </c>
      <c r="G505" s="56">
        <f>SUMIF('2.报价结算清单'!$F$7:$F$679,$A505,'2.报价结算清单'!$L$7:$L$679)</f>
        <v>0</v>
      </c>
      <c r="H505" s="56">
        <f>SUMIF('2.报价结算清单'!$F$7:$F$679,$A505,'2.报价结算清单'!$N$7:$N$679)</f>
        <v>0</v>
      </c>
      <c r="I505" s="59">
        <f>SUMIF('2.报价结算清单'!$F$7:$F$679,A505,'2.报价结算清单'!$P$7:$P$679)</f>
        <v>0</v>
      </c>
    </row>
    <row r="506" spans="1:9" ht="42.75">
      <c r="A506" s="74" t="s">
        <v>517</v>
      </c>
      <c r="B506" s="72"/>
      <c r="C506" s="72" t="s">
        <v>1453</v>
      </c>
      <c r="D506" s="76" t="s">
        <v>1456</v>
      </c>
      <c r="E506" s="72" t="s">
        <v>1218</v>
      </c>
      <c r="F506" s="62">
        <f>VLOOKUP(A506,[1]基准价格!$A:$G,7,0)</f>
        <v>318</v>
      </c>
      <c r="G506" s="56">
        <f>SUMIF('2.报价结算清单'!$F$7:$F$679,$A506,'2.报价结算清单'!$L$7:$L$679)</f>
        <v>10</v>
      </c>
      <c r="H506" s="56">
        <f>SUMIF('2.报价结算清单'!$F$7:$F$679,$A506,'2.报价结算清单'!$N$7:$N$679)</f>
        <v>6</v>
      </c>
      <c r="I506" s="59">
        <f>SUMIF('2.报价结算清单'!$F$7:$F$679,A506,'2.报价结算清单'!$P$7:$P$679)</f>
        <v>19080</v>
      </c>
    </row>
    <row r="507" spans="1:9" ht="28.5">
      <c r="A507" s="74" t="s">
        <v>518</v>
      </c>
      <c r="B507" s="72"/>
      <c r="C507" s="72" t="s">
        <v>1453</v>
      </c>
      <c r="D507" s="76" t="s">
        <v>1457</v>
      </c>
      <c r="E507" s="72" t="s">
        <v>1218</v>
      </c>
      <c r="F507" s="62">
        <f>VLOOKUP(A507,[1]基准价格!$A:$G,7,0)</f>
        <v>2000</v>
      </c>
      <c r="G507" s="56">
        <f>SUMIF('2.报价结算清单'!$F$7:$F$679,$A507,'2.报价结算清单'!$L$7:$L$679)</f>
        <v>0</v>
      </c>
      <c r="H507" s="56">
        <f>SUMIF('2.报价结算清单'!$F$7:$F$679,$A507,'2.报价结算清单'!$N$7:$N$679)</f>
        <v>0</v>
      </c>
      <c r="I507" s="59">
        <f>SUMIF('2.报价结算清单'!$F$7:$F$679,A507,'2.报价结算清单'!$P$7:$P$679)</f>
        <v>0</v>
      </c>
    </row>
    <row r="508" spans="1:9" ht="28.5">
      <c r="A508" s="74" t="s">
        <v>612</v>
      </c>
      <c r="B508" s="72"/>
      <c r="C508" s="72" t="s">
        <v>1458</v>
      </c>
      <c r="D508" s="76" t="s">
        <v>1140</v>
      </c>
      <c r="E508" s="72" t="s">
        <v>1217</v>
      </c>
      <c r="F508" s="62">
        <f>VLOOKUP(A508,[1]基准价格!$A:$G,7,0)</f>
        <v>1060</v>
      </c>
      <c r="G508" s="56">
        <f>SUMIF('2.报价结算清单'!$F$7:$F$679,$A508,'2.报价结算清单'!$L$7:$L$679)</f>
        <v>1</v>
      </c>
      <c r="H508" s="56">
        <f>SUMIF('2.报价结算清单'!$F$7:$F$679,$A508,'2.报价结算清单'!$N$7:$N$679)</f>
        <v>9</v>
      </c>
      <c r="I508" s="59">
        <f>SUMIF('2.报价结算清单'!$F$7:$F$679,A508,'2.报价结算清单'!$P$7:$P$679)</f>
        <v>9540</v>
      </c>
    </row>
    <row r="509" spans="1:9" ht="28.5">
      <c r="A509" s="74" t="s">
        <v>656</v>
      </c>
      <c r="B509" s="72"/>
      <c r="C509" s="72" t="s">
        <v>1458</v>
      </c>
      <c r="D509" s="76" t="s">
        <v>1141</v>
      </c>
      <c r="E509" s="72" t="s">
        <v>1217</v>
      </c>
      <c r="F509" s="62">
        <f>VLOOKUP(A509,[1]基准价格!$A:$G,7,0)</f>
        <v>848</v>
      </c>
      <c r="G509" s="56">
        <f>SUMIF('2.报价结算清单'!$F$7:$F$679,$A509,'2.报价结算清单'!$L$7:$L$679)</f>
        <v>1</v>
      </c>
      <c r="H509" s="56">
        <f>SUMIF('2.报价结算清单'!$F$7:$F$679,$A509,'2.报价结算清单'!$N$7:$N$679)</f>
        <v>9</v>
      </c>
      <c r="I509" s="59">
        <f>SUMIF('2.报价结算清单'!$F$7:$F$679,A509,'2.报价结算清单'!$P$7:$P$679)</f>
        <v>7632</v>
      </c>
    </row>
    <row r="510" spans="1:9" ht="28.5">
      <c r="A510" s="74" t="s">
        <v>657</v>
      </c>
      <c r="B510" s="72"/>
      <c r="C510" s="72" t="s">
        <v>1458</v>
      </c>
      <c r="D510" s="76" t="s">
        <v>1142</v>
      </c>
      <c r="E510" s="72" t="s">
        <v>1217</v>
      </c>
      <c r="F510" s="62">
        <f>VLOOKUP(A510,[1]基准价格!$A:$G,7,0)</f>
        <v>530</v>
      </c>
      <c r="G510" s="56">
        <f>SUMIF('2.报价结算清单'!$F$7:$F$679,$A510,'2.报价结算清单'!$L$7:$L$679)</f>
        <v>5</v>
      </c>
      <c r="H510" s="56">
        <f>SUMIF('2.报价结算清单'!$F$7:$F$679,$A510,'2.报价结算清单'!$N$7:$N$679)</f>
        <v>9</v>
      </c>
      <c r="I510" s="59">
        <f>SUMIF('2.报价结算清单'!$F$7:$F$679,A510,'2.报价结算清单'!$P$7:$P$679)</f>
        <v>23850</v>
      </c>
    </row>
    <row r="511" spans="1:9" ht="28.5">
      <c r="A511" s="74" t="s">
        <v>658</v>
      </c>
      <c r="B511" s="72"/>
      <c r="C511" s="72" t="s">
        <v>1458</v>
      </c>
      <c r="D511" s="76" t="s">
        <v>1143</v>
      </c>
      <c r="E511" s="72" t="s">
        <v>1217</v>
      </c>
      <c r="F511" s="62">
        <f>VLOOKUP(A511,[1]基准价格!$A:$G,7,0)</f>
        <v>530</v>
      </c>
      <c r="G511" s="56">
        <f>SUMIF('2.报价结算清单'!$F$7:$F$679,$A511,'2.报价结算清单'!$L$7:$L$679)</f>
        <v>42</v>
      </c>
      <c r="H511" s="56">
        <f>SUMIF('2.报价结算清单'!$F$7:$F$679,$A511,'2.报价结算清单'!$N$7:$N$679)</f>
        <v>8</v>
      </c>
      <c r="I511" s="59">
        <f>SUMIF('2.报价结算清单'!$F$7:$F$679,A511,'2.报价结算清单'!$P$7:$P$679)</f>
        <v>178080</v>
      </c>
    </row>
    <row r="512" spans="1:9" ht="28.5">
      <c r="A512" s="74" t="s">
        <v>659</v>
      </c>
      <c r="B512" s="72"/>
      <c r="C512" s="72" t="s">
        <v>1458</v>
      </c>
      <c r="D512" s="76" t="s">
        <v>1144</v>
      </c>
      <c r="E512" s="72" t="s">
        <v>1217</v>
      </c>
      <c r="F512" s="62">
        <f>VLOOKUP(A512,[1]基准价格!$A:$G,7,0)</f>
        <v>671.33333333333337</v>
      </c>
      <c r="G512" s="56">
        <f>SUMIF('2.报价结算清单'!$F$7:$F$679,$A512,'2.报价结算清单'!$L$7:$L$679)</f>
        <v>0</v>
      </c>
      <c r="H512" s="56">
        <f>SUMIF('2.报价结算清单'!$F$7:$F$679,$A512,'2.报价结算清单'!$N$7:$N$679)</f>
        <v>0</v>
      </c>
      <c r="I512" s="59">
        <f>SUMIF('2.报价结算清单'!$F$7:$F$679,A512,'2.报价结算清单'!$P$7:$P$679)</f>
        <v>0</v>
      </c>
    </row>
    <row r="513" spans="1:9" ht="28.5">
      <c r="A513" s="74" t="s">
        <v>660</v>
      </c>
      <c r="B513" s="72"/>
      <c r="C513" s="72" t="s">
        <v>1458</v>
      </c>
      <c r="D513" s="76" t="s">
        <v>1145</v>
      </c>
      <c r="E513" s="72" t="s">
        <v>1217</v>
      </c>
      <c r="F513" s="62">
        <f>VLOOKUP(A513,[1]基准价格!$A:$G,7,0)</f>
        <v>989.33333333333337</v>
      </c>
      <c r="G513" s="56">
        <f>SUMIF('2.报价结算清单'!$F$7:$F$679,$A513,'2.报价结算清单'!$L$7:$L$679)</f>
        <v>0</v>
      </c>
      <c r="H513" s="56">
        <f>SUMIF('2.报价结算清单'!$F$7:$F$679,$A513,'2.报价结算清单'!$N$7:$N$679)</f>
        <v>0</v>
      </c>
      <c r="I513" s="59">
        <f>SUMIF('2.报价结算清单'!$F$7:$F$679,A513,'2.报价结算清单'!$P$7:$P$679)</f>
        <v>0</v>
      </c>
    </row>
    <row r="514" spans="1:9" ht="28.5">
      <c r="A514" s="74" t="s">
        <v>661</v>
      </c>
      <c r="B514" s="72"/>
      <c r="C514" s="72" t="s">
        <v>1458</v>
      </c>
      <c r="D514" s="76" t="s">
        <v>1146</v>
      </c>
      <c r="E514" s="72" t="s">
        <v>1217</v>
      </c>
      <c r="F514" s="62">
        <f>VLOOKUP(A514,[1]基准价格!$A:$G,7,0)</f>
        <v>1060</v>
      </c>
      <c r="G514" s="56">
        <f>SUMIF('2.报价结算清单'!$F$7:$F$679,$A514,'2.报价结算清单'!$L$7:$L$679)</f>
        <v>0</v>
      </c>
      <c r="H514" s="56">
        <f>SUMIF('2.报价结算清单'!$F$7:$F$679,$A514,'2.报价结算清单'!$N$7:$N$679)</f>
        <v>0</v>
      </c>
      <c r="I514" s="59">
        <f>SUMIF('2.报价结算清单'!$F$7:$F$679,A514,'2.报价结算清单'!$P$7:$P$679)</f>
        <v>0</v>
      </c>
    </row>
    <row r="515" spans="1:9" ht="28.5">
      <c r="A515" s="74" t="s">
        <v>662</v>
      </c>
      <c r="B515" s="72"/>
      <c r="C515" s="72" t="s">
        <v>1458</v>
      </c>
      <c r="D515" s="76" t="s">
        <v>1147</v>
      </c>
      <c r="E515" s="72" t="s">
        <v>1217</v>
      </c>
      <c r="F515" s="62">
        <f>VLOOKUP(A515,[1]基准价格!$A:$G,7,0)</f>
        <v>1590</v>
      </c>
      <c r="G515" s="56">
        <f>SUMIF('2.报价结算清单'!$F$7:$F$679,$A515,'2.报价结算清单'!$L$7:$L$679)</f>
        <v>0</v>
      </c>
      <c r="H515" s="56">
        <f>SUMIF('2.报价结算清单'!$F$7:$F$679,$A515,'2.报价结算清单'!$N$7:$N$679)</f>
        <v>0</v>
      </c>
      <c r="I515" s="59">
        <f>SUMIF('2.报价结算清单'!$F$7:$F$679,A515,'2.报价结算清单'!$P$7:$P$679)</f>
        <v>0</v>
      </c>
    </row>
    <row r="516" spans="1:9" ht="28.5">
      <c r="A516" s="74" t="s">
        <v>663</v>
      </c>
      <c r="B516" s="72"/>
      <c r="C516" s="72" t="s">
        <v>1459</v>
      </c>
      <c r="D516" s="76" t="s">
        <v>1148</v>
      </c>
      <c r="E516" s="72" t="s">
        <v>1217</v>
      </c>
      <c r="F516" s="62">
        <f>VLOOKUP(A516,[1]基准价格!$A:$G,7,0)</f>
        <v>2120</v>
      </c>
      <c r="G516" s="56">
        <f>SUMIF('2.报价结算清单'!$F$7:$F$679,$A516,'2.报价结算清单'!$L$7:$L$679)</f>
        <v>0</v>
      </c>
      <c r="H516" s="56">
        <f>SUMIF('2.报价结算清单'!$F$7:$F$679,$A516,'2.报价结算清单'!$N$7:$N$679)</f>
        <v>0</v>
      </c>
      <c r="I516" s="59">
        <f>SUMIF('2.报价结算清单'!$F$7:$F$679,A516,'2.报价结算清单'!$P$7:$P$679)</f>
        <v>0</v>
      </c>
    </row>
    <row r="517" spans="1:9" ht="42.75">
      <c r="A517" s="74" t="s">
        <v>639</v>
      </c>
      <c r="B517" s="72"/>
      <c r="C517" s="72" t="s">
        <v>1459</v>
      </c>
      <c r="D517" s="76" t="s">
        <v>1460</v>
      </c>
      <c r="E517" s="72" t="s">
        <v>1217</v>
      </c>
      <c r="F517" s="62">
        <f>VLOOKUP(A517,[1]基准价格!$A:$G,7,0)</f>
        <v>1590</v>
      </c>
      <c r="G517" s="56">
        <f>SUMIF('2.报价结算清单'!$F$7:$F$679,$A517,'2.报价结算清单'!$L$7:$L$679)</f>
        <v>0</v>
      </c>
      <c r="H517" s="56">
        <f>SUMIF('2.报价结算清单'!$F$7:$F$679,$A517,'2.报价结算清单'!$N$7:$N$679)</f>
        <v>0</v>
      </c>
      <c r="I517" s="59">
        <f>SUMIF('2.报价结算清单'!$F$7:$F$679,A517,'2.报价结算清单'!$P$7:$P$679)</f>
        <v>0</v>
      </c>
    </row>
    <row r="518" spans="1:9">
      <c r="A518" s="74" t="s">
        <v>613</v>
      </c>
      <c r="B518" s="72"/>
      <c r="C518" s="72" t="s">
        <v>1461</v>
      </c>
      <c r="D518" s="76" t="s">
        <v>1149</v>
      </c>
      <c r="E518" s="72" t="s">
        <v>1219</v>
      </c>
      <c r="F518" s="62">
        <f>VLOOKUP(A518,[1]基准价格!$A:$G,7,0)</f>
        <v>530</v>
      </c>
      <c r="G518" s="56">
        <f>SUMIF('2.报价结算清单'!$F$7:$F$679,$A518,'2.报价结算清单'!$L$7:$L$679)</f>
        <v>280</v>
      </c>
      <c r="H518" s="56">
        <f>SUMIF('2.报价结算清单'!$F$7:$F$679,$A518,'2.报价结算清单'!$N$7:$N$679)</f>
        <v>2</v>
      </c>
      <c r="I518" s="59">
        <f>SUMIF('2.报价结算清单'!$F$7:$F$679,A518,'2.报价结算清单'!$P$7:$P$679)</f>
        <v>296800</v>
      </c>
    </row>
    <row r="519" spans="1:9">
      <c r="A519" s="74" t="s">
        <v>567</v>
      </c>
      <c r="B519" s="72"/>
      <c r="C519" s="72" t="s">
        <v>1461</v>
      </c>
      <c r="D519" s="76" t="s">
        <v>1150</v>
      </c>
      <c r="E519" s="72" t="s">
        <v>1219</v>
      </c>
      <c r="F519" s="62">
        <f>VLOOKUP(A519,[1]基准价格!$A:$G,7,0)</f>
        <v>848</v>
      </c>
      <c r="G519" s="56">
        <f>SUMIF('2.报价结算清单'!$F$7:$F$679,$A519,'2.报价结算清单'!$L$7:$L$679)</f>
        <v>0</v>
      </c>
      <c r="H519" s="56">
        <f>SUMIF('2.报价结算清单'!$F$7:$F$679,$A519,'2.报价结算清单'!$N$7:$N$679)</f>
        <v>0</v>
      </c>
      <c r="I519" s="59">
        <f>SUMIF('2.报价结算清单'!$F$7:$F$679,A519,'2.报价结算清单'!$P$7:$P$679)</f>
        <v>0</v>
      </c>
    </row>
    <row r="520" spans="1:9" ht="28.5">
      <c r="A520" s="74" t="s">
        <v>568</v>
      </c>
      <c r="B520" s="72"/>
      <c r="C520" s="72" t="s">
        <v>1461</v>
      </c>
      <c r="D520" s="76" t="s">
        <v>1151</v>
      </c>
      <c r="E520" s="72" t="s">
        <v>1219</v>
      </c>
      <c r="F520" s="62">
        <f>VLOOKUP(A520,[1]基准价格!$A:$G,7,0)</f>
        <v>1272</v>
      </c>
      <c r="G520" s="56">
        <f>SUMIF('2.报价结算清单'!$F$7:$F$679,$A520,'2.报价结算清单'!$L$7:$L$679)</f>
        <v>0</v>
      </c>
      <c r="H520" s="56">
        <f>SUMIF('2.报价结算清单'!$F$7:$F$679,$A520,'2.报价结算清单'!$N$7:$N$679)</f>
        <v>0</v>
      </c>
      <c r="I520" s="59">
        <f>SUMIF('2.报价结算清单'!$F$7:$F$679,A520,'2.报价结算清单'!$P$7:$P$679)</f>
        <v>0</v>
      </c>
    </row>
    <row r="521" spans="1:9">
      <c r="A521" s="74" t="s">
        <v>569</v>
      </c>
      <c r="B521" s="72"/>
      <c r="C521" s="72" t="s">
        <v>1461</v>
      </c>
      <c r="D521" s="76" t="s">
        <v>1152</v>
      </c>
      <c r="E521" s="72" t="s">
        <v>1219</v>
      </c>
      <c r="F521" s="62">
        <f>VLOOKUP(A521,[1]基准价格!$A:$G,7,0)</f>
        <v>650</v>
      </c>
      <c r="G521" s="56">
        <f>SUMIF('2.报价结算清单'!$F$7:$F$679,$A521,'2.报价结算清单'!$L$7:$L$679)</f>
        <v>0</v>
      </c>
      <c r="H521" s="56">
        <f>SUMIF('2.报价结算清单'!$F$7:$F$679,$A521,'2.报价结算清单'!$N$7:$N$679)</f>
        <v>0</v>
      </c>
      <c r="I521" s="59">
        <f>SUMIF('2.报价结算清单'!$F$7:$F$679,A521,'2.报价结算清单'!$P$7:$P$679)</f>
        <v>0</v>
      </c>
    </row>
    <row r="522" spans="1:9" ht="28.5">
      <c r="A522" s="74" t="s">
        <v>570</v>
      </c>
      <c r="B522" s="72"/>
      <c r="C522" s="72" t="s">
        <v>1461</v>
      </c>
      <c r="D522" s="76" t="s">
        <v>1153</v>
      </c>
      <c r="E522" s="72" t="s">
        <v>1220</v>
      </c>
      <c r="F522" s="62">
        <f>VLOOKUP(A522,[1]基准价格!$A:$G,7,0)</f>
        <v>1272</v>
      </c>
      <c r="G522" s="56">
        <f>SUMIF('2.报价结算清单'!$F$7:$F$679,$A522,'2.报价结算清单'!$L$7:$L$679)</f>
        <v>0</v>
      </c>
      <c r="H522" s="56">
        <f>SUMIF('2.报价结算清单'!$F$7:$F$679,$A522,'2.报价结算清单'!$N$7:$N$679)</f>
        <v>0</v>
      </c>
      <c r="I522" s="59">
        <f>SUMIF('2.报价结算清单'!$F$7:$F$679,A522,'2.报价结算清单'!$P$7:$P$679)</f>
        <v>0</v>
      </c>
    </row>
    <row r="523" spans="1:9">
      <c r="A523" s="74" t="s">
        <v>571</v>
      </c>
      <c r="B523" s="72"/>
      <c r="C523" s="72" t="s">
        <v>1461</v>
      </c>
      <c r="D523" s="76" t="s">
        <v>1154</v>
      </c>
      <c r="E523" s="72" t="s">
        <v>1221</v>
      </c>
      <c r="F523" s="62">
        <f>VLOOKUP(A523,[1]基准价格!$A:$G,7,0)</f>
        <v>81.62</v>
      </c>
      <c r="G523" s="56">
        <f>SUMIF('2.报价结算清单'!$F$7:$F$679,$A523,'2.报价结算清单'!$L$7:$L$679)</f>
        <v>0</v>
      </c>
      <c r="H523" s="56">
        <f>SUMIF('2.报价结算清单'!$F$7:$F$679,$A523,'2.报价结算清单'!$N$7:$N$679)</f>
        <v>0</v>
      </c>
      <c r="I523" s="59">
        <f>SUMIF('2.报价结算清单'!$F$7:$F$679,A523,'2.报价结算清单'!$P$7:$P$679)</f>
        <v>0</v>
      </c>
    </row>
    <row r="524" spans="1:9">
      <c r="A524" s="74" t="s">
        <v>572</v>
      </c>
      <c r="B524" s="72"/>
      <c r="C524" s="72" t="s">
        <v>1461</v>
      </c>
      <c r="D524" s="76" t="s">
        <v>1155</v>
      </c>
      <c r="E524" s="72" t="s">
        <v>1214</v>
      </c>
      <c r="F524" s="62">
        <f>VLOOKUP(A524,[1]基准价格!$A:$G,7,0)</f>
        <v>10</v>
      </c>
      <c r="G524" s="56">
        <f>SUMIF('2.报价结算清单'!$F$7:$F$679,$A524,'2.报价结算清单'!$L$7:$L$679)</f>
        <v>0</v>
      </c>
      <c r="H524" s="56">
        <f>SUMIF('2.报价结算清单'!$F$7:$F$679,$A524,'2.报价结算清单'!$N$7:$N$679)</f>
        <v>0</v>
      </c>
      <c r="I524" s="59">
        <f>SUMIF('2.报价结算清单'!$F$7:$F$679,A524,'2.报价结算清单'!$P$7:$P$679)</f>
        <v>0</v>
      </c>
    </row>
    <row r="525" spans="1:9" ht="28.5">
      <c r="A525" s="74" t="s">
        <v>573</v>
      </c>
      <c r="B525" s="72"/>
      <c r="C525" s="72" t="s">
        <v>1461</v>
      </c>
      <c r="D525" s="76" t="s">
        <v>1156</v>
      </c>
      <c r="E525" s="72" t="s">
        <v>1220</v>
      </c>
      <c r="F525" s="62">
        <f>VLOOKUP(A525,[1]基准价格!$A:$G,7,0)</f>
        <v>1060</v>
      </c>
      <c r="G525" s="56">
        <f>SUMIF('2.报价结算清单'!$F$7:$F$679,$A525,'2.报价结算清单'!$L$7:$L$679)</f>
        <v>35</v>
      </c>
      <c r="H525" s="56">
        <f>SUMIF('2.报价结算清单'!$F$7:$F$679,$A525,'2.报价结算清单'!$N$7:$N$679)</f>
        <v>17</v>
      </c>
      <c r="I525" s="59">
        <f>SUMIF('2.报价结算清单'!$F$7:$F$679,A525,'2.报价结算清单'!$P$7:$P$679)</f>
        <v>174900</v>
      </c>
    </row>
    <row r="526" spans="1:9">
      <c r="A526" s="74" t="s">
        <v>574</v>
      </c>
      <c r="B526" s="72"/>
      <c r="C526" s="72" t="s">
        <v>1461</v>
      </c>
      <c r="D526" s="76" t="s">
        <v>1157</v>
      </c>
      <c r="E526" s="72" t="s">
        <v>1221</v>
      </c>
      <c r="F526" s="62">
        <f>VLOOKUP(A526,[1]基准价格!$A:$G,7,0)</f>
        <v>74.2</v>
      </c>
      <c r="G526" s="56">
        <f>SUMIF('2.报价结算清单'!$F$7:$F$679,$A526,'2.报价结算清单'!$L$7:$L$679)</f>
        <v>200</v>
      </c>
      <c r="H526" s="56">
        <f>SUMIF('2.报价结算清单'!$F$7:$F$679,$A526,'2.报价结算清单'!$N$7:$N$679)</f>
        <v>2</v>
      </c>
      <c r="I526" s="59">
        <f>SUMIF('2.报价结算清单'!$F$7:$F$679,A526,'2.报价结算清单'!$P$7:$P$679)</f>
        <v>29680</v>
      </c>
    </row>
    <row r="527" spans="1:9">
      <c r="A527" s="74" t="s">
        <v>575</v>
      </c>
      <c r="B527" s="72"/>
      <c r="C527" s="72" t="s">
        <v>1461</v>
      </c>
      <c r="D527" s="76" t="s">
        <v>1158</v>
      </c>
      <c r="E527" s="72" t="s">
        <v>1214</v>
      </c>
      <c r="F527" s="62">
        <f>VLOOKUP(A527,[1]基准价格!$A:$G,7,0)</f>
        <v>10</v>
      </c>
      <c r="G527" s="56">
        <f>SUMIF('2.报价结算清单'!$F$7:$F$679,$A527,'2.报价结算清单'!$L$7:$L$679)</f>
        <v>500</v>
      </c>
      <c r="H527" s="56">
        <f>SUMIF('2.报价结算清单'!$F$7:$F$679,$A527,'2.报价结算清单'!$N$7:$N$679)</f>
        <v>2</v>
      </c>
      <c r="I527" s="59">
        <f>SUMIF('2.报价结算清单'!$F$7:$F$679,A527,'2.报价结算清单'!$P$7:$P$679)</f>
        <v>10000</v>
      </c>
    </row>
    <row r="528" spans="1:9" ht="28.5">
      <c r="A528" s="74" t="s">
        <v>576</v>
      </c>
      <c r="B528" s="72"/>
      <c r="C528" s="72" t="s">
        <v>1461</v>
      </c>
      <c r="D528" s="76" t="s">
        <v>1159</v>
      </c>
      <c r="E528" s="72" t="s">
        <v>1220</v>
      </c>
      <c r="F528" s="62">
        <f>VLOOKUP(A528,[1]基准价格!$A:$G,7,0)</f>
        <v>1500</v>
      </c>
      <c r="G528" s="56">
        <f>SUMIF('2.报价结算清单'!$F$7:$F$679,$A528,'2.报价结算清单'!$L$7:$L$679)</f>
        <v>5</v>
      </c>
      <c r="H528" s="56">
        <f>SUMIF('2.报价结算清单'!$F$7:$F$679,$A528,'2.报价结算清单'!$N$7:$N$679)</f>
        <v>14</v>
      </c>
      <c r="I528" s="59">
        <f>SUMIF('2.报价结算清单'!$F$7:$F$679,A528,'2.报价结算清单'!$P$7:$P$679)</f>
        <v>48000</v>
      </c>
    </row>
    <row r="529" spans="1:9">
      <c r="A529" s="74" t="s">
        <v>577</v>
      </c>
      <c r="B529" s="72"/>
      <c r="C529" s="72" t="s">
        <v>1461</v>
      </c>
      <c r="D529" s="76" t="s">
        <v>1160</v>
      </c>
      <c r="E529" s="72" t="s">
        <v>1221</v>
      </c>
      <c r="F529" s="62">
        <f>VLOOKUP(A529,[1]基准价格!$A:$G,7,0)</f>
        <v>120</v>
      </c>
      <c r="G529" s="56">
        <f>SUMIF('2.报价结算清单'!$F$7:$F$679,$A529,'2.报价结算清单'!$L$7:$L$679)</f>
        <v>0</v>
      </c>
      <c r="H529" s="56">
        <f>SUMIF('2.报价结算清单'!$F$7:$F$679,$A529,'2.报价结算清单'!$N$7:$N$679)</f>
        <v>0</v>
      </c>
      <c r="I529" s="59">
        <f>SUMIF('2.报价结算清单'!$F$7:$F$679,A529,'2.报价结算清单'!$P$7:$P$679)</f>
        <v>0</v>
      </c>
    </row>
    <row r="530" spans="1:9">
      <c r="A530" s="74" t="s">
        <v>578</v>
      </c>
      <c r="B530" s="72"/>
      <c r="C530" s="72" t="s">
        <v>1461</v>
      </c>
      <c r="D530" s="76" t="s">
        <v>1161</v>
      </c>
      <c r="E530" s="72" t="s">
        <v>1214</v>
      </c>
      <c r="F530" s="62">
        <f>VLOOKUP(A530,[1]基准价格!$A:$G,7,0)</f>
        <v>15</v>
      </c>
      <c r="G530" s="56">
        <f>SUMIF('2.报价结算清单'!$F$7:$F$679,$A530,'2.报价结算清单'!$L$7:$L$679)</f>
        <v>0</v>
      </c>
      <c r="H530" s="56">
        <f>SUMIF('2.报价结算清单'!$F$7:$F$679,$A530,'2.报价结算清单'!$N$7:$N$679)</f>
        <v>0</v>
      </c>
      <c r="I530" s="59">
        <f>SUMIF('2.报价结算清单'!$F$7:$F$679,A530,'2.报价结算清单'!$P$7:$P$679)</f>
        <v>0</v>
      </c>
    </row>
    <row r="531" spans="1:9" ht="28.5">
      <c r="A531" s="74" t="s">
        <v>579</v>
      </c>
      <c r="B531" s="72"/>
      <c r="C531" s="72" t="s">
        <v>1461</v>
      </c>
      <c r="D531" s="76" t="s">
        <v>1162</v>
      </c>
      <c r="E531" s="72" t="s">
        <v>1220</v>
      </c>
      <c r="F531" s="62">
        <f>VLOOKUP(A531,[1]基准价格!$A:$G,7,0)</f>
        <v>1866.67</v>
      </c>
      <c r="G531" s="56">
        <f>SUMIF('2.报价结算清单'!$F$7:$F$679,$A531,'2.报价结算清单'!$L$7:$L$679)</f>
        <v>6</v>
      </c>
      <c r="H531" s="56">
        <f>SUMIF('2.报价结算清单'!$F$7:$F$679,$A531,'2.报价结算清单'!$N$7:$N$679)</f>
        <v>4</v>
      </c>
      <c r="I531" s="59">
        <f>SUMIF('2.报价结算清单'!$F$7:$F$679,A531,'2.报价结算清单'!$P$7:$P$679)</f>
        <v>44800.08</v>
      </c>
    </row>
    <row r="532" spans="1:9">
      <c r="A532" s="74" t="s">
        <v>580</v>
      </c>
      <c r="B532" s="72"/>
      <c r="C532" s="72" t="s">
        <v>1461</v>
      </c>
      <c r="D532" s="76" t="s">
        <v>1163</v>
      </c>
      <c r="E532" s="72" t="s">
        <v>1221</v>
      </c>
      <c r="F532" s="62">
        <f>VLOOKUP(A532,[1]基准价格!$A:$G,7,0)</f>
        <v>133.33000000000001</v>
      </c>
      <c r="G532" s="56">
        <f>SUMIF('2.报价结算清单'!$F$7:$F$679,$A532,'2.报价结算清单'!$L$7:$L$679)</f>
        <v>0</v>
      </c>
      <c r="H532" s="56">
        <f>SUMIF('2.报价结算清单'!$F$7:$F$679,$A532,'2.报价结算清单'!$N$7:$N$679)</f>
        <v>0</v>
      </c>
      <c r="I532" s="59">
        <f>SUMIF('2.报价结算清单'!$F$7:$F$679,A532,'2.报价结算清单'!$P$7:$P$679)</f>
        <v>0</v>
      </c>
    </row>
    <row r="533" spans="1:9">
      <c r="A533" s="74" t="s">
        <v>581</v>
      </c>
      <c r="B533" s="72"/>
      <c r="C533" s="72" t="s">
        <v>1461</v>
      </c>
      <c r="D533" s="76" t="s">
        <v>1164</v>
      </c>
      <c r="E533" s="72" t="s">
        <v>1214</v>
      </c>
      <c r="F533" s="62">
        <f>VLOOKUP(A533,[1]基准价格!$A:$G,7,0)</f>
        <v>18.329999999999998</v>
      </c>
      <c r="G533" s="56">
        <f>SUMIF('2.报价结算清单'!$F$7:$F$679,$A533,'2.报价结算清单'!$L$7:$L$679)</f>
        <v>0</v>
      </c>
      <c r="H533" s="56">
        <f>SUMIF('2.报价结算清单'!$F$7:$F$679,$A533,'2.报价结算清单'!$N$7:$N$679)</f>
        <v>0</v>
      </c>
      <c r="I533" s="59">
        <f>SUMIF('2.报价结算清单'!$F$7:$F$679,A533,'2.报价结算清单'!$P$7:$P$679)</f>
        <v>0</v>
      </c>
    </row>
    <row r="534" spans="1:9">
      <c r="A534" s="74" t="s">
        <v>614</v>
      </c>
      <c r="B534" s="72"/>
      <c r="C534" s="72" t="s">
        <v>1462</v>
      </c>
      <c r="D534" s="76" t="s">
        <v>1165</v>
      </c>
      <c r="E534" s="72" t="s">
        <v>36</v>
      </c>
      <c r="F534" s="62" t="str">
        <f>VLOOKUP(A534,[1]基准价格!$A:$G,7,0)</f>
        <v>据实结算</v>
      </c>
      <c r="G534" s="56">
        <f>SUMIF('2.报价结算清单'!$F$7:$F$679,$A534,'2.报价结算清单'!$L$7:$L$679)</f>
        <v>271</v>
      </c>
      <c r="H534" s="56">
        <f>SUMIF('2.报价结算清单'!$F$7:$F$679,$A534,'2.报价结算清单'!$N$7:$N$679)</f>
        <v>6</v>
      </c>
      <c r="I534" s="59">
        <f>SUMIF('2.报价结算清单'!$F$7:$F$679,A534,'2.报价结算清单'!$P$7:$P$679)</f>
        <v>704600</v>
      </c>
    </row>
    <row r="535" spans="1:9">
      <c r="A535" s="74" t="s">
        <v>583</v>
      </c>
      <c r="B535" s="72"/>
      <c r="C535" s="72" t="s">
        <v>1462</v>
      </c>
      <c r="D535" s="76" t="s">
        <v>1166</v>
      </c>
      <c r="E535" s="72" t="s">
        <v>36</v>
      </c>
      <c r="F535" s="62" t="str">
        <f>VLOOKUP(A535,[1]基准价格!$A:$G,7,0)</f>
        <v>据实结算</v>
      </c>
      <c r="G535" s="56">
        <f>SUMIF('2.报价结算清单'!$F$7:$F$679,$A535,'2.报价结算清单'!$L$7:$L$679)</f>
        <v>20</v>
      </c>
      <c r="H535" s="56">
        <f>SUMIF('2.报价结算清单'!$F$7:$F$679,$A535,'2.报价结算清单'!$N$7:$N$679)</f>
        <v>2</v>
      </c>
      <c r="I535" s="59">
        <f>SUMIF('2.报价结算清单'!$F$7:$F$679,A535,'2.报价结算清单'!$P$7:$P$679)</f>
        <v>24000</v>
      </c>
    </row>
    <row r="536" spans="1:9">
      <c r="A536" s="74" t="s">
        <v>584</v>
      </c>
      <c r="B536" s="72"/>
      <c r="C536" s="72" t="s">
        <v>1462</v>
      </c>
      <c r="D536" s="76" t="s">
        <v>1167</v>
      </c>
      <c r="E536" s="72" t="s">
        <v>36</v>
      </c>
      <c r="F536" s="62" t="str">
        <f>VLOOKUP(A536,[1]基准价格!$A:$G,7,0)</f>
        <v>据实结算</v>
      </c>
      <c r="G536" s="56">
        <f>SUMIF('2.报价结算清单'!$F$7:$F$679,$A536,'2.报价结算清单'!$L$7:$L$679)</f>
        <v>9</v>
      </c>
      <c r="H536" s="56">
        <f>SUMIF('2.报价结算清单'!$F$7:$F$679,$A536,'2.报价结算清单'!$N$7:$N$679)</f>
        <v>7</v>
      </c>
      <c r="I536" s="59">
        <f>SUMIF('2.报价结算清单'!$F$7:$F$679,A536,'2.报价结算清单'!$P$7:$P$679)</f>
        <v>6300</v>
      </c>
    </row>
    <row r="537" spans="1:9" ht="42.75">
      <c r="A537" s="74" t="s">
        <v>615</v>
      </c>
      <c r="B537" s="72"/>
      <c r="C537" s="72" t="s">
        <v>1462</v>
      </c>
      <c r="D537" s="76" t="s">
        <v>1463</v>
      </c>
      <c r="E537" s="72" t="s">
        <v>1222</v>
      </c>
      <c r="F537" s="62" t="str">
        <f>VLOOKUP(A537,[1]基准价格!$A:$G,7,0)</f>
        <v>据实结算</v>
      </c>
      <c r="G537" s="56">
        <f>SUMIF('2.报价结算清单'!$F$7:$F$679,$A537,'2.报价结算清单'!$L$7:$L$679)</f>
        <v>8</v>
      </c>
      <c r="H537" s="56">
        <f>SUMIF('2.报价结算清单'!$F$7:$F$679,$A537,'2.报价结算清单'!$N$7:$N$679)</f>
        <v>11</v>
      </c>
      <c r="I537" s="59">
        <f>SUMIF('2.报价结算清单'!$F$7:$F$679,A537,'2.报价结算清单'!$P$7:$P$679)</f>
        <v>23200</v>
      </c>
    </row>
    <row r="538" spans="1:9" ht="28.5">
      <c r="A538" s="74" t="s">
        <v>616</v>
      </c>
      <c r="B538" s="72"/>
      <c r="C538" s="72" t="s">
        <v>1462</v>
      </c>
      <c r="D538" s="76" t="s">
        <v>1464</v>
      </c>
      <c r="E538" s="72" t="s">
        <v>1222</v>
      </c>
      <c r="F538" s="62" t="str">
        <f>VLOOKUP(A538,[1]基准价格!$A:$G,7,0)</f>
        <v>据实结算</v>
      </c>
      <c r="G538" s="56">
        <f>SUMIF('2.报价结算清单'!$F$7:$F$679,$A538,'2.报价结算清单'!$L$7:$L$679)</f>
        <v>9</v>
      </c>
      <c r="H538" s="56">
        <f>SUMIF('2.报价结算清单'!$F$7:$F$679,$A538,'2.报价结算清单'!$N$7:$N$679)</f>
        <v>9</v>
      </c>
      <c r="I538" s="59">
        <f>SUMIF('2.报价结算清单'!$F$7:$F$679,A538,'2.报价结算清单'!$P$7:$P$679)</f>
        <v>8100</v>
      </c>
    </row>
    <row r="539" spans="1:9">
      <c r="A539" s="74" t="s">
        <v>1465</v>
      </c>
      <c r="B539" s="72"/>
      <c r="C539" s="72" t="s">
        <v>1466</v>
      </c>
      <c r="D539" s="76" t="s">
        <v>1168</v>
      </c>
      <c r="E539" s="72" t="s">
        <v>45</v>
      </c>
      <c r="F539" s="62" t="e">
        <f>VLOOKUP(A539,[1]基准价格!$A:$G,7,0)</f>
        <v>#N/A</v>
      </c>
      <c r="G539" s="56">
        <f>SUMIF('2.报价结算清单'!$F$7:$F$679,$A539,'2.报价结算清单'!$L$7:$L$679)</f>
        <v>1</v>
      </c>
      <c r="H539" s="56">
        <f>SUMIF('2.报价结算清单'!$F$7:$F$679,$A539,'2.报价结算清单'!$N$7:$N$679)</f>
        <v>1</v>
      </c>
      <c r="I539" s="59">
        <f>SUMIF('2.报价结算清单'!$F$7:$F$679,A539,'2.报价结算清单'!$P$7:$P$679)</f>
        <v>60000</v>
      </c>
    </row>
    <row r="540" spans="1:9">
      <c r="A540" s="74" t="s">
        <v>617</v>
      </c>
      <c r="B540" s="72"/>
      <c r="C540" s="72" t="s">
        <v>1467</v>
      </c>
      <c r="D540" s="76" t="s">
        <v>1169</v>
      </c>
      <c r="E540" s="72" t="s">
        <v>45</v>
      </c>
      <c r="F540" s="62" t="str">
        <f>VLOOKUP(A540,[1]基准价格!$A:$G,7,0)</f>
        <v>据实结算</v>
      </c>
      <c r="G540" s="56">
        <f>SUMIF('2.报价结算清单'!$F$7:$F$679,$A540,'2.报价结算清单'!$L$7:$L$679)</f>
        <v>1</v>
      </c>
      <c r="H540" s="56">
        <f>SUMIF('2.报价结算清单'!$F$7:$F$679,$A540,'2.报价结算清单'!$N$7:$N$679)</f>
        <v>7</v>
      </c>
      <c r="I540" s="59">
        <f>SUMIF('2.报价结算清单'!$F$7:$F$679,A540,'2.报价结算清单'!$P$7:$P$679)</f>
        <v>140000</v>
      </c>
    </row>
    <row r="541" spans="1:9">
      <c r="A541" s="74" t="s">
        <v>587</v>
      </c>
      <c r="B541" s="72"/>
      <c r="C541" s="72" t="s">
        <v>1467</v>
      </c>
      <c r="D541" s="76" t="s">
        <v>1170</v>
      </c>
      <c r="E541" s="72" t="s">
        <v>45</v>
      </c>
      <c r="F541" s="62" t="str">
        <f>VLOOKUP(A541,[1]基准价格!$A:$G,7,0)</f>
        <v>据实结算</v>
      </c>
      <c r="G541" s="56">
        <f>SUMIF('2.报价结算清单'!$F$7:$F$679,$A541,'2.报价结算清单'!$L$7:$L$679)</f>
        <v>0</v>
      </c>
      <c r="H541" s="56">
        <f>SUMIF('2.报价结算清单'!$F$7:$F$679,$A541,'2.报价结算清单'!$N$7:$N$679)</f>
        <v>0</v>
      </c>
      <c r="I541" s="59">
        <f>SUMIF('2.报价结算清单'!$F$7:$F$679,A541,'2.报价结算清单'!$P$7:$P$679)</f>
        <v>0</v>
      </c>
    </row>
    <row r="542" spans="1:9">
      <c r="A542" s="74" t="s">
        <v>588</v>
      </c>
      <c r="B542" s="72"/>
      <c r="C542" s="72" t="s">
        <v>1467</v>
      </c>
      <c r="D542" s="76" t="s">
        <v>1171</v>
      </c>
      <c r="E542" s="72" t="s">
        <v>45</v>
      </c>
      <c r="F542" s="62" t="str">
        <f>VLOOKUP(A542,[1]基准价格!$A:$G,7,0)</f>
        <v>据实结算</v>
      </c>
      <c r="G542" s="56">
        <f>SUMIF('2.报价结算清单'!$F$7:$F$679,$A542,'2.报价结算清单'!$L$7:$L$679)</f>
        <v>0</v>
      </c>
      <c r="H542" s="56">
        <f>SUMIF('2.报价结算清单'!$F$7:$F$679,$A542,'2.报价结算清单'!$N$7:$N$679)</f>
        <v>0</v>
      </c>
      <c r="I542" s="59">
        <f>SUMIF('2.报价结算清单'!$F$7:$F$679,A542,'2.报价结算清单'!$P$7:$P$679)</f>
        <v>0</v>
      </c>
    </row>
    <row r="543" spans="1:9">
      <c r="A543" s="74" t="s">
        <v>589</v>
      </c>
      <c r="B543" s="72"/>
      <c r="C543" s="72" t="s">
        <v>1467</v>
      </c>
      <c r="D543" s="76" t="s">
        <v>1172</v>
      </c>
      <c r="E543" s="72" t="s">
        <v>45</v>
      </c>
      <c r="F543" s="62" t="str">
        <f>VLOOKUP(A543,[1]基准价格!$A:$G,7,0)</f>
        <v>据实结算</v>
      </c>
      <c r="G543" s="56">
        <f>SUMIF('2.报价结算清单'!$F$7:$F$679,$A543,'2.报价结算清单'!$L$7:$L$679)</f>
        <v>0</v>
      </c>
      <c r="H543" s="56">
        <f>SUMIF('2.报价结算清单'!$F$7:$F$679,$A543,'2.报价结算清单'!$N$7:$N$679)</f>
        <v>0</v>
      </c>
      <c r="I543" s="59">
        <f>SUMIF('2.报价结算清单'!$F$7:$F$679,A543,'2.报价结算清单'!$P$7:$P$679)</f>
        <v>0</v>
      </c>
    </row>
    <row r="544" spans="1:9">
      <c r="A544" s="74" t="s">
        <v>590</v>
      </c>
      <c r="B544" s="72"/>
      <c r="C544" s="72" t="s">
        <v>1467</v>
      </c>
      <c r="D544" s="76" t="s">
        <v>1173</v>
      </c>
      <c r="E544" s="72" t="s">
        <v>45</v>
      </c>
      <c r="F544" s="62" t="str">
        <f>VLOOKUP(A544,[1]基准价格!$A:$G,7,0)</f>
        <v>据实结算</v>
      </c>
      <c r="G544" s="56">
        <f>SUMIF('2.报价结算清单'!$F$7:$F$679,$A544,'2.报价结算清单'!$L$7:$L$679)</f>
        <v>0</v>
      </c>
      <c r="H544" s="56">
        <f>SUMIF('2.报价结算清单'!$F$7:$F$679,$A544,'2.报价结算清单'!$N$7:$N$679)</f>
        <v>0</v>
      </c>
      <c r="I544" s="59">
        <f>SUMIF('2.报价结算清单'!$F$7:$F$679,A544,'2.报价结算清单'!$P$7:$P$679)</f>
        <v>0</v>
      </c>
    </row>
    <row r="545" spans="1:9">
      <c r="A545" s="74" t="s">
        <v>591</v>
      </c>
      <c r="B545" s="72"/>
      <c r="C545" s="72" t="s">
        <v>1467</v>
      </c>
      <c r="D545" s="76" t="s">
        <v>1174</v>
      </c>
      <c r="E545" s="72" t="s">
        <v>45</v>
      </c>
      <c r="F545" s="62" t="str">
        <f>VLOOKUP(A545,[1]基准价格!$A:$G,7,0)</f>
        <v>据实结算</v>
      </c>
      <c r="G545" s="56">
        <f>SUMIF('2.报价结算清单'!$F$7:$F$679,$A545,'2.报价结算清单'!$L$7:$L$679)</f>
        <v>0</v>
      </c>
      <c r="H545" s="56">
        <f>SUMIF('2.报价结算清单'!$F$7:$F$679,$A545,'2.报价结算清单'!$N$7:$N$679)</f>
        <v>0</v>
      </c>
      <c r="I545" s="59">
        <f>SUMIF('2.报价结算清单'!$F$7:$F$679,A545,'2.报价结算清单'!$P$7:$P$679)</f>
        <v>0</v>
      </c>
    </row>
    <row r="546" spans="1:9">
      <c r="A546" s="74" t="s">
        <v>592</v>
      </c>
      <c r="B546" s="72"/>
      <c r="C546" s="72" t="s">
        <v>1467</v>
      </c>
      <c r="D546" s="76" t="s">
        <v>1175</v>
      </c>
      <c r="E546" s="72" t="s">
        <v>45</v>
      </c>
      <c r="F546" s="62" t="str">
        <f>VLOOKUP(A546,[1]基准价格!$A:$G,7,0)</f>
        <v>据实结算</v>
      </c>
      <c r="G546" s="56">
        <f>SUMIF('2.报价结算清单'!$F$7:$F$679,$A546,'2.报价结算清单'!$L$7:$L$679)</f>
        <v>0</v>
      </c>
      <c r="H546" s="56">
        <f>SUMIF('2.报价结算清单'!$F$7:$F$679,$A546,'2.报价结算清单'!$N$7:$N$679)</f>
        <v>0</v>
      </c>
      <c r="I546" s="59">
        <f>SUMIF('2.报价结算清单'!$F$7:$F$679,A546,'2.报价结算清单'!$P$7:$P$679)</f>
        <v>0</v>
      </c>
    </row>
    <row r="547" spans="1:9">
      <c r="A547" s="74" t="s">
        <v>593</v>
      </c>
      <c r="B547" s="72"/>
      <c r="C547" s="72" t="s">
        <v>1467</v>
      </c>
      <c r="D547" s="76" t="s">
        <v>1176</v>
      </c>
      <c r="E547" s="72" t="s">
        <v>45</v>
      </c>
      <c r="F547" s="62" t="str">
        <f>VLOOKUP(A547,[1]基准价格!$A:$G,7,0)</f>
        <v>据实结算</v>
      </c>
      <c r="G547" s="56">
        <f>SUMIF('2.报价结算清单'!$F$7:$F$679,$A547,'2.报价结算清单'!$L$7:$L$679)</f>
        <v>0</v>
      </c>
      <c r="H547" s="56">
        <f>SUMIF('2.报价结算清单'!$F$7:$F$679,$A547,'2.报价结算清单'!$N$7:$N$679)</f>
        <v>0</v>
      </c>
      <c r="I547" s="59">
        <f>SUMIF('2.报价结算清单'!$F$7:$F$679,A547,'2.报价结算清单'!$P$7:$P$679)</f>
        <v>0</v>
      </c>
    </row>
    <row r="548" spans="1:9">
      <c r="A548" s="74" t="s">
        <v>594</v>
      </c>
      <c r="B548" s="72"/>
      <c r="C548" s="72" t="s">
        <v>1467</v>
      </c>
      <c r="D548" s="76" t="s">
        <v>1177</v>
      </c>
      <c r="E548" s="72" t="s">
        <v>45</v>
      </c>
      <c r="F548" s="62" t="str">
        <f>VLOOKUP(A548,[1]基准价格!$A:$G,7,0)</f>
        <v>据实结算</v>
      </c>
      <c r="G548" s="56">
        <f>SUMIF('2.报价结算清单'!$F$7:$F$679,$A548,'2.报价结算清单'!$L$7:$L$679)</f>
        <v>0</v>
      </c>
      <c r="H548" s="56">
        <f>SUMIF('2.报价结算清单'!$F$7:$F$679,$A548,'2.报价结算清单'!$N$7:$N$679)</f>
        <v>0</v>
      </c>
      <c r="I548" s="59">
        <f>SUMIF('2.报价结算清单'!$F$7:$F$679,A548,'2.报价结算清单'!$P$7:$P$679)</f>
        <v>0</v>
      </c>
    </row>
    <row r="549" spans="1:9">
      <c r="A549" s="74" t="s">
        <v>595</v>
      </c>
      <c r="B549" s="72"/>
      <c r="C549" s="72" t="s">
        <v>1467</v>
      </c>
      <c r="D549" s="76" t="s">
        <v>1178</v>
      </c>
      <c r="E549" s="72" t="s">
        <v>45</v>
      </c>
      <c r="F549" s="62" t="str">
        <f>VLOOKUP(A549,[1]基准价格!$A:$G,7,0)</f>
        <v>据实结算</v>
      </c>
      <c r="G549" s="56">
        <f>SUMIF('2.报价结算清单'!$F$7:$F$679,$A549,'2.报价结算清单'!$L$7:$L$679)</f>
        <v>0</v>
      </c>
      <c r="H549" s="56">
        <f>SUMIF('2.报价结算清单'!$F$7:$F$679,$A549,'2.报价结算清单'!$N$7:$N$679)</f>
        <v>0</v>
      </c>
      <c r="I549" s="59">
        <f>SUMIF('2.报价结算清单'!$F$7:$F$679,A549,'2.报价结算清单'!$P$7:$P$679)</f>
        <v>0</v>
      </c>
    </row>
    <row r="550" spans="1:9">
      <c r="A550" s="74" t="s">
        <v>596</v>
      </c>
      <c r="B550" s="72"/>
      <c r="C550" s="72" t="s">
        <v>1467</v>
      </c>
      <c r="D550" s="76" t="s">
        <v>1179</v>
      </c>
      <c r="E550" s="72" t="s">
        <v>45</v>
      </c>
      <c r="F550" s="62" t="str">
        <f>VLOOKUP(A550,[1]基准价格!$A:$G,7,0)</f>
        <v>据实结算</v>
      </c>
      <c r="G550" s="56">
        <f>SUMIF('2.报价结算清单'!$F$7:$F$679,$A550,'2.报价结算清单'!$L$7:$L$679)</f>
        <v>0</v>
      </c>
      <c r="H550" s="56">
        <f>SUMIF('2.报价结算清单'!$F$7:$F$679,$A550,'2.报价结算清单'!$N$7:$N$679)</f>
        <v>0</v>
      </c>
      <c r="I550" s="59">
        <f>SUMIF('2.报价结算清单'!$F$7:$F$679,A550,'2.报价结算清单'!$P$7:$P$679)</f>
        <v>0</v>
      </c>
    </row>
    <row r="551" spans="1:9">
      <c r="A551" s="74" t="s">
        <v>597</v>
      </c>
      <c r="B551" s="72"/>
      <c r="C551" s="72" t="s">
        <v>1467</v>
      </c>
      <c r="D551" s="76" t="s">
        <v>1180</v>
      </c>
      <c r="E551" s="72" t="s">
        <v>45</v>
      </c>
      <c r="F551" s="62" t="str">
        <f>VLOOKUP(A551,[1]基准价格!$A:$G,7,0)</f>
        <v>据实结算</v>
      </c>
      <c r="G551" s="56">
        <f>SUMIF('2.报价结算清单'!$F$7:$F$679,$A551,'2.报价结算清单'!$L$7:$L$679)</f>
        <v>0</v>
      </c>
      <c r="H551" s="56">
        <f>SUMIF('2.报价结算清单'!$F$7:$F$679,$A551,'2.报价结算清单'!$N$7:$N$679)</f>
        <v>0</v>
      </c>
      <c r="I551" s="59">
        <f>SUMIF('2.报价结算清单'!$F$7:$F$679,A551,'2.报价结算清单'!$P$7:$P$679)</f>
        <v>0</v>
      </c>
    </row>
    <row r="552" spans="1:9">
      <c r="A552" s="74" t="s">
        <v>598</v>
      </c>
      <c r="B552" s="72"/>
      <c r="C552" s="72" t="s">
        <v>1467</v>
      </c>
      <c r="D552" s="76" t="s">
        <v>1181</v>
      </c>
      <c r="E552" s="72" t="s">
        <v>45</v>
      </c>
      <c r="F552" s="62" t="str">
        <f>VLOOKUP(A552,[1]基准价格!$A:$G,7,0)</f>
        <v>据实结算</v>
      </c>
      <c r="G552" s="56">
        <f>SUMIF('2.报价结算清单'!$F$7:$F$679,$A552,'2.报价结算清单'!$L$7:$L$679)</f>
        <v>0</v>
      </c>
      <c r="H552" s="56">
        <f>SUMIF('2.报价结算清单'!$F$7:$F$679,$A552,'2.报价结算清单'!$N$7:$N$679)</f>
        <v>0</v>
      </c>
      <c r="I552" s="59">
        <f>SUMIF('2.报价结算清单'!$F$7:$F$679,A552,'2.报价结算清单'!$P$7:$P$679)</f>
        <v>0</v>
      </c>
    </row>
    <row r="553" spans="1:9">
      <c r="A553" s="74" t="s">
        <v>599</v>
      </c>
      <c r="B553" s="72"/>
      <c r="C553" s="72" t="s">
        <v>1467</v>
      </c>
      <c r="D553" s="76" t="s">
        <v>1182</v>
      </c>
      <c r="E553" s="72" t="s">
        <v>45</v>
      </c>
      <c r="F553" s="62" t="str">
        <f>VLOOKUP(A553,[1]基准价格!$A:$G,7,0)</f>
        <v>据实结算</v>
      </c>
      <c r="G553" s="56">
        <f>SUMIF('2.报价结算清单'!$F$7:$F$679,$A553,'2.报价结算清单'!$L$7:$L$679)</f>
        <v>0</v>
      </c>
      <c r="H553" s="56">
        <f>SUMIF('2.报价结算清单'!$F$7:$F$679,$A553,'2.报价结算清单'!$N$7:$N$679)</f>
        <v>0</v>
      </c>
      <c r="I553" s="59">
        <f>SUMIF('2.报价结算清单'!$F$7:$F$679,A553,'2.报价结算清单'!$P$7:$P$679)</f>
        <v>0</v>
      </c>
    </row>
    <row r="554" spans="1:9">
      <c r="A554" s="74" t="s">
        <v>600</v>
      </c>
      <c r="B554" s="72"/>
      <c r="C554" s="72" t="s">
        <v>1467</v>
      </c>
      <c r="D554" s="76" t="s">
        <v>1183</v>
      </c>
      <c r="E554" s="72" t="s">
        <v>45</v>
      </c>
      <c r="F554" s="62" t="str">
        <f>VLOOKUP(A554,[1]基准价格!$A:$G,7,0)</f>
        <v>据实结算</v>
      </c>
      <c r="G554" s="56">
        <f>SUMIF('2.报价结算清单'!$F$7:$F$679,$A554,'2.报价结算清单'!$L$7:$L$679)</f>
        <v>0</v>
      </c>
      <c r="H554" s="56">
        <f>SUMIF('2.报价结算清单'!$F$7:$F$679,$A554,'2.报价结算清单'!$N$7:$N$679)</f>
        <v>0</v>
      </c>
      <c r="I554" s="59">
        <f>SUMIF('2.报价结算清单'!$F$7:$F$679,A554,'2.报价结算清单'!$P$7:$P$679)</f>
        <v>0</v>
      </c>
    </row>
    <row r="555" spans="1:9" ht="28.5">
      <c r="A555" s="74" t="s">
        <v>601</v>
      </c>
      <c r="B555" s="72"/>
      <c r="C555" s="72" t="s">
        <v>1467</v>
      </c>
      <c r="D555" s="76" t="s">
        <v>1184</v>
      </c>
      <c r="E555" s="72" t="s">
        <v>45</v>
      </c>
      <c r="F555" s="62" t="str">
        <f>VLOOKUP(A555,[1]基准价格!$A:$G,7,0)</f>
        <v>据实结算</v>
      </c>
      <c r="G555" s="56">
        <f>SUMIF('2.报价结算清单'!$F$7:$F$679,$A555,'2.报价结算清单'!$L$7:$L$679)</f>
        <v>0</v>
      </c>
      <c r="H555" s="56">
        <f>SUMIF('2.报价结算清单'!$F$7:$F$679,$A555,'2.报价结算清单'!$N$7:$N$679)</f>
        <v>0</v>
      </c>
      <c r="I555" s="59">
        <f>SUMIF('2.报价结算清单'!$F$7:$F$679,A555,'2.报价结算清单'!$P$7:$P$679)</f>
        <v>0</v>
      </c>
    </row>
    <row r="556" spans="1:9">
      <c r="A556" s="74" t="s">
        <v>602</v>
      </c>
      <c r="B556" s="72"/>
      <c r="C556" s="72" t="s">
        <v>1467</v>
      </c>
      <c r="D556" s="76" t="s">
        <v>1185</v>
      </c>
      <c r="E556" s="72" t="s">
        <v>45</v>
      </c>
      <c r="F556" s="62" t="str">
        <f>VLOOKUP(A556,[1]基准价格!$A:$G,7,0)</f>
        <v>据实结算</v>
      </c>
      <c r="G556" s="56">
        <f>SUMIF('2.报价结算清单'!$F$7:$F$679,$A556,'2.报价结算清单'!$L$7:$L$679)</f>
        <v>0</v>
      </c>
      <c r="H556" s="56">
        <f>SUMIF('2.报价结算清单'!$F$7:$F$679,$A556,'2.报价结算清单'!$N$7:$N$679)</f>
        <v>0</v>
      </c>
      <c r="I556" s="59">
        <f>SUMIF('2.报价结算清单'!$F$7:$F$679,A556,'2.报价结算清单'!$P$7:$P$679)</f>
        <v>0</v>
      </c>
    </row>
    <row r="557" spans="1:9">
      <c r="A557" s="74" t="s">
        <v>618</v>
      </c>
      <c r="B557" s="72"/>
      <c r="C557" s="72" t="s">
        <v>1468</v>
      </c>
      <c r="D557" s="76" t="s">
        <v>1186</v>
      </c>
      <c r="E557" s="72" t="s">
        <v>45</v>
      </c>
      <c r="F557" s="62" t="str">
        <f>VLOOKUP(A557,[1]基准价格!$A:$G,7,0)</f>
        <v>据实结算</v>
      </c>
      <c r="G557" s="56">
        <f>SUMIF('2.报价结算清单'!$F$7:$F$679,$A557,'2.报价结算清单'!$L$7:$L$679)</f>
        <v>0</v>
      </c>
      <c r="H557" s="56">
        <f>SUMIF('2.报价结算清单'!$F$7:$F$679,$A557,'2.报价结算清单'!$N$7:$N$679)</f>
        <v>0</v>
      </c>
      <c r="I557" s="59">
        <f>SUMIF('2.报价结算清单'!$F$7:$F$679,A557,'2.报价结算清单'!$P$7:$P$679)</f>
        <v>0</v>
      </c>
    </row>
    <row r="558" spans="1:9">
      <c r="A558" s="74" t="s">
        <v>603</v>
      </c>
      <c r="B558" s="72"/>
      <c r="C558" s="72" t="s">
        <v>1468</v>
      </c>
      <c r="D558" s="76" t="s">
        <v>1187</v>
      </c>
      <c r="E558" s="72" t="s">
        <v>45</v>
      </c>
      <c r="F558" s="62" t="str">
        <f>VLOOKUP(A558,[1]基准价格!$A:$G,7,0)</f>
        <v>据实结算</v>
      </c>
      <c r="G558" s="56">
        <f>SUMIF('2.报价结算清单'!$F$7:$F$679,$A558,'2.报价结算清单'!$L$7:$L$679)</f>
        <v>0</v>
      </c>
      <c r="H558" s="56">
        <f>SUMIF('2.报价结算清单'!$F$7:$F$679,$A558,'2.报价结算清单'!$N$7:$N$679)</f>
        <v>0</v>
      </c>
      <c r="I558" s="59">
        <f>SUMIF('2.报价结算清单'!$F$7:$F$679,A558,'2.报价结算清单'!$P$7:$P$679)</f>
        <v>0</v>
      </c>
    </row>
    <row r="559" spans="1:9">
      <c r="A559" s="74" t="s">
        <v>604</v>
      </c>
      <c r="B559" s="72"/>
      <c r="C559" s="72" t="s">
        <v>1468</v>
      </c>
      <c r="D559" s="76" t="s">
        <v>1188</v>
      </c>
      <c r="E559" s="72" t="s">
        <v>45</v>
      </c>
      <c r="F559" s="62" t="str">
        <f>VLOOKUP(A559,[1]基准价格!$A:$G,7,0)</f>
        <v>据实结算</v>
      </c>
      <c r="G559" s="56">
        <f>SUMIF('2.报价结算清单'!$F$7:$F$679,$A559,'2.报价结算清单'!$L$7:$L$679)</f>
        <v>0</v>
      </c>
      <c r="H559" s="56">
        <f>SUMIF('2.报价结算清单'!$F$7:$F$679,$A559,'2.报价结算清单'!$N$7:$N$679)</f>
        <v>0</v>
      </c>
      <c r="I559" s="59">
        <f>SUMIF('2.报价结算清单'!$F$7:$F$679,A559,'2.报价结算清单'!$P$7:$P$679)</f>
        <v>0</v>
      </c>
    </row>
    <row r="560" spans="1:9">
      <c r="A560" s="74" t="s">
        <v>619</v>
      </c>
      <c r="B560" s="72"/>
      <c r="C560" s="72" t="s">
        <v>1468</v>
      </c>
      <c r="D560" s="76" t="s">
        <v>1189</v>
      </c>
      <c r="E560" s="72" t="s">
        <v>45</v>
      </c>
      <c r="F560" s="62" t="str">
        <f>VLOOKUP(A560,[1]基准价格!$A:$G,7,0)</f>
        <v>据实结算</v>
      </c>
      <c r="G560" s="56">
        <f>SUMIF('2.报价结算清单'!$F$7:$F$679,$A560,'2.报价结算清单'!$L$7:$L$679)</f>
        <v>0</v>
      </c>
      <c r="H560" s="56">
        <f>SUMIF('2.报价结算清单'!$F$7:$F$679,$A560,'2.报价结算清单'!$N$7:$N$679)</f>
        <v>0</v>
      </c>
      <c r="I560" s="59">
        <f>SUMIF('2.报价结算清单'!$F$7:$F$679,A560,'2.报价结算清单'!$P$7:$P$679)</f>
        <v>0</v>
      </c>
    </row>
    <row r="561" spans="1:9">
      <c r="A561" s="74" t="s">
        <v>620</v>
      </c>
      <c r="B561" s="72"/>
      <c r="C561" s="72" t="s">
        <v>1468</v>
      </c>
      <c r="D561" s="76" t="s">
        <v>1190</v>
      </c>
      <c r="E561" s="72" t="s">
        <v>45</v>
      </c>
      <c r="F561" s="62" t="str">
        <f>VLOOKUP(A561,[1]基准价格!$A:$G,7,0)</f>
        <v>据实结算</v>
      </c>
      <c r="G561" s="56">
        <f>SUMIF('2.报价结算清单'!$F$7:$F$679,$A561,'2.报价结算清单'!$L$7:$L$679)</f>
        <v>0</v>
      </c>
      <c r="H561" s="56">
        <f>SUMIF('2.报价结算清单'!$F$7:$F$679,$A561,'2.报价结算清单'!$N$7:$N$679)</f>
        <v>0</v>
      </c>
      <c r="I561" s="59">
        <f>SUMIF('2.报价结算清单'!$F$7:$F$679,A561,'2.报价结算清单'!$P$7:$P$679)</f>
        <v>0</v>
      </c>
    </row>
    <row r="562" spans="1:9">
      <c r="A562" s="74" t="s">
        <v>621</v>
      </c>
      <c r="B562" s="72"/>
      <c r="C562" s="72" t="s">
        <v>1468</v>
      </c>
      <c r="D562" s="76" t="s">
        <v>1191</v>
      </c>
      <c r="E562" s="72" t="s">
        <v>45</v>
      </c>
      <c r="F562" s="62" t="str">
        <f>VLOOKUP(A562,[1]基准价格!$A:$G,7,0)</f>
        <v>据实结算</v>
      </c>
      <c r="G562" s="56">
        <f>SUMIF('2.报价结算清单'!$F$7:$F$679,$A562,'2.报价结算清单'!$L$7:$L$679)</f>
        <v>0</v>
      </c>
      <c r="H562" s="56">
        <f>SUMIF('2.报价结算清单'!$F$7:$F$679,$A562,'2.报价结算清单'!$N$7:$N$679)</f>
        <v>0</v>
      </c>
      <c r="I562" s="59">
        <f>SUMIF('2.报价结算清单'!$F$7:$F$679,A562,'2.报价结算清单'!$P$7:$P$679)</f>
        <v>0</v>
      </c>
    </row>
    <row r="563" spans="1:9">
      <c r="A563" s="74" t="s">
        <v>622</v>
      </c>
      <c r="B563" s="72"/>
      <c r="C563" s="72" t="s">
        <v>1468</v>
      </c>
      <c r="D563" s="76" t="s">
        <v>1192</v>
      </c>
      <c r="E563" s="72" t="s">
        <v>45</v>
      </c>
      <c r="F563" s="62" t="str">
        <f>VLOOKUP(A563,[1]基准价格!$A:$G,7,0)</f>
        <v>据实结算</v>
      </c>
      <c r="G563" s="56">
        <f>SUMIF('2.报价结算清单'!$F$7:$F$679,$A563,'2.报价结算清单'!$L$7:$L$679)</f>
        <v>0</v>
      </c>
      <c r="H563" s="56">
        <f>SUMIF('2.报价结算清单'!$F$7:$F$679,$A563,'2.报价结算清单'!$N$7:$N$679)</f>
        <v>0</v>
      </c>
      <c r="I563" s="59">
        <f>SUMIF('2.报价结算清单'!$F$7:$F$679,A563,'2.报价结算清单'!$P$7:$P$679)</f>
        <v>0</v>
      </c>
    </row>
    <row r="564" spans="1:9" ht="28.5">
      <c r="A564" s="74" t="s">
        <v>623</v>
      </c>
      <c r="B564" s="72"/>
      <c r="C564" s="72" t="s">
        <v>1468</v>
      </c>
      <c r="D564" s="76" t="s">
        <v>1193</v>
      </c>
      <c r="E564" s="72" t="s">
        <v>1223</v>
      </c>
      <c r="F564" s="62" t="str">
        <f>VLOOKUP(A564,[1]基准价格!$A:$G,7,0)</f>
        <v>据实结算</v>
      </c>
      <c r="G564" s="56">
        <f>SUMIF('2.报价结算清单'!$F$7:$F$679,$A564,'2.报价结算清单'!$L$7:$L$679)</f>
        <v>0</v>
      </c>
      <c r="H564" s="56">
        <f>SUMIF('2.报价结算清单'!$F$7:$F$679,$A564,'2.报价结算清单'!$N$7:$N$679)</f>
        <v>0</v>
      </c>
      <c r="I564" s="59">
        <f>SUMIF('2.报价结算清单'!$F$7:$F$679,A564,'2.报价结算清单'!$P$7:$P$679)</f>
        <v>0</v>
      </c>
    </row>
    <row r="565" spans="1:9" ht="28.5">
      <c r="A565" s="74" t="s">
        <v>624</v>
      </c>
      <c r="B565" s="72"/>
      <c r="C565" s="72" t="s">
        <v>1468</v>
      </c>
      <c r="D565" s="76" t="s">
        <v>1194</v>
      </c>
      <c r="E565" s="72" t="s">
        <v>1218</v>
      </c>
      <c r="F565" s="62">
        <f>VLOOKUP(A565,[1]基准价格!$A:$G,7,0)</f>
        <v>446.26</v>
      </c>
      <c r="G565" s="56">
        <f>SUMIF('2.报价结算清单'!$F$7:$F$679,$A565,'2.报价结算清单'!$L$7:$L$679)</f>
        <v>0</v>
      </c>
      <c r="H565" s="56">
        <f>SUMIF('2.报价结算清单'!$F$7:$F$679,$A565,'2.报价结算清单'!$N$7:$N$679)</f>
        <v>0</v>
      </c>
      <c r="I565" s="59">
        <f>SUMIF('2.报价结算清单'!$F$7:$F$679,A565,'2.报价结算清单'!$P$7:$P$679)</f>
        <v>0</v>
      </c>
    </row>
    <row r="566" spans="1:9" ht="28.5">
      <c r="A566" s="74" t="s">
        <v>625</v>
      </c>
      <c r="B566" s="72"/>
      <c r="C566" s="72" t="s">
        <v>1468</v>
      </c>
      <c r="D566" s="76" t="s">
        <v>1195</v>
      </c>
      <c r="E566" s="72" t="s">
        <v>1218</v>
      </c>
      <c r="F566" s="62">
        <f>VLOOKUP(A566,[1]基准价格!$A:$G,7,0)</f>
        <v>742</v>
      </c>
      <c r="G566" s="56">
        <f>SUMIF('2.报价结算清单'!$F$7:$F$679,$A566,'2.报价结算清单'!$L$7:$L$679)</f>
        <v>24</v>
      </c>
      <c r="H566" s="56">
        <f>SUMIF('2.报价结算清单'!$F$7:$F$679,$A566,'2.报价结算清单'!$N$7:$N$679)</f>
        <v>10</v>
      </c>
      <c r="I566" s="59">
        <f>SUMIF('2.报价结算清单'!$F$7:$F$679,A566,'2.报价结算清单'!$P$7:$P$679)</f>
        <v>112784</v>
      </c>
    </row>
    <row r="567" spans="1:9" ht="28.5">
      <c r="A567" s="74" t="s">
        <v>626</v>
      </c>
      <c r="B567" s="72"/>
      <c r="C567" s="72" t="s">
        <v>1468</v>
      </c>
      <c r="D567" s="76" t="s">
        <v>1196</v>
      </c>
      <c r="E567" s="72" t="s">
        <v>1218</v>
      </c>
      <c r="F567" s="62">
        <f>VLOOKUP(A567,[1]基准价格!$A:$G,7,0)</f>
        <v>1272</v>
      </c>
      <c r="G567" s="56">
        <f>SUMIF('2.报价结算清单'!$F$7:$F$679,$A567,'2.报价结算清单'!$L$7:$L$679)</f>
        <v>0</v>
      </c>
      <c r="H567" s="56">
        <f>SUMIF('2.报价结算清单'!$F$7:$F$679,$A567,'2.报价结算清单'!$N$7:$N$679)</f>
        <v>0</v>
      </c>
      <c r="I567" s="59">
        <f>SUMIF('2.报价结算清单'!$F$7:$F$679,A567,'2.报价结算清单'!$P$7:$P$679)</f>
        <v>0</v>
      </c>
    </row>
    <row r="568" spans="1:9">
      <c r="A568" s="74" t="s">
        <v>627</v>
      </c>
      <c r="B568" s="72"/>
      <c r="C568" s="72" t="s">
        <v>1468</v>
      </c>
      <c r="D568" s="76" t="s">
        <v>1197</v>
      </c>
      <c r="E568" s="72" t="s">
        <v>1215</v>
      </c>
      <c r="F568" s="62">
        <f>VLOOKUP(A568,[1]基准价格!$A:$G,7,0)</f>
        <v>530</v>
      </c>
      <c r="G568" s="56">
        <f>SUMIF('2.报价结算清单'!$F$7:$F$679,$A568,'2.报价结算清单'!$L$7:$L$679)</f>
        <v>0</v>
      </c>
      <c r="H568" s="56">
        <f>SUMIF('2.报价结算清单'!$F$7:$F$679,$A568,'2.报价结算清单'!$N$7:$N$679)</f>
        <v>0</v>
      </c>
      <c r="I568" s="59">
        <f>SUMIF('2.报价结算清单'!$F$7:$F$679,A568,'2.报价结算清单'!$P$7:$P$679)</f>
        <v>0</v>
      </c>
    </row>
    <row r="569" spans="1:9">
      <c r="A569" s="74" t="s">
        <v>628</v>
      </c>
      <c r="B569" s="72"/>
      <c r="C569" s="72" t="s">
        <v>1468</v>
      </c>
      <c r="D569" s="76" t="s">
        <v>1198</v>
      </c>
      <c r="E569" s="72" t="s">
        <v>1215</v>
      </c>
      <c r="F569" s="62">
        <f>VLOOKUP(A569,[1]基准价格!$A:$G,7,0)</f>
        <v>1590</v>
      </c>
      <c r="G569" s="56">
        <f>SUMIF('2.报价结算清单'!$F$7:$F$679,$A569,'2.报价结算清单'!$L$7:$L$679)</f>
        <v>0</v>
      </c>
      <c r="H569" s="56">
        <f>SUMIF('2.报价结算清单'!$F$7:$F$679,$A569,'2.报价结算清单'!$N$7:$N$679)</f>
        <v>0</v>
      </c>
      <c r="I569" s="59">
        <f>SUMIF('2.报价结算清单'!$F$7:$F$679,A569,'2.报价结算清单'!$P$7:$P$679)</f>
        <v>0</v>
      </c>
    </row>
    <row r="570" spans="1:9">
      <c r="A570" s="74" t="s">
        <v>629</v>
      </c>
      <c r="B570" s="72"/>
      <c r="C570" s="72" t="s">
        <v>1468</v>
      </c>
      <c r="D570" s="76" t="s">
        <v>1199</v>
      </c>
      <c r="E570" s="72" t="s">
        <v>1215</v>
      </c>
      <c r="F570" s="62">
        <f>VLOOKUP(A570,[1]基准价格!$A:$G,7,0)</f>
        <v>2120</v>
      </c>
      <c r="G570" s="56">
        <f>SUMIF('2.报价结算清单'!$F$7:$F$679,$A570,'2.报价结算清单'!$L$7:$L$679)</f>
        <v>0</v>
      </c>
      <c r="H570" s="56">
        <f>SUMIF('2.报价结算清单'!$F$7:$F$679,$A570,'2.报价结算清单'!$N$7:$N$679)</f>
        <v>0</v>
      </c>
      <c r="I570" s="59">
        <f>SUMIF('2.报价结算清单'!$F$7:$F$679,A570,'2.报价结算清单'!$P$7:$P$679)</f>
        <v>0</v>
      </c>
    </row>
    <row r="571" spans="1:9" ht="28.5">
      <c r="A571" s="74" t="s">
        <v>630</v>
      </c>
      <c r="B571" s="72"/>
      <c r="C571" s="72" t="s">
        <v>1468</v>
      </c>
      <c r="D571" s="76" t="s">
        <v>1200</v>
      </c>
      <c r="E571" s="72" t="s">
        <v>45</v>
      </c>
      <c r="F571" s="62" t="str">
        <f>VLOOKUP(A571,[1]基准价格!$A:$G,7,0)</f>
        <v>据实结算</v>
      </c>
      <c r="G571" s="56">
        <f>SUMIF('2.报价结算清单'!$F$7:$F$679,$A571,'2.报价结算清单'!$L$7:$L$679)</f>
        <v>0</v>
      </c>
      <c r="H571" s="56">
        <f>SUMIF('2.报价结算清单'!$F$7:$F$679,$A571,'2.报价结算清单'!$N$7:$N$679)</f>
        <v>0</v>
      </c>
      <c r="I571" s="59">
        <f>SUMIF('2.报价结算清单'!$F$7:$F$679,A571,'2.报价结算清单'!$P$7:$P$679)</f>
        <v>0</v>
      </c>
    </row>
    <row r="572" spans="1:9" ht="28.5">
      <c r="A572" s="74" t="s">
        <v>631</v>
      </c>
      <c r="B572" s="72"/>
      <c r="C572" s="72" t="s">
        <v>1469</v>
      </c>
      <c r="D572" s="76" t="s">
        <v>1201</v>
      </c>
      <c r="E572" s="72" t="s">
        <v>45</v>
      </c>
      <c r="F572" s="62" t="str">
        <f>VLOOKUP(A572,[1]基准价格!$A:$G,7,0)</f>
        <v>据实结算</v>
      </c>
      <c r="G572" s="56">
        <f>SUMIF('2.报价结算清单'!$F$7:$F$679,$A572,'2.报价结算清单'!$L$7:$L$679)</f>
        <v>0</v>
      </c>
      <c r="H572" s="56">
        <f>SUMIF('2.报价结算清单'!$F$7:$F$679,$A572,'2.报价结算清单'!$N$7:$N$679)</f>
        <v>0</v>
      </c>
      <c r="I572" s="59">
        <f>SUMIF('2.报价结算清单'!$F$7:$F$679,A572,'2.报价结算清单'!$P$7:$P$679)</f>
        <v>0</v>
      </c>
    </row>
    <row r="573" spans="1:9">
      <c r="A573" s="74" t="s">
        <v>632</v>
      </c>
      <c r="B573" s="72"/>
      <c r="C573" s="72" t="s">
        <v>1470</v>
      </c>
      <c r="D573" s="76" t="s">
        <v>1202</v>
      </c>
      <c r="E573" s="72" t="s">
        <v>45</v>
      </c>
      <c r="F573" s="153">
        <v>0.1</v>
      </c>
      <c r="G573" s="56">
        <f>SUMIF('2.报价结算清单'!$F$7:$F$679,$A573,'2.报价结算清单'!$L$7:$L$679)</f>
        <v>0</v>
      </c>
      <c r="H573" s="56">
        <f>SUMIF('2.报价结算清单'!$F$7:$F$679,$A573,'2.报价结算清单'!$N$7:$N$679)</f>
        <v>1</v>
      </c>
      <c r="I573" s="59">
        <f>SUMIF('2.报价结算清单'!$F$7:$F$679,A573,'2.报价结算清单'!$P$7:$P$679)</f>
        <v>0</v>
      </c>
    </row>
    <row r="574" spans="1:9">
      <c r="A574" s="74" t="s">
        <v>664</v>
      </c>
      <c r="B574" s="72"/>
      <c r="C574" s="72" t="s">
        <v>1470</v>
      </c>
      <c r="D574" s="76" t="s">
        <v>1203</v>
      </c>
      <c r="E574" s="72" t="s">
        <v>45</v>
      </c>
      <c r="F574" s="153">
        <v>0.06</v>
      </c>
      <c r="G574" s="56">
        <f>SUMIF('2.报价结算清单'!$F$7:$F$679,$A574,'2.报价结算清单'!$L$7:$L$679)</f>
        <v>2294950</v>
      </c>
      <c r="H574" s="56">
        <f>SUMIF('2.报价结算清单'!$F$7:$F$679,$A574,'2.报价结算清单'!$N$7:$N$679)</f>
        <v>1</v>
      </c>
      <c r="I574" s="59">
        <f>SUMIF('2.报价结算清单'!$F$7:$F$679,A574,'2.报价结算清单'!$P$7:$P$679)</f>
        <v>137697</v>
      </c>
    </row>
    <row r="575" spans="1:9" ht="28.5">
      <c r="A575" s="74" t="s">
        <v>665</v>
      </c>
      <c r="B575" s="72"/>
      <c r="C575" s="72" t="s">
        <v>1470</v>
      </c>
      <c r="D575" s="76" t="s">
        <v>1204</v>
      </c>
      <c r="E575" s="72" t="s">
        <v>45</v>
      </c>
      <c r="F575" s="153">
        <v>0.06</v>
      </c>
      <c r="G575" s="56">
        <f>SUMIF('2.报价结算清单'!$F$7:$F$679,$A575,'2.报价结算清单'!$L$7:$L$679)</f>
        <v>4885138.88</v>
      </c>
      <c r="H575" s="56">
        <f>SUMIF('2.报价结算清单'!$F$7:$F$679,$A575,'2.报价结算清单'!$N$7:$N$679)</f>
        <v>1</v>
      </c>
      <c r="I575" s="59">
        <f>SUMIF('2.报价结算清单'!$F$7:$F$679,A575,'2.报价结算清单'!$P$7:$P$679)</f>
        <v>293108.33279999997</v>
      </c>
    </row>
    <row r="576" spans="1:9" ht="28.5">
      <c r="A576" s="74" t="s">
        <v>666</v>
      </c>
      <c r="B576" s="72"/>
      <c r="C576" s="72" t="s">
        <v>1470</v>
      </c>
      <c r="D576" s="76" t="s">
        <v>1205</v>
      </c>
      <c r="E576" s="72" t="s">
        <v>45</v>
      </c>
      <c r="F576" s="153">
        <v>0.1</v>
      </c>
      <c r="G576" s="56">
        <f>SUMIF('2.报价结算清单'!$F$7:$F$679,$A576,'2.报价结算清单'!$L$7:$L$679)</f>
        <v>636504.66799999995</v>
      </c>
      <c r="H576" s="56">
        <f>SUMIF('2.报价结算清单'!$F$7:$F$679,$A576,'2.报价结算清单'!$N$7:$N$679)</f>
        <v>1</v>
      </c>
      <c r="I576" s="59">
        <f>SUMIF('2.报价结算清单'!$F$7:$F$679,A576,'2.报价结算清单'!$P$7:$P$679)</f>
        <v>63650.466799999995</v>
      </c>
    </row>
    <row r="577" spans="1:9">
      <c r="A577" s="74" t="s">
        <v>667</v>
      </c>
      <c r="B577" s="72"/>
      <c r="C577" s="72" t="s">
        <v>1470</v>
      </c>
      <c r="D577" s="76" t="s">
        <v>1206</v>
      </c>
      <c r="E577" s="72" t="s">
        <v>45</v>
      </c>
      <c r="F577" s="153">
        <v>0.06</v>
      </c>
      <c r="G577" s="56">
        <f>SUMIF('2.报价结算清单'!$F$7:$F$679,$A577,'2.报价结算清单'!$L$7:$L$679)</f>
        <v>282400.40000000002</v>
      </c>
      <c r="H577" s="56">
        <f>SUMIF('2.报价结算清单'!$F$7:$F$679,$A577,'2.报价结算清单'!$N$7:$N$679)</f>
        <v>1</v>
      </c>
      <c r="I577" s="59">
        <f>SUMIF('2.报价结算清单'!$F$7:$F$679,A577,'2.报价结算清单'!$P$7:$P$679)</f>
        <v>16944.024000000001</v>
      </c>
    </row>
    <row r="578" spans="1:9">
      <c r="A578" s="74" t="s">
        <v>668</v>
      </c>
      <c r="B578" s="72"/>
      <c r="C578" s="72" t="s">
        <v>1470</v>
      </c>
      <c r="D578" s="76" t="s">
        <v>1207</v>
      </c>
      <c r="E578" s="72" t="s">
        <v>45</v>
      </c>
      <c r="F578" s="153">
        <v>0.06</v>
      </c>
      <c r="G578" s="56">
        <f>SUMIF('2.报价结算清单'!$F$7:$F$679,$A578,'2.报价结算清单'!$L$7:$L$679)</f>
        <v>178080</v>
      </c>
      <c r="H578" s="56">
        <f>SUMIF('2.报价结算清单'!$F$7:$F$679,$A578,'2.报价结算清单'!$N$7:$N$679)</f>
        <v>1</v>
      </c>
      <c r="I578" s="59">
        <f>SUMIF('2.报价结算清单'!$F$7:$F$679,A578,'2.报价结算清单'!$P$7:$P$679)</f>
        <v>10684.8</v>
      </c>
    </row>
    <row r="579" spans="1:9">
      <c r="A579" s="74" t="s">
        <v>669</v>
      </c>
      <c r="B579" s="72"/>
      <c r="C579" s="72" t="s">
        <v>1470</v>
      </c>
      <c r="D579" s="76" t="s">
        <v>1208</v>
      </c>
      <c r="E579" s="72" t="s">
        <v>45</v>
      </c>
      <c r="F579" s="153"/>
      <c r="G579" s="56">
        <f>SUMIF('2.报价结算清单'!$F$7:$F$679,$A579,'2.报价结算清单'!$L$7:$L$679)</f>
        <v>0</v>
      </c>
      <c r="H579" s="56">
        <f>SUMIF('2.报价结算清单'!$F$7:$F$679,$A579,'2.报价结算清单'!$N$7:$N$679)</f>
        <v>0</v>
      </c>
      <c r="I579" s="59">
        <f>SUMIF('2.报价结算清单'!$F$7:$F$679,A579,'2.报价结算清单'!$P$7:$P$679)</f>
        <v>0</v>
      </c>
    </row>
    <row r="580" spans="1:9">
      <c r="A580" s="74" t="s">
        <v>670</v>
      </c>
      <c r="B580" s="72"/>
      <c r="C580" s="72" t="s">
        <v>1470</v>
      </c>
      <c r="D580" s="76" t="s">
        <v>1209</v>
      </c>
      <c r="E580" s="72" t="s">
        <v>45</v>
      </c>
      <c r="F580" s="153"/>
      <c r="G580" s="56">
        <f>SUMIF('2.报价结算清单'!$F$7:$F$679,$A580,'2.报价结算清单'!$L$7:$L$679)</f>
        <v>0</v>
      </c>
      <c r="H580" s="56">
        <f>SUMIF('2.报价结算清单'!$F$7:$F$679,$A580,'2.报价结算清单'!$N$7:$N$679)</f>
        <v>0</v>
      </c>
      <c r="I580" s="59">
        <f>SUMIF('2.报价结算清单'!$F$7:$F$679,A580,'2.报价结算清单'!$P$7:$P$679)</f>
        <v>0</v>
      </c>
    </row>
    <row r="581" spans="1:9" ht="28.5">
      <c r="A581" s="74" t="s">
        <v>671</v>
      </c>
      <c r="B581" s="72"/>
      <c r="C581" s="72" t="s">
        <v>1470</v>
      </c>
      <c r="D581" s="76" t="s">
        <v>1210</v>
      </c>
      <c r="E581" s="72" t="s">
        <v>45</v>
      </c>
      <c r="F581" s="153"/>
      <c r="G581" s="56">
        <f>SUMIF('2.报价结算清单'!$F$7:$F$679,$A581,'2.报价结算清单'!$L$7:$L$679)</f>
        <v>0</v>
      </c>
      <c r="H581" s="56">
        <f>SUMIF('2.报价结算清单'!$F$7:$F$679,$A581,'2.报价结算清单'!$N$7:$N$679)</f>
        <v>0</v>
      </c>
      <c r="I581" s="59">
        <f>SUMIF('2.报价结算清单'!$F$7:$F$679,A581,'2.报价结算清单'!$P$7:$P$679)</f>
        <v>0</v>
      </c>
    </row>
    <row r="582" spans="1:9" ht="28.5">
      <c r="A582" s="74" t="s">
        <v>672</v>
      </c>
      <c r="B582" s="72"/>
      <c r="C582" s="72" t="s">
        <v>1470</v>
      </c>
      <c r="D582" s="76" t="s">
        <v>1211</v>
      </c>
      <c r="E582" s="72" t="s">
        <v>45</v>
      </c>
      <c r="F582" s="153"/>
      <c r="G582" s="56">
        <f>SUMIF('2.报价结算清单'!$F$7:$F$679,$A582,'2.报价结算清单'!$L$7:$L$679)</f>
        <v>0</v>
      </c>
      <c r="H582" s="56">
        <f>SUMIF('2.报价结算清单'!$F$7:$F$679,$A582,'2.报价结算清单'!$N$7:$N$679)</f>
        <v>0</v>
      </c>
      <c r="I582" s="59">
        <f>SUMIF('2.报价结算清单'!$F$7:$F$679,A582,'2.报价结算清单'!$P$7:$P$679)</f>
        <v>0</v>
      </c>
    </row>
    <row r="583" spans="1:9">
      <c r="A583" s="74" t="s">
        <v>673</v>
      </c>
      <c r="B583" s="72"/>
      <c r="C583" s="72" t="s">
        <v>1470</v>
      </c>
      <c r="D583" s="76" t="s">
        <v>1212</v>
      </c>
      <c r="E583" s="72" t="s">
        <v>45</v>
      </c>
      <c r="F583" s="153"/>
      <c r="G583" s="56">
        <f>SUMIF('2.报价结算清单'!$F$7:$F$679,$A583,'2.报价结算清单'!$L$7:$L$679)</f>
        <v>0</v>
      </c>
      <c r="H583" s="56">
        <f>SUMIF('2.报价结算清单'!$F$7:$F$679,$A583,'2.报价结算清单'!$N$7:$N$679)</f>
        <v>0</v>
      </c>
      <c r="I583" s="59">
        <f>SUMIF('2.报价结算清单'!$F$7:$F$679,A583,'2.报价结算清单'!$P$7:$P$679)</f>
        <v>0</v>
      </c>
    </row>
    <row r="585" spans="1:9">
      <c r="D585" s="193"/>
    </row>
  </sheetData>
  <sheetProtection algorithmName="SHA-512" hashValue="5MwfY5u616LpwaIt+9gu02TeYtw5Rc0+p+I7vZvWVKHyqbPbLDPJk2rYOjo3kwfi1xJ9GGDuiVr7Y0LCceVK0g==" saltValue="ahpMdp7YBhh9MHmX7nCtEA==" spinCount="100000" sheet="1" objects="1" scenarios="1" formatCells="0" formatColumns="0" formatRows="0" autoFilter="0"/>
  <autoFilter ref="A1:I583" xr:uid="{00000000-0001-0000-0200-000000000000}"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使用说明</vt:lpstr>
      <vt:lpstr>框架条目清单</vt:lpstr>
      <vt:lpstr>本次清单文件-活动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2024-02-01T14:05:38Z</dcterms:modified>
</cp:coreProperties>
</file>