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9FE6366A-3EA7-4842-BD84-16B38C550FC2}" xr6:coauthVersionLast="47" xr6:coauthVersionMax="47" xr10:uidLastSave="{00000000-0000-0000-0000-000000000000}"/>
  <bookViews>
    <workbookView xWindow="72" yWindow="24" windowWidth="22968" windowHeight="12216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</workbook>
</file>

<file path=xl/calcChain.xml><?xml version="1.0" encoding="utf-8"?>
<calcChain xmlns="http://schemas.openxmlformats.org/spreadsheetml/2006/main">
  <c r="L44" i="14" l="1"/>
  <c r="R43" i="14"/>
  <c r="Q43" i="14"/>
  <c r="P43" i="14"/>
  <c r="L43" i="14"/>
  <c r="M43" i="14"/>
  <c r="K43" i="14"/>
  <c r="J43" i="14"/>
  <c r="I43" i="14"/>
  <c r="H43" i="14"/>
  <c r="G43" i="14"/>
  <c r="P21" i="14"/>
  <c r="K21" i="14"/>
  <c r="Q21" i="14" s="1"/>
  <c r="G21" i="14"/>
  <c r="P20" i="14"/>
  <c r="K20" i="14"/>
  <c r="Q20" i="14" s="1"/>
  <c r="G20" i="14"/>
  <c r="P16" i="14"/>
  <c r="K16" i="14"/>
  <c r="Q16" i="14" s="1"/>
  <c r="G16" i="14"/>
  <c r="P14" i="14"/>
  <c r="K14" i="14"/>
  <c r="Q14" i="14" s="1"/>
  <c r="G14" i="14"/>
  <c r="P25" i="14"/>
  <c r="K25" i="14"/>
  <c r="Q25" i="14" s="1"/>
  <c r="G25" i="14"/>
  <c r="P23" i="14"/>
  <c r="K23" i="14"/>
  <c r="Q23" i="14" s="1"/>
  <c r="G23" i="14"/>
  <c r="K44" i="14"/>
  <c r="J44" i="14"/>
  <c r="I44" i="14"/>
  <c r="H44" i="14"/>
  <c r="G44" i="14"/>
  <c r="K42" i="14"/>
  <c r="J42" i="14"/>
  <c r="I42" i="14"/>
  <c r="H42" i="14"/>
  <c r="G42" i="14"/>
  <c r="K41" i="14"/>
  <c r="J41" i="14"/>
  <c r="I41" i="14"/>
  <c r="H41" i="14"/>
  <c r="G41" i="14"/>
  <c r="P32" i="14"/>
  <c r="K32" i="14"/>
  <c r="Q32" i="14" s="1"/>
  <c r="G32" i="14"/>
  <c r="K28" i="14"/>
  <c r="Q28" i="14" s="1"/>
  <c r="J28" i="14"/>
  <c r="P28" i="14" s="1"/>
  <c r="I28" i="14"/>
  <c r="H28" i="14"/>
  <c r="G28" i="14"/>
  <c r="P27" i="14"/>
  <c r="K27" i="14"/>
  <c r="Q27" i="14" s="1"/>
  <c r="G27" i="14"/>
  <c r="P26" i="14"/>
  <c r="K26" i="14"/>
  <c r="Q26" i="14" s="1"/>
  <c r="G26" i="14"/>
  <c r="P24" i="14"/>
  <c r="K24" i="14"/>
  <c r="Q24" i="14" s="1"/>
  <c r="G24" i="14"/>
  <c r="P22" i="14"/>
  <c r="K22" i="14"/>
  <c r="Q22" i="14" s="1"/>
  <c r="G22" i="14"/>
  <c r="P19" i="14"/>
  <c r="K19" i="14"/>
  <c r="Q19" i="14" s="1"/>
  <c r="G19" i="14"/>
  <c r="P18" i="14"/>
  <c r="K18" i="14"/>
  <c r="Q18" i="14" s="1"/>
  <c r="G18" i="14"/>
  <c r="P17" i="14"/>
  <c r="K17" i="14"/>
  <c r="Q17" i="14" s="1"/>
  <c r="G17" i="14"/>
  <c r="K7" i="14"/>
  <c r="Q7" i="14" s="1"/>
  <c r="J7" i="14"/>
  <c r="P7" i="14" s="1"/>
  <c r="I7" i="14"/>
  <c r="H7" i="14"/>
  <c r="G7" i="14"/>
  <c r="K6" i="14"/>
  <c r="Q6" i="14" s="1"/>
  <c r="J6" i="14"/>
  <c r="P6" i="14" s="1"/>
  <c r="I6" i="14"/>
  <c r="H6" i="14"/>
  <c r="G6" i="14"/>
  <c r="P15" i="14"/>
  <c r="K15" i="14"/>
  <c r="Q15" i="14" s="1"/>
  <c r="G15" i="14"/>
  <c r="P36" i="14"/>
  <c r="K36" i="14"/>
  <c r="Q36" i="14" s="1"/>
  <c r="G36" i="14"/>
  <c r="P13" i="14"/>
  <c r="K13" i="14"/>
  <c r="Q13" i="14" s="1"/>
  <c r="G13" i="14"/>
  <c r="P12" i="14"/>
  <c r="K12" i="14"/>
  <c r="Q12" i="14" s="1"/>
  <c r="G12" i="14"/>
  <c r="P11" i="14"/>
  <c r="K11" i="14"/>
  <c r="Q11" i="14" s="1"/>
  <c r="G11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9" i="14"/>
  <c r="P49" i="14"/>
  <c r="K38" i="14"/>
  <c r="Q38" i="14" s="1"/>
  <c r="P38" i="14"/>
  <c r="G38" i="14"/>
  <c r="K37" i="14"/>
  <c r="Q37" i="14" s="1"/>
  <c r="P37" i="14"/>
  <c r="G37" i="14"/>
  <c r="K35" i="14"/>
  <c r="Q35" i="14" s="1"/>
  <c r="P35" i="14"/>
  <c r="G35" i="14"/>
  <c r="K31" i="14"/>
  <c r="Q31" i="14" s="1"/>
  <c r="P31" i="14"/>
  <c r="G31" i="14"/>
  <c r="K10" i="14"/>
  <c r="Q10" i="14" s="1"/>
  <c r="P10" i="14"/>
  <c r="G10" i="14"/>
  <c r="K5" i="14"/>
  <c r="Q5" i="14" s="1"/>
  <c r="J5" i="14"/>
  <c r="P5" i="14" s="1"/>
  <c r="I5" i="14"/>
  <c r="H5" i="14"/>
  <c r="G5" i="14"/>
  <c r="K2" i="14"/>
  <c r="Q2" i="14" s="1"/>
  <c r="J2" i="14"/>
  <c r="P2" i="14" s="1"/>
  <c r="I2" i="14"/>
  <c r="H2" i="14"/>
  <c r="G2" i="14"/>
  <c r="E16" i="15"/>
  <c r="C16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21" i="14" l="1"/>
  <c r="R20" i="14"/>
  <c r="R16" i="14"/>
  <c r="R25" i="14"/>
  <c r="R14" i="14"/>
  <c r="R23" i="14"/>
  <c r="R32" i="14"/>
  <c r="R27" i="14"/>
  <c r="R28" i="14"/>
  <c r="R40" i="23"/>
  <c r="R44" i="23"/>
  <c r="R63" i="23"/>
  <c r="R26" i="14"/>
  <c r="R24" i="14"/>
  <c r="R22" i="14"/>
  <c r="R19" i="14"/>
  <c r="R7" i="14"/>
  <c r="R18" i="14"/>
  <c r="R17" i="14"/>
  <c r="R6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R15" i="14"/>
  <c r="R11" i="14"/>
  <c r="G16" i="15"/>
  <c r="R49" i="14"/>
  <c r="R36" i="14"/>
  <c r="R13" i="14"/>
  <c r="R12" i="14"/>
  <c r="P4" i="14"/>
  <c r="R10" i="14"/>
  <c r="R37" i="14"/>
  <c r="P9" i="14"/>
  <c r="C11" i="15" s="1"/>
  <c r="Q9" i="14"/>
  <c r="E11" i="15" s="1"/>
  <c r="R38" i="14"/>
  <c r="Q10" i="23"/>
  <c r="R2" i="23"/>
  <c r="Q19" i="23"/>
  <c r="P37" i="23"/>
  <c r="R30" i="23"/>
  <c r="R34" i="23"/>
  <c r="Q37" i="23"/>
  <c r="R38" i="23"/>
  <c r="P61" i="23"/>
  <c r="R54" i="23"/>
  <c r="Q74" i="23"/>
  <c r="Q40" i="14"/>
  <c r="R35" i="14"/>
  <c r="R58" i="23"/>
  <c r="Q34" i="14"/>
  <c r="E13" i="15" s="1"/>
  <c r="R29" i="23"/>
  <c r="R33" i="23"/>
  <c r="P46" i="23"/>
  <c r="Q61" i="23"/>
  <c r="R53" i="23"/>
  <c r="R57" i="23"/>
  <c r="Q70" i="23"/>
  <c r="R62" i="23"/>
  <c r="Q4" i="14"/>
  <c r="R31" i="14"/>
  <c r="R11" i="23"/>
  <c r="Q28" i="23"/>
  <c r="R32" i="23"/>
  <c r="Q52" i="23"/>
  <c r="R56" i="23"/>
  <c r="R5" i="14"/>
  <c r="P30" i="14"/>
  <c r="L42" i="14" s="1"/>
  <c r="P34" i="14"/>
  <c r="C13" i="15" s="1"/>
  <c r="P40" i="14"/>
  <c r="R81" i="23"/>
  <c r="R2" i="14"/>
  <c r="Q30" i="14"/>
  <c r="C12" i="15" l="1"/>
  <c r="P42" i="14"/>
  <c r="C10" i="15"/>
  <c r="L41" i="14"/>
  <c r="P41" i="14" s="1"/>
  <c r="R10" i="23"/>
  <c r="R46" i="23"/>
  <c r="M41" i="14"/>
  <c r="Q41" i="14" s="1"/>
  <c r="M42" i="14" s="1"/>
  <c r="Q42" i="14" s="1"/>
  <c r="M44" i="14" s="1"/>
  <c r="Q44" i="14" s="1"/>
  <c r="C14" i="15"/>
  <c r="P76" i="23"/>
  <c r="R52" i="23"/>
  <c r="R61" i="23"/>
  <c r="R28" i="23"/>
  <c r="R70" i="23"/>
  <c r="R37" i="23"/>
  <c r="R19" i="23"/>
  <c r="R34" i="14"/>
  <c r="R9" i="14"/>
  <c r="L77" i="23"/>
  <c r="P77" i="23" s="1"/>
  <c r="P80" i="23" s="1"/>
  <c r="P83" i="23" s="1"/>
  <c r="R4" i="14"/>
  <c r="E10" i="15"/>
  <c r="R74" i="23"/>
  <c r="Q76" i="23"/>
  <c r="E12" i="15"/>
  <c r="R30" i="14"/>
  <c r="G13" i="15"/>
  <c r="R40" i="14"/>
  <c r="E14" i="15"/>
  <c r="G11" i="15"/>
  <c r="R42" i="14" l="1"/>
  <c r="P44" i="14"/>
  <c r="R44" i="14" s="1"/>
  <c r="R41" i="14"/>
  <c r="Q46" i="14"/>
  <c r="Q48" i="14" s="1"/>
  <c r="R76" i="23"/>
  <c r="P86" i="23"/>
  <c r="P84" i="23"/>
  <c r="P85" i="23"/>
  <c r="G10" i="15"/>
  <c r="G14" i="15"/>
  <c r="G12" i="15"/>
  <c r="M77" i="23"/>
  <c r="Q77" i="23" s="1"/>
  <c r="P46" i="14" l="1"/>
  <c r="Q51" i="14"/>
  <c r="Q80" i="23"/>
  <c r="R77" i="23"/>
  <c r="P48" i="14" l="1"/>
  <c r="P51" i="14" s="1"/>
  <c r="R46" i="14"/>
  <c r="R80" i="23"/>
  <c r="R83" i="23" s="1"/>
  <c r="Q83" i="23"/>
  <c r="Q54" i="14"/>
  <c r="Q52" i="14"/>
  <c r="Q53" i="14"/>
  <c r="E17" i="15"/>
  <c r="E18" i="15"/>
  <c r="R48" i="14" l="1"/>
  <c r="C17" i="15"/>
  <c r="P53" i="14"/>
  <c r="C18" i="15"/>
  <c r="D16" i="15" s="1"/>
  <c r="R51" i="14"/>
  <c r="P52" i="14"/>
  <c r="P54" i="14"/>
  <c r="Q86" i="23"/>
  <c r="Q84" i="23"/>
  <c r="Q85" i="23"/>
  <c r="G17" i="15"/>
  <c r="F17" i="15"/>
  <c r="F13" i="15"/>
  <c r="F11" i="15"/>
  <c r="F14" i="15"/>
  <c r="F12" i="15"/>
  <c r="F10" i="15"/>
  <c r="F16" i="15"/>
  <c r="G18" i="15" l="1"/>
  <c r="D17" i="15"/>
  <c r="D12" i="15"/>
  <c r="D11" i="15"/>
  <c r="D10" i="15"/>
  <c r="D14" i="15"/>
  <c r="D13" i="15"/>
</calcChain>
</file>

<file path=xl/sharedStrings.xml><?xml version="1.0" encoding="utf-8"?>
<sst xmlns="http://schemas.openxmlformats.org/spreadsheetml/2006/main" count="8196" uniqueCount="3026">
  <si>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</si>
  <si>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</si>
  <si>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</si>
  <si>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</si>
  <si>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</si>
  <si>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</si>
  <si>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</si>
  <si>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</si>
  <si>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</si>
  <si>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</si>
  <si>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</si>
  <si>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</si>
  <si>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</si>
  <si>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</si>
  <si>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</si>
  <si>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</si>
  <si>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</si>
  <si>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</si>
  <si>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</si>
  <si>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</si>
  <si>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</si>
  <si>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</si>
  <si>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</si>
  <si>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</si>
  <si>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</si>
  <si>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</si>
  <si>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</si>
  <si>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</si>
  <si>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</si>
  <si>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</si>
  <si>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</si>
  <si>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</si>
  <si>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</si>
  <si>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</si>
  <si>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</si>
  <si>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</si>
  <si>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</si>
  <si>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</si>
  <si>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</si>
  <si>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</si>
  <si>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</si>
  <si>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</si>
  <si>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</si>
  <si>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</si>
  <si>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</si>
  <si>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</si>
  <si>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</si>
  <si>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</si>
  <si>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</si>
  <si>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</si>
  <si>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</si>
  <si>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</si>
  <si>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</si>
  <si>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</si>
  <si>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</si>
  <si>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</si>
  <si>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</si>
  <si>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</si>
  <si>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</si>
  <si>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</si>
  <si>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</si>
  <si>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</si>
  <si>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</si>
  <si>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</si>
  <si>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</si>
  <si>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</si>
  <si>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</si>
  <si>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</si>
  <si>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</si>
  <si>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</si>
  <si>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</si>
  <si>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</si>
  <si>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</si>
  <si>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</si>
  <si>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</si>
  <si>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</si>
  <si>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</si>
  <si>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</si>
  <si>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</si>
  <si>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</si>
  <si>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</si>
  <si>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</si>
  <si>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</si>
  <si>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</si>
  <si>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</si>
  <si>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</si>
  <si>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</si>
  <si>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</si>
  <si>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</si>
  <si>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</si>
  <si>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</si>
  <si>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</si>
  <si>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</si>
  <si>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</si>
  <si>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</si>
  <si>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</si>
  <si>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</si>
  <si>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</si>
  <si>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</si>
  <si>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</si>
  <si>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</si>
  <si>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</si>
  <si>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</si>
  <si>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</si>
  <si>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</si>
  <si>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</si>
  <si>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</si>
  <si>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</si>
  <si>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</si>
  <si>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</si>
  <si>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</si>
  <si>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</si>
  <si>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</si>
  <si>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</si>
  <si>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</si>
  <si>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</si>
  <si>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</si>
  <si>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</si>
  <si>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</si>
  <si>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</si>
  <si>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</si>
  <si>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</si>
  <si>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</si>
  <si>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</si>
  <si>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</si>
  <si>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</si>
  <si>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</si>
  <si>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</si>
  <si>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</si>
  <si>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</si>
  <si>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</si>
  <si>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</si>
  <si>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</si>
  <si>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</si>
  <si>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</si>
  <si>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</si>
  <si>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</si>
  <si>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</si>
  <si>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</si>
  <si>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</si>
  <si>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</si>
  <si>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</si>
  <si>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</si>
  <si>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</si>
  <si>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</si>
  <si>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</si>
  <si>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</si>
  <si>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</si>
  <si>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</si>
  <si>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</si>
  <si>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</si>
  <si>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</si>
  <si>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</si>
  <si>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</si>
  <si>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</si>
  <si>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</si>
  <si>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</si>
  <si>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</si>
  <si>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</si>
  <si>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</si>
  <si>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</si>
  <si>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</si>
  <si>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</si>
  <si>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</si>
  <si>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</si>
  <si>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</si>
  <si>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</si>
  <si>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</si>
  <si>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</si>
  <si>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</si>
  <si>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</si>
  <si>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</si>
  <si>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</si>
  <si>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</si>
  <si>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</si>
  <si>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</si>
  <si>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</si>
  <si>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</si>
  <si>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</si>
  <si>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</si>
  <si>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</si>
  <si>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</si>
  <si>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</si>
  <si>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</si>
  <si>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</si>
  <si>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</si>
  <si>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</si>
  <si>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</si>
  <si>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</si>
  <si>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</si>
  <si>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</si>
  <si>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</si>
  <si>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</si>
  <si>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</si>
  <si>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</si>
  <si>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</si>
  <si>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</si>
  <si>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</si>
  <si>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</si>
  <si>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</si>
  <si>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</si>
  <si>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</si>
  <si>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</si>
  <si>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</si>
  <si>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</si>
  <si>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</si>
  <si>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</si>
  <si>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</si>
  <si>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</si>
  <si>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</si>
  <si>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</si>
  <si>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</si>
  <si>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</si>
  <si>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</si>
  <si>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</si>
  <si>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</si>
  <si>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</si>
  <si>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</si>
  <si>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</si>
  <si>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</si>
  <si>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</si>
  <si>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</si>
  <si>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</si>
  <si>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</si>
  <si>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</si>
  <si>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</si>
  <si>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</si>
  <si>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</si>
  <si>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</si>
  <si>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</si>
  <si>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</si>
  <si>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</si>
  <si>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</si>
  <si>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</si>
  <si>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</si>
  <si>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</si>
  <si>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</si>
  <si>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</si>
  <si>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</si>
  <si>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</si>
  <si>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</si>
  <si>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</si>
  <si>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</si>
  <si>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</si>
  <si>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</si>
  <si>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</si>
  <si>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</si>
  <si>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</si>
  <si>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</si>
  <si>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</si>
  <si>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</si>
  <si>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</si>
  <si>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</si>
  <si>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</si>
  <si>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</si>
  <si>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</si>
  <si>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</si>
  <si>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</si>
  <si>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</si>
  <si>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</si>
  <si>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</si>
  <si>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</si>
  <si>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</si>
  <si>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</si>
  <si>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</si>
  <si>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</si>
  <si>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</si>
  <si>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</si>
  <si>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</si>
  <si>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</si>
  <si>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</si>
  <si>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</si>
  <si>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</si>
  <si>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</si>
  <si>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</si>
  <si>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</si>
  <si>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</si>
  <si>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</si>
  <si>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</si>
  <si>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</si>
  <si>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</si>
  <si>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</si>
  <si>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</si>
  <si>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</si>
  <si>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</si>
  <si>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</si>
  <si>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</si>
  <si>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</si>
  <si>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</si>
  <si>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</si>
  <si>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</si>
  <si>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</si>
  <si>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</si>
  <si>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</si>
  <si>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</si>
  <si>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</si>
  <si>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</si>
  <si>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</si>
  <si>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</si>
  <si>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</si>
  <si>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</si>
  <si>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</si>
  <si>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</si>
  <si>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</si>
  <si>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</si>
  <si>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</si>
  <si>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</si>
  <si>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</si>
  <si>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</si>
  <si>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</si>
  <si>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</si>
  <si>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</si>
  <si>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</si>
  <si>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</si>
  <si>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</si>
  <si>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</si>
  <si>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</si>
  <si>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</si>
  <si>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</si>
  <si>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</si>
  <si>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</si>
  <si>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</si>
  <si>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</si>
  <si>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</si>
  <si>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</si>
  <si>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</si>
  <si>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</si>
  <si>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</si>
  <si>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</si>
  <si>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</si>
  <si>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</si>
  <si>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</si>
  <si>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</si>
  <si>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</si>
  <si>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</si>
  <si>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</si>
  <si>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</si>
  <si>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</si>
  <si>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</si>
  <si>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</si>
  <si>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</si>
  <si>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</si>
  <si>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</si>
  <si>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</si>
  <si>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</si>
  <si>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</si>
  <si>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</si>
  <si>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</si>
  <si>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</si>
  <si>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</si>
  <si>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</si>
  <si>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</si>
  <si>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</si>
  <si>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</si>
  <si>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</si>
  <si>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</si>
  <si>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</si>
  <si>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</si>
  <si>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</si>
  <si>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</si>
  <si>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</si>
  <si>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</si>
  <si>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</si>
  <si>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</si>
  <si>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</si>
  <si>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</si>
  <si>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</si>
  <si>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</si>
  <si>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</si>
  <si>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</si>
  <si>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</si>
  <si>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</si>
  <si>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</si>
  <si>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</si>
  <si>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</si>
  <si>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</si>
  <si>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</si>
  <si>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</si>
  <si>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</si>
  <si>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</si>
  <si>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</si>
  <si>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</si>
  <si>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</si>
  <si>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</si>
  <si>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</si>
  <si>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</si>
  <si>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</si>
  <si>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</si>
  <si>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</si>
  <si>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</si>
  <si>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</si>
  <si>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</si>
  <si>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</si>
  <si>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</si>
  <si>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</si>
  <si>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</si>
  <si>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</si>
  <si>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</si>
  <si>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</si>
  <si>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</si>
  <si>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</si>
  <si>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</si>
  <si>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</si>
  <si>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</si>
  <si>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</si>
  <si>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</si>
  <si>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</si>
  <si>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</si>
  <si>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</si>
  <si>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</si>
  <si>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</si>
  <si>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</si>
  <si>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</si>
  <si>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</si>
  <si>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</si>
  <si>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</si>
  <si>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</si>
  <si>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</si>
  <si>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</si>
  <si>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</si>
  <si>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</si>
  <si>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</si>
  <si>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</si>
  <si>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</si>
  <si>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</si>
  <si>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</si>
  <si>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</si>
  <si>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</si>
  <si>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</si>
  <si>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</si>
  <si>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</si>
  <si>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</si>
  <si>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</si>
  <si>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</si>
  <si>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</si>
  <si>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</si>
  <si>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</si>
  <si>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</si>
  <si>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</si>
  <si>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</si>
  <si>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</si>
  <si>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</si>
  <si>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</si>
  <si>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</si>
  <si>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</si>
  <si>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</si>
  <si>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</si>
  <si>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</si>
  <si>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</si>
  <si>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</si>
  <si>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</si>
  <si>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</si>
  <si>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</si>
  <si>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</si>
  <si>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</si>
  <si>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</si>
  <si>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</si>
  <si>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</si>
  <si>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</si>
  <si>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</si>
  <si>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</si>
  <si>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</si>
  <si>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</si>
  <si>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</si>
  <si>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</si>
  <si>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</si>
  <si>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</si>
  <si>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</si>
  <si>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</si>
  <si>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</si>
  <si>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</si>
  <si>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</si>
  <si>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</si>
  <si>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</si>
  <si>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</si>
  <si>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</si>
  <si>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</si>
  <si>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</si>
  <si>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</si>
  <si>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</si>
  <si>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</si>
  <si>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</si>
  <si>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</si>
  <si>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</si>
  <si>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</si>
  <si>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</si>
  <si>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</si>
  <si>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</si>
  <si>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</si>
  <si>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</si>
  <si>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</si>
  <si>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</si>
  <si>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</si>
  <si>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</si>
  <si>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</si>
  <si>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</si>
  <si>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</si>
  <si>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</si>
  <si>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</si>
  <si>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</si>
  <si>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</si>
  <si>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</si>
  <si>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</si>
  <si>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</si>
  <si>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</si>
  <si>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</si>
  <si>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</si>
  <si>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</si>
  <si>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</si>
  <si>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</si>
  <si>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</si>
  <si>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</si>
  <si>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</si>
  <si>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</si>
  <si>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</si>
  <si>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</si>
  <si>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</si>
  <si>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</si>
  <si>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</si>
  <si>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</si>
  <si>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</si>
  <si>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</si>
  <si>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</si>
  <si>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</si>
  <si>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</si>
  <si>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</si>
  <si>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</si>
  <si>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</si>
  <si>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</si>
  <si>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</si>
  <si>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</si>
  <si>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</si>
  <si>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</si>
  <si>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</si>
  <si>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</si>
  <si>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</si>
  <si>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</si>
  <si>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</si>
  <si>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</si>
  <si>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</si>
  <si>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</si>
  <si>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</si>
  <si>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</si>
  <si>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</si>
  <si>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</si>
  <si>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</si>
  <si>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</si>
  <si>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</si>
  <si>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</si>
  <si>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</si>
  <si>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</si>
  <si>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</si>
  <si>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</si>
  <si>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</si>
  <si>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</si>
  <si>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</si>
  <si>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</si>
  <si>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</si>
  <si>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</si>
  <si>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</si>
  <si>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</si>
  <si>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</si>
  <si>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</si>
  <si>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</si>
  <si>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</si>
  <si>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</si>
  <si>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</si>
  <si>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</si>
  <si>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</si>
  <si>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</si>
  <si>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</si>
  <si>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</si>
  <si>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</si>
  <si>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</si>
  <si>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</si>
  <si>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</si>
  <si>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</si>
  <si>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</si>
  <si>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</si>
  <si>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</si>
  <si>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</si>
  <si>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</si>
  <si>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</si>
  <si>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</si>
  <si>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</si>
  <si>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</si>
  <si>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</si>
  <si>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</si>
  <si>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</si>
  <si>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</si>
  <si>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</si>
  <si>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</si>
  <si>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</si>
  <si>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</si>
  <si>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</si>
  <si>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</si>
  <si>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</si>
  <si>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</si>
  <si>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</si>
  <si>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</si>
  <si>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</si>
  <si>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</si>
  <si>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</si>
  <si>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</si>
  <si>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</si>
  <si>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</si>
  <si>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</si>
  <si>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</si>
  <si>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</si>
  <si>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</si>
  <si>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</si>
  <si>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</si>
  <si>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</si>
  <si>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</si>
  <si>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</si>
  <si>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</si>
  <si>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</si>
  <si>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</si>
  <si>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</si>
  <si>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</si>
  <si>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</si>
  <si>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</si>
  <si>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</si>
  <si>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</si>
  <si>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</si>
  <si>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</si>
  <si>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</si>
  <si>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</si>
  <si>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</si>
  <si>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</si>
  <si>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</si>
  <si>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</si>
  <si>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</si>
  <si>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</si>
  <si>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</si>
  <si>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</si>
  <si>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</si>
  <si>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</si>
  <si>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</si>
  <si>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</si>
  <si>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</si>
  <si>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</si>
  <si>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</si>
  <si>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</si>
  <si>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</si>
  <si>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</si>
  <si>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</si>
  <si>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</si>
  <si>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</si>
  <si>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</si>
  <si>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</si>
  <si>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</si>
  <si>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</si>
  <si>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</si>
  <si>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</si>
  <si>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</si>
  <si>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</si>
  <si>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</si>
  <si>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</si>
  <si>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</si>
  <si>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</si>
  <si>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</si>
  <si>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</si>
  <si>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</si>
  <si>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</si>
  <si>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</si>
  <si>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</si>
  <si>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</si>
  <si>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</si>
  <si>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</si>
  <si>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</si>
  <si>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</si>
  <si>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</si>
  <si>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</si>
  <si>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</si>
  <si>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</si>
  <si>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</si>
  <si>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</si>
  <si>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</si>
  <si>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</si>
  <si>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</si>
  <si>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</si>
  <si>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</si>
  <si>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</si>
  <si>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</si>
  <si>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</si>
  <si>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</si>
  <si>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</si>
  <si>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</si>
  <si>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</si>
  <si>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</si>
  <si>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</si>
  <si>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</si>
  <si>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</si>
  <si>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</si>
  <si>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</si>
  <si>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</si>
  <si>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</si>
  <si>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</si>
  <si>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</si>
  <si>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</si>
  <si>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</si>
  <si>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</si>
  <si>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</si>
  <si>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</si>
  <si>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</si>
  <si>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</si>
  <si>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</si>
  <si>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</si>
  <si>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</si>
  <si>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</si>
  <si>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</si>
  <si>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</si>
  <si>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</si>
  <si>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</si>
  <si>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</si>
  <si>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</si>
  <si>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</si>
  <si>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</si>
  <si>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</si>
  <si>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</si>
  <si>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</si>
  <si>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</si>
  <si>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</si>
  <si>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</si>
  <si>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</si>
  <si>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</si>
  <si>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</si>
  <si>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</si>
  <si>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</si>
  <si>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</si>
  <si>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</si>
  <si>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</si>
  <si>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</si>
  <si>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</si>
  <si>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</si>
  <si>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</si>
  <si>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</si>
  <si>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</si>
  <si>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</si>
  <si>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</si>
  <si>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</si>
  <si>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</si>
  <si>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</si>
  <si>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</si>
  <si>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</si>
  <si>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</si>
  <si>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</si>
  <si>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</si>
  <si>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</si>
  <si>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</si>
  <si>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</si>
  <si>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</si>
  <si>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</si>
  <si>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</si>
  <si>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</si>
  <si>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</si>
  <si>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</si>
  <si>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</si>
  <si>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</si>
  <si>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</si>
  <si>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</si>
  <si>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</si>
  <si>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</si>
  <si>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</si>
  <si>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</si>
  <si>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</si>
  <si>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</si>
  <si>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</si>
  <si>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</si>
  <si>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</si>
  <si>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</si>
  <si>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</si>
  <si>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</si>
  <si>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</si>
  <si>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</si>
  <si>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</si>
  <si>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</si>
  <si>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</si>
  <si>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</si>
  <si>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</si>
  <si>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</si>
  <si>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</si>
  <si>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</si>
  <si>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</si>
  <si>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</si>
  <si>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</si>
  <si>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</si>
  <si>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</si>
  <si>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</si>
  <si>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</si>
  <si>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</si>
  <si>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</si>
  <si>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</si>
  <si>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</si>
  <si>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</si>
  <si>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</si>
  <si>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</si>
  <si>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</si>
  <si>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</si>
  <si>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</si>
  <si>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</si>
  <si>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</si>
  <si>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</si>
  <si>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</si>
  <si>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</si>
  <si>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</si>
  <si>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</si>
  <si>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</si>
  <si>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</si>
  <si>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</si>
  <si>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</si>
  <si>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</si>
  <si>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</si>
  <si>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</si>
  <si>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</si>
  <si>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</si>
  <si>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</si>
  <si>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</si>
  <si>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</si>
  <si>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</si>
  <si>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</si>
  <si>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</si>
  <si>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</si>
  <si>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</si>
  <si>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</si>
  <si>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</si>
  <si>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</si>
  <si>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</si>
  <si>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</si>
  <si>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</si>
  <si>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</si>
  <si>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</si>
  <si>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</si>
  <si>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</si>
  <si>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</si>
  <si>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</si>
  <si>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</si>
  <si>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</si>
  <si>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</si>
  <si>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</si>
  <si>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</si>
  <si>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</si>
  <si>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</si>
  <si>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</si>
  <si>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</si>
  <si>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</si>
  <si>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</si>
  <si>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</si>
  <si>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</si>
  <si>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</si>
  <si>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</si>
  <si>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</si>
  <si>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</si>
  <si>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</si>
  <si>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</si>
  <si>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</si>
  <si>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</si>
  <si>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</si>
  <si>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</si>
  <si>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</si>
  <si>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</si>
  <si>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</si>
  <si>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</si>
  <si>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</si>
  <si>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</si>
  <si>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</si>
  <si>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</si>
  <si>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</si>
  <si>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</si>
  <si>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</si>
  <si>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</si>
  <si>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</si>
  <si>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</si>
  <si>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</si>
  <si>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</si>
  <si>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</si>
  <si>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</si>
  <si>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</si>
  <si>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</si>
  <si>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</si>
  <si>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</si>
  <si>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</si>
  <si>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</si>
  <si>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</si>
  <si>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</si>
  <si>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</si>
  <si>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</si>
  <si>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</si>
  <si>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</si>
  <si>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</si>
  <si>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</si>
  <si>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</si>
  <si>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</si>
  <si>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</si>
  <si>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</si>
  <si>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</si>
  <si>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</si>
  <si>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</si>
  <si>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</si>
  <si>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</si>
  <si>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</si>
  <si>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</si>
  <si>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</si>
  <si>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</si>
  <si>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</si>
  <si>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</si>
  <si>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</si>
  <si>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</si>
  <si>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</si>
  <si>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</si>
  <si>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</si>
  <si>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</si>
  <si>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</si>
  <si>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</si>
  <si>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</si>
  <si>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</si>
  <si>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</si>
  <si>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</si>
  <si>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</si>
  <si>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</si>
  <si>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</si>
  <si>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</si>
  <si>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</si>
  <si>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</si>
  <si>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</si>
  <si>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</si>
  <si>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</si>
  <si>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</si>
  <si>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</si>
  <si>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</si>
  <si>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</si>
  <si>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</si>
  <si>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</si>
  <si>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</si>
  <si>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</si>
  <si>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</si>
  <si>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</si>
  <si>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</si>
  <si>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</si>
  <si>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</si>
  <si>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</si>
  <si>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</si>
  <si>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</si>
  <si>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</si>
  <si>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</si>
  <si>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</si>
  <si>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</si>
  <si>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</si>
  <si>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</si>
  <si>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</si>
  <si>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</si>
  <si>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</si>
  <si>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</si>
  <si>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</si>
  <si>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</si>
  <si>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</si>
  <si>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</si>
  <si>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</si>
  <si>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</si>
  <si>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</si>
  <si>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</si>
  <si>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</si>
  <si>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</si>
  <si>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</si>
  <si>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</si>
  <si>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</si>
  <si>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</si>
  <si>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</si>
  <si>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</si>
  <si>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</si>
  <si>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</si>
  <si>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</si>
  <si>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</si>
  <si>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</si>
  <si>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</si>
  <si>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</si>
  <si>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</si>
  <si>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</si>
  <si>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</si>
  <si>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</si>
  <si>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</si>
  <si>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</si>
  <si>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</si>
  <si>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</si>
  <si>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</si>
  <si>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</si>
  <si>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</si>
  <si>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</si>
  <si>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</si>
  <si>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</si>
  <si>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</si>
  <si>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</si>
  <si>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</si>
  <si>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</si>
  <si>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</si>
  <si>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</si>
  <si>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</si>
  <si>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</si>
  <si>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</si>
  <si>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</si>
  <si>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</si>
  <si>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</si>
  <si>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</si>
  <si>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</si>
  <si>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</si>
  <si>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</si>
  <si>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</si>
  <si>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</si>
  <si>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</si>
  <si>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</si>
  <si>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</si>
  <si>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</si>
  <si>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</si>
  <si>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</si>
  <si>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</si>
  <si>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</si>
  <si>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</si>
  <si>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</si>
  <si>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</si>
  <si>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</si>
  <si>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</si>
  <si>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</si>
  <si>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</si>
  <si>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</si>
  <si>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</si>
  <si>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</si>
  <si>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</si>
  <si>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</si>
  <si>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</si>
  <si>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</si>
  <si>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</si>
  <si>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</si>
  <si>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</si>
  <si>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</si>
  <si>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</si>
  <si>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</si>
  <si>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</si>
  <si>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</si>
  <si>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</si>
  <si>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</si>
  <si>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</si>
  <si>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</si>
  <si>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</si>
  <si>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</si>
  <si>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</si>
  <si>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</si>
  <si>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</si>
  <si>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</si>
  <si>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</si>
  <si>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</si>
  <si>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</si>
  <si>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</si>
  <si>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</si>
  <si>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</si>
  <si>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</si>
  <si>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</si>
  <si>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</si>
  <si>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</si>
  <si>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</si>
  <si>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</si>
  <si>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</si>
  <si>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</si>
  <si>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</si>
  <si>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</si>
  <si>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</si>
  <si>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</si>
  <si>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</si>
  <si>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</si>
  <si>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</si>
  <si>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</si>
  <si>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</si>
  <si>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</si>
  <si>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</si>
  <si>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</si>
  <si>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</si>
  <si>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</si>
  <si>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</si>
  <si>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</si>
  <si>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</si>
  <si>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</si>
  <si>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</si>
  <si>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</si>
  <si>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</si>
  <si>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</si>
  <si>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</si>
  <si>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</si>
  <si>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</si>
  <si>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</si>
  <si>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</si>
  <si>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</si>
  <si>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</si>
  <si>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</si>
  <si>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</si>
  <si>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</si>
  <si>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</si>
  <si>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</si>
  <si>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</si>
  <si>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</si>
  <si>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</si>
  <si>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</si>
  <si>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</si>
  <si>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</si>
  <si>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</si>
  <si>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</si>
  <si>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</si>
  <si>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</si>
  <si>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</si>
  <si>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</si>
  <si>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</si>
  <si>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</si>
  <si>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</si>
  <si>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</si>
  <si>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</si>
  <si>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</si>
  <si>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</si>
  <si>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</si>
  <si>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</si>
  <si>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</si>
  <si>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</si>
  <si>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</si>
  <si>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</si>
  <si>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</si>
  <si>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</si>
  <si>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</si>
  <si>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</si>
  <si>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</si>
  <si>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</si>
  <si>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</si>
  <si>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</si>
  <si>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</si>
  <si>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</si>
  <si>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</si>
  <si>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</si>
  <si>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</si>
  <si>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</si>
  <si>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</si>
  <si>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</si>
  <si>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</si>
  <si>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</si>
  <si>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</si>
  <si>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</si>
  <si>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</si>
  <si>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</si>
  <si>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</si>
  <si>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</si>
  <si>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</si>
  <si>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</si>
  <si>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</si>
  <si>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</si>
  <si>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</si>
  <si>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</si>
  <si>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</si>
  <si>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</si>
  <si>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</si>
  <si>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</si>
  <si>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</si>
  <si>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</si>
  <si>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</si>
  <si>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</si>
  <si>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</si>
  <si>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</si>
  <si>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</si>
  <si>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</si>
  <si>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</si>
  <si>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</si>
  <si>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</si>
  <si>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</si>
  <si>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</si>
  <si>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</si>
  <si>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</si>
  <si>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</si>
  <si>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</si>
  <si>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</si>
  <si>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</si>
  <si>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</si>
  <si>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</si>
  <si>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</si>
  <si>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</si>
  <si>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</si>
  <si>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</si>
  <si>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</si>
  <si>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</si>
  <si>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</si>
  <si>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</si>
  <si>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</si>
  <si>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</si>
  <si>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</si>
  <si>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</si>
  <si>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</si>
  <si>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</si>
  <si>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</si>
  <si>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</si>
  <si>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</si>
  <si>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</si>
  <si>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</si>
  <si>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</si>
  <si>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</si>
  <si>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</si>
  <si>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</si>
  <si>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</si>
  <si>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</si>
  <si>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</si>
  <si>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</si>
  <si>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</si>
  <si>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</si>
  <si>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</si>
  <si>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</si>
  <si>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</si>
  <si>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</si>
  <si>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</si>
  <si>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</si>
  <si>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</si>
  <si>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</si>
  <si>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</si>
  <si>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</si>
  <si>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</si>
  <si>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</si>
  <si>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</si>
  <si>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</si>
  <si>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</si>
  <si>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</si>
  <si>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</si>
  <si>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</si>
  <si>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</si>
  <si>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</si>
  <si>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</si>
  <si>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</si>
  <si>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</si>
  <si>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</si>
  <si>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</si>
  <si>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</si>
  <si>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</si>
  <si>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</si>
  <si>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</si>
  <si>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</si>
  <si>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</si>
  <si>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</si>
  <si>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</si>
  <si>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</si>
  <si>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</si>
  <si>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</si>
  <si>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</si>
  <si>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</si>
  <si>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</si>
  <si>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</si>
  <si>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</si>
  <si>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</si>
  <si>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</si>
  <si>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</si>
  <si>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</si>
  <si>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</si>
  <si>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</si>
  <si>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</si>
  <si>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</si>
  <si>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</si>
  <si>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</si>
  <si>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</si>
  <si>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</si>
  <si>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</si>
  <si>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</si>
  <si>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</si>
  <si>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</si>
  <si>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</si>
  <si>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</si>
  <si>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</si>
  <si>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</si>
  <si>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</si>
  <si>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</si>
  <si>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</si>
  <si>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</si>
  <si>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</si>
  <si>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</si>
  <si>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</si>
  <si>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</si>
  <si>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</si>
  <si>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</si>
  <si>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</si>
  <si>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</si>
  <si>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</si>
  <si>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</si>
  <si>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</si>
  <si>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</si>
  <si>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</si>
  <si>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</si>
  <si>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</si>
  <si>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</si>
  <si>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</si>
  <si>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</si>
  <si>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</si>
  <si>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</si>
  <si>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</si>
  <si>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</si>
  <si>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</si>
  <si>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</si>
  <si>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</si>
  <si>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</si>
  <si>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</si>
  <si>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</si>
  <si>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</si>
  <si>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</si>
  <si>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</si>
  <si>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</si>
  <si>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</si>
  <si>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</si>
  <si>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</si>
  <si>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</si>
  <si>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</si>
  <si>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</si>
  <si>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</si>
  <si>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</si>
  <si>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</si>
  <si>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</si>
  <si>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</si>
  <si>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</si>
  <si>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</si>
  <si>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</si>
  <si>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</si>
  <si>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</si>
  <si>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</si>
  <si>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</si>
  <si>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</si>
  <si>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</si>
  <si>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</si>
  <si>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</si>
  <si>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</si>
  <si>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</si>
  <si>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</si>
  <si>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</si>
  <si>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</si>
  <si>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</si>
  <si>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</si>
  <si>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</si>
  <si>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</si>
  <si>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</si>
  <si>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</si>
  <si>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</si>
  <si>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</si>
  <si>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</si>
  <si>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</si>
  <si>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</si>
  <si>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</si>
  <si>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</si>
  <si>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</si>
  <si>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</si>
  <si>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</si>
  <si>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</si>
  <si>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</si>
  <si>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</si>
  <si>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</si>
  <si>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</si>
  <si>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</si>
  <si>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</si>
  <si>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</si>
  <si>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</si>
  <si>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</si>
  <si>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</si>
  <si>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</si>
  <si>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</si>
  <si>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</si>
  <si>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</si>
  <si>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</si>
  <si>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</si>
  <si>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</si>
  <si>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</si>
  <si>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</si>
  <si>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</si>
  <si>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</si>
  <si>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</si>
  <si>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</si>
  <si>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</si>
  <si>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</si>
  <si>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</si>
  <si>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</si>
  <si>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</si>
  <si>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</si>
  <si>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</si>
  <si>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</si>
  <si>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</si>
  <si>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</si>
  <si>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</si>
  <si>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</si>
  <si>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</si>
  <si>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</si>
  <si>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</si>
  <si>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</si>
  <si>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</si>
  <si>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</si>
  <si>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</si>
  <si>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</si>
  <si>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</si>
  <si>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</si>
  <si>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</si>
  <si>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</si>
  <si>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</si>
  <si>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</si>
  <si>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</si>
  <si>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</si>
  <si>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</si>
  <si>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</si>
  <si>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</si>
  <si>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</si>
  <si>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</si>
  <si>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</si>
  <si>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</si>
  <si>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</si>
  <si>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</si>
  <si>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</si>
  <si>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</si>
  <si>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</si>
  <si>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</si>
  <si>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</si>
  <si>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</si>
  <si>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</si>
  <si>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</si>
  <si>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</si>
  <si>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</si>
  <si>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</si>
  <si>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</si>
  <si>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</si>
  <si>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</si>
  <si>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</si>
  <si>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</si>
  <si>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</si>
  <si>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</si>
  <si>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</si>
  <si>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</si>
  <si>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</si>
  <si>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</si>
  <si>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</si>
  <si>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</si>
  <si>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</si>
  <si>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</si>
  <si>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</si>
  <si>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</si>
  <si>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</si>
  <si>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</si>
  <si>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</si>
  <si>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</si>
  <si>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</si>
  <si>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</si>
  <si>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</si>
  <si>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</si>
  <si>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</si>
  <si>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</si>
  <si>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</si>
  <si>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</si>
  <si>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</si>
  <si>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</si>
  <si>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</si>
  <si>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</si>
  <si>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</si>
  <si>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</si>
  <si>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</si>
  <si>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</si>
  <si>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</si>
  <si>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</si>
  <si>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</si>
  <si>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</si>
  <si>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</si>
  <si>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</si>
  <si>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</si>
  <si>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</si>
  <si>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</si>
  <si>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</si>
  <si>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</si>
  <si>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</si>
  <si>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</si>
  <si>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</si>
  <si>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</si>
  <si>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</si>
  <si>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</si>
  <si>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</si>
  <si>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</si>
  <si>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</si>
  <si>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</si>
  <si>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</si>
  <si>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</si>
  <si>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</si>
  <si>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</si>
  <si>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</si>
  <si>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</si>
  <si>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</si>
  <si>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</si>
  <si>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</si>
  <si>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</si>
  <si>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</si>
  <si>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</si>
  <si>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</si>
  <si>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</si>
  <si>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</si>
  <si>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</si>
  <si>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</si>
  <si>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</si>
  <si>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</si>
  <si>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</si>
  <si>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</si>
  <si>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</si>
  <si>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</si>
  <si>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</si>
  <si>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</si>
  <si>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</si>
  <si>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</si>
  <si>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</si>
  <si>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</si>
  <si>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</si>
  <si>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</si>
  <si>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</si>
  <si>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</si>
  <si>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</si>
  <si>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</si>
  <si>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</si>
  <si>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</si>
  <si>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</si>
  <si>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</si>
  <si>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</si>
  <si>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</si>
  <si>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</si>
  <si>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</si>
  <si>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</si>
  <si>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</si>
  <si>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</si>
  <si>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</si>
  <si>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</si>
  <si>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</si>
  <si>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</si>
  <si>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</si>
  <si>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</si>
  <si>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</si>
  <si>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</si>
  <si>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</si>
  <si>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</si>
  <si>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</si>
  <si>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</si>
  <si>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</si>
  <si>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</si>
  <si>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</si>
  <si>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</si>
  <si>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</si>
  <si>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</si>
  <si>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</si>
  <si>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</si>
  <si>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</si>
  <si>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</si>
  <si>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</si>
  <si>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</si>
  <si>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</si>
  <si>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</si>
  <si>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</si>
  <si>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</si>
  <si>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</si>
  <si>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</si>
  <si>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</si>
  <si>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</si>
  <si>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</si>
  <si>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</si>
  <si>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</si>
  <si>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</si>
  <si>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</si>
  <si>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</si>
  <si>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</si>
  <si>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</si>
  <si>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</si>
  <si>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</si>
  <si>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</si>
  <si>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</si>
  <si>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</si>
  <si>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</si>
  <si>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</si>
  <si>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</si>
  <si>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</si>
  <si>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</si>
  <si>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</si>
  <si>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</si>
  <si>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</si>
  <si>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</si>
  <si>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</si>
  <si>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</si>
  <si>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</si>
  <si>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</si>
  <si>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</si>
  <si>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</si>
  <si>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</si>
  <si>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</si>
  <si>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</si>
  <si>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</si>
  <si>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</si>
  <si>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</si>
  <si>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</si>
  <si>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</si>
  <si>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</si>
  <si>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</si>
  <si>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</si>
  <si>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</si>
  <si>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</si>
  <si>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</si>
  <si>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</si>
  <si>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</si>
  <si>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</si>
  <si>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</si>
  <si>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</si>
  <si>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</si>
  <si>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</si>
  <si>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</si>
  <si>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</si>
  <si>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</si>
  <si>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</si>
  <si>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</si>
  <si>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</si>
  <si>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</si>
  <si>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</si>
  <si>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</si>
  <si>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</si>
  <si>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</si>
  <si>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</si>
  <si>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</si>
  <si>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</si>
  <si>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</si>
  <si>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</si>
  <si>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</si>
  <si>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</si>
  <si>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</si>
  <si>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</si>
  <si>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</si>
  <si>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</si>
  <si>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</si>
  <si>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</si>
  <si>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</si>
  <si>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</si>
  <si>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</si>
  <si>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</si>
  <si>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</si>
  <si>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</si>
  <si>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</si>
  <si>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</si>
  <si>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</si>
  <si>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</si>
  <si>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</si>
  <si>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</si>
  <si>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</si>
  <si>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</si>
  <si>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</si>
  <si>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</si>
  <si>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</si>
  <si>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</si>
  <si>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</si>
  <si>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</si>
  <si>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</si>
  <si>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</si>
  <si>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</si>
  <si>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</si>
  <si>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</si>
  <si>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</si>
  <si>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</si>
  <si>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</si>
  <si>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</si>
  <si>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</si>
  <si>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</si>
  <si>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</si>
  <si>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</si>
  <si>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</si>
  <si>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</si>
  <si>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</si>
  <si>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</si>
  <si>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</si>
  <si>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</si>
  <si>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</si>
  <si>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</si>
  <si>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</si>
  <si>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</si>
  <si>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</si>
  <si>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</si>
  <si>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</si>
  <si>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</si>
  <si>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</si>
  <si>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</si>
  <si>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</si>
  <si>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</si>
  <si>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</si>
  <si>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</si>
  <si>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</si>
  <si>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</si>
  <si>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</si>
  <si>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</si>
  <si>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</si>
  <si>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</si>
  <si>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</si>
  <si>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</si>
  <si>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</si>
  <si>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</si>
  <si>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</si>
  <si>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</si>
  <si>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</si>
  <si>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</si>
  <si>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</si>
  <si>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</si>
  <si>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</si>
  <si>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</si>
  <si>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</si>
  <si>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</si>
  <si>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</si>
  <si>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</si>
  <si>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</si>
  <si>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</si>
  <si>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</si>
  <si>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</si>
  <si>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</si>
  <si>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</si>
  <si>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</si>
  <si>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</si>
  <si>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</si>
  <si>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</si>
  <si>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</si>
  <si>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</si>
  <si>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</si>
  <si>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</si>
  <si>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</si>
  <si>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</si>
  <si>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</si>
  <si>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</si>
  <si>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</si>
  <si>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</si>
  <si>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</si>
  <si>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</si>
  <si>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</si>
  <si>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</si>
  <si>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</si>
  <si>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</si>
  <si>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</si>
  <si>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</si>
  <si>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</si>
  <si>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</si>
  <si>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</si>
  <si>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</si>
  <si>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</si>
  <si>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</si>
  <si>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</si>
  <si>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</si>
  <si>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</si>
  <si>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</si>
  <si>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</si>
  <si>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</si>
  <si>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</si>
  <si>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</si>
  <si>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</si>
  <si>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</si>
  <si>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</si>
  <si>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</si>
  <si>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</si>
  <si>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</si>
  <si>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</si>
  <si>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</si>
  <si>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</si>
  <si>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</si>
  <si>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</si>
  <si>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</si>
  <si>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</si>
  <si>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</si>
  <si>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</si>
  <si>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</si>
  <si>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</si>
  <si>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</si>
  <si>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</si>
  <si>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</si>
  <si>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</si>
  <si>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</si>
  <si>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</si>
  <si>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</si>
  <si>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</si>
  <si>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</si>
  <si>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</si>
  <si>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</si>
  <si>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</si>
  <si>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</si>
  <si>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</si>
  <si>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</si>
  <si>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</si>
  <si>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</si>
  <si>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</si>
  <si>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</si>
  <si>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</si>
  <si>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</si>
  <si>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</si>
  <si>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</si>
  <si>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</si>
  <si>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</si>
  <si>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</si>
  <si>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</si>
  <si>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</si>
  <si>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</si>
  <si>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</si>
  <si>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</si>
  <si>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</si>
  <si>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</si>
  <si>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</si>
  <si>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</si>
  <si>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</si>
  <si>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</si>
  <si>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</si>
  <si>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</si>
  <si>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</si>
  <si>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</si>
  <si>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</si>
  <si>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</si>
  <si>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</si>
  <si>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</si>
  <si>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</si>
  <si>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</si>
  <si>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</si>
  <si>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</si>
  <si>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</si>
  <si>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</si>
  <si>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</si>
  <si>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</si>
  <si>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</si>
  <si>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</si>
  <si>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</si>
  <si>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</si>
  <si>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</si>
  <si>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</si>
  <si>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</si>
  <si>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</si>
  <si>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</si>
  <si>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</si>
  <si>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</si>
  <si>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</si>
  <si>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</si>
  <si>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</si>
  <si>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</si>
  <si>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</si>
  <si>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</si>
  <si>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</si>
  <si>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</si>
  <si>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</si>
  <si>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</si>
  <si>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</si>
  <si>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</si>
  <si>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</si>
  <si>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</si>
  <si>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</si>
  <si>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</si>
  <si>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</si>
  <si>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</si>
  <si>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</si>
  <si>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</si>
  <si>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</si>
  <si>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</si>
  <si>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</si>
  <si>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</si>
  <si>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</si>
  <si>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</si>
  <si>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</si>
  <si>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</si>
  <si>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</si>
  <si>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</si>
  <si>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</si>
  <si>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</si>
  <si>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</si>
  <si>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</si>
  <si>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</si>
  <si>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</si>
  <si>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</si>
  <si>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</si>
  <si>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</si>
  <si>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</si>
  <si>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</si>
  <si>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</si>
  <si>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</si>
  <si>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</si>
  <si>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</si>
  <si>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</si>
  <si>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</si>
  <si>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</si>
  <si>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</si>
  <si>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</si>
  <si>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</si>
  <si>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</si>
  <si>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</si>
  <si>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</si>
  <si>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</si>
  <si>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</si>
  <si>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</si>
  <si>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</si>
  <si>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</si>
  <si>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</si>
  <si>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</si>
  <si>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</si>
  <si>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</si>
  <si>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</si>
  <si>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</si>
  <si>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</si>
  <si>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</si>
  <si>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</si>
  <si>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</si>
  <si>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</si>
  <si>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</si>
  <si>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</si>
  <si>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</si>
  <si>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</si>
  <si>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</si>
  <si>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</si>
  <si>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</si>
  <si>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</si>
  <si>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</si>
  <si>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</si>
  <si>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</si>
  <si>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</si>
  <si>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</si>
  <si>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</si>
  <si>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</si>
  <si>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</si>
  <si>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</si>
  <si>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</si>
  <si>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</si>
  <si>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</si>
  <si>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</si>
  <si>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</si>
  <si>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</si>
  <si>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</si>
  <si>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</si>
  <si>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</si>
  <si>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</si>
  <si>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</si>
  <si>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</si>
  <si>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</si>
  <si>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</si>
  <si>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</si>
  <si>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</si>
  <si>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</si>
  <si>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</si>
  <si>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</si>
  <si>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</si>
  <si>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</si>
  <si>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</si>
  <si>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</si>
  <si>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</si>
  <si>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</si>
  <si>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</si>
  <si>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</si>
  <si>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</si>
  <si>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</si>
  <si>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</si>
  <si>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</si>
  <si>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</si>
  <si>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</si>
  <si>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</si>
  <si>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</si>
  <si>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</si>
  <si>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</si>
  <si>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</si>
  <si>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</si>
  <si>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</si>
  <si>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</si>
  <si>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</si>
  <si>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</si>
  <si>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</si>
  <si>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</si>
  <si>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</si>
  <si>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</si>
  <si>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</si>
  <si>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</si>
  <si>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</si>
  <si>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</si>
  <si>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</si>
  <si>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</si>
  <si>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</si>
  <si>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</si>
  <si>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</si>
  <si>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</si>
  <si>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</si>
  <si>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</si>
  <si>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</si>
  <si>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</si>
  <si>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</si>
  <si>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</si>
  <si>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</si>
  <si>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</si>
  <si>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</si>
  <si>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</si>
  <si>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</si>
  <si>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</si>
  <si>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</si>
  <si>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</si>
  <si>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</si>
  <si>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</si>
  <si>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</si>
  <si>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</si>
  <si>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</si>
  <si>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</si>
  <si>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</si>
  <si>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</si>
  <si>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</si>
  <si>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</si>
  <si>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</si>
  <si>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</si>
  <si>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</si>
  <si>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</si>
  <si>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</si>
  <si>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</si>
  <si>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</si>
  <si>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</si>
  <si>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</si>
  <si>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</si>
  <si>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</si>
  <si>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</si>
  <si>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</si>
  <si>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</si>
  <si>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</si>
  <si>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</si>
  <si>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</si>
  <si>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</si>
  <si>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</si>
  <si>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</si>
  <si>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</si>
  <si>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</si>
  <si>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</si>
  <si>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</si>
  <si>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</si>
  <si>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</si>
  <si>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</si>
  <si>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</si>
  <si>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</si>
  <si>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</si>
  <si>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</si>
  <si>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</si>
  <si>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</si>
  <si>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</si>
  <si>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</si>
  <si>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</si>
  <si>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</si>
  <si>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</si>
  <si>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</si>
  <si>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</si>
  <si>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</si>
  <si>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</si>
  <si>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</si>
  <si>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</si>
  <si>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</si>
  <si>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</si>
  <si>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</si>
  <si>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</si>
  <si>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</si>
  <si>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</si>
  <si>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</si>
  <si>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</si>
  <si>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</si>
  <si>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</si>
  <si>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</si>
  <si>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</si>
  <si>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</si>
  <si>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</si>
  <si>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</si>
  <si>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</si>
  <si>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</si>
  <si>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</si>
  <si>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</si>
  <si>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</si>
  <si>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</si>
  <si>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</si>
  <si>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</si>
  <si>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</si>
  <si>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</si>
  <si>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</si>
  <si>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</si>
  <si>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</si>
  <si>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</si>
  <si>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</si>
  <si>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</si>
  <si>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</si>
  <si>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</si>
  <si>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</si>
  <si>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</si>
  <si>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</si>
  <si>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</si>
  <si>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</si>
  <si>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</si>
  <si>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</si>
  <si>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</si>
  <si>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</si>
  <si>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</si>
  <si>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</si>
  <si>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</si>
  <si>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</si>
  <si>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</si>
  <si>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</si>
  <si>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</si>
  <si>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</si>
  <si>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</si>
  <si>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</si>
  <si>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</si>
  <si>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</si>
  <si>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</si>
  <si>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</si>
  <si>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</si>
  <si>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</si>
  <si>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</si>
  <si>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</si>
  <si>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</si>
  <si>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</si>
  <si>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</si>
  <si>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</si>
  <si>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</si>
  <si>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</si>
  <si>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</si>
  <si>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</si>
  <si>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</si>
  <si>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</si>
  <si>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</si>
  <si>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</si>
  <si>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</si>
  <si>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</si>
  <si>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</si>
  <si>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</si>
  <si>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</si>
  <si>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</si>
  <si>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</si>
  <si>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</si>
  <si>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</si>
  <si>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</si>
  <si>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</si>
  <si>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</si>
  <si>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</si>
  <si>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</si>
  <si>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</si>
  <si>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</si>
  <si>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</si>
  <si>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</si>
  <si>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</si>
  <si>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</si>
  <si>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</si>
  <si>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</si>
  <si>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</si>
  <si>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</si>
  <si>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</si>
  <si>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</si>
  <si>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</si>
  <si>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</si>
  <si>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</si>
  <si>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</si>
  <si>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</si>
  <si>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</si>
  <si>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</si>
  <si>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</si>
  <si>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</si>
  <si>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</si>
  <si>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</si>
  <si>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</si>
  <si>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</si>
  <si>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</si>
  <si>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</si>
  <si>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</si>
  <si>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</si>
  <si>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</si>
  <si>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</si>
  <si>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</si>
  <si>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</si>
  <si>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</si>
  <si>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</si>
  <si>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</si>
  <si>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</si>
  <si>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</si>
  <si>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</si>
  <si>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</si>
  <si>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</si>
  <si>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</si>
  <si>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</si>
  <si>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</si>
  <si>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</si>
  <si>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</si>
  <si>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</si>
  <si>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</si>
  <si>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</si>
  <si>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</si>
  <si>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</si>
  <si>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</si>
  <si>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</si>
  <si>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</si>
  <si>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</si>
  <si>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</si>
  <si>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</si>
  <si>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</si>
  <si>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</si>
  <si>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</si>
  <si>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</si>
  <si>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</si>
  <si>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</si>
  <si>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</si>
  <si>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</si>
  <si>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</si>
  <si>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</si>
  <si>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</si>
  <si>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</si>
  <si>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</si>
  <si>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</si>
  <si>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</si>
  <si>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</si>
  <si>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</si>
  <si>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</si>
  <si>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</si>
  <si>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</si>
  <si>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</si>
  <si>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</si>
  <si>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</si>
  <si>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</si>
  <si>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</si>
  <si>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</si>
  <si>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</si>
  <si>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</si>
  <si>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</si>
  <si>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</si>
  <si>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</si>
  <si>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</si>
  <si>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</si>
  <si>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</si>
  <si>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</si>
  <si>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</si>
  <si>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</si>
  <si>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</si>
  <si>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</si>
  <si>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</si>
  <si>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</si>
  <si>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</si>
  <si>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</si>
  <si>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</si>
  <si>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</si>
  <si>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</si>
  <si>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</si>
  <si>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</si>
  <si>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</si>
  <si>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</si>
  <si>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</si>
  <si>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</si>
  <si>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</si>
  <si>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</si>
  <si>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</si>
  <si>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</si>
  <si>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</si>
  <si>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</si>
  <si>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</si>
  <si>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</si>
  <si>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</si>
  <si>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</si>
  <si>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</si>
  <si>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</si>
  <si>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</si>
  <si>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</si>
  <si>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</si>
  <si>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</si>
  <si>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</si>
  <si>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</si>
  <si>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</si>
  <si>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</si>
  <si>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</si>
  <si>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</si>
  <si>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</si>
  <si>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</si>
  <si>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</si>
  <si>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</si>
  <si>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</si>
  <si>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</si>
  <si>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</si>
  <si>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</si>
  <si>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</si>
  <si>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</si>
  <si>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</si>
  <si>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</si>
  <si>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</si>
  <si>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</si>
  <si>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</si>
  <si>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</si>
  <si>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</si>
  <si>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</si>
  <si>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</si>
  <si>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</si>
  <si>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</si>
  <si>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</si>
  <si>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</si>
  <si>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</si>
  <si>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</si>
  <si>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</si>
  <si>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</si>
  <si>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</si>
  <si>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</si>
  <si>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</si>
  <si>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</si>
  <si>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</si>
  <si>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</si>
  <si>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</si>
  <si>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</si>
  <si>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</si>
  <si>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</si>
  <si>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</si>
  <si>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</si>
  <si>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</si>
  <si>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</si>
  <si>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</si>
  <si>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</si>
  <si>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</si>
  <si>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</si>
  <si>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</si>
  <si>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</si>
  <si>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</si>
  <si>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</si>
  <si>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</si>
  <si>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</si>
  <si>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</si>
  <si>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</si>
  <si>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</si>
  <si>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</si>
  <si>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</si>
  <si>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</si>
  <si>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</si>
  <si>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</si>
  <si>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</si>
  <si>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</si>
  <si>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</si>
  <si>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</si>
  <si>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</si>
  <si>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</si>
  <si>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</si>
  <si>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</si>
  <si>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</si>
  <si>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</si>
  <si>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</si>
  <si>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</si>
  <si>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</si>
  <si>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</si>
  <si>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</si>
  <si>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</si>
  <si>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</si>
  <si>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</si>
  <si>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</si>
  <si>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</si>
  <si>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</si>
  <si>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</si>
  <si>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</si>
  <si>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</si>
  <si>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</si>
  <si>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</si>
  <si>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</si>
  <si>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</si>
  <si>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</si>
  <si>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</si>
  <si>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</si>
  <si>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</si>
  <si>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</si>
  <si>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</si>
  <si>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</si>
  <si>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</si>
  <si>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</si>
  <si>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</si>
  <si>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</si>
  <si>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</si>
  <si>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</si>
  <si>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</si>
  <si>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</si>
  <si>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</si>
  <si>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</si>
  <si>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</si>
  <si>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</si>
  <si>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</si>
  <si>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</si>
  <si>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</si>
  <si>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</si>
  <si>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</si>
  <si>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</si>
  <si>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</si>
  <si>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</si>
  <si>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</si>
  <si>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</si>
  <si>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</si>
  <si>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</si>
  <si>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</si>
  <si>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</si>
  <si>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</si>
  <si>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</si>
  <si>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</si>
  <si>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</si>
  <si>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</si>
  <si>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</si>
  <si>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</si>
  <si>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</si>
  <si>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</si>
  <si>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</si>
  <si>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</si>
  <si>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</si>
  <si>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</si>
  <si>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</si>
  <si>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</si>
  <si>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</si>
  <si>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</si>
  <si>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</si>
  <si>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</si>
  <si>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</si>
  <si>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</si>
  <si>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</si>
  <si>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</si>
  <si>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</si>
  <si>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</si>
  <si>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</si>
  <si>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</si>
  <si>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</si>
  <si>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</si>
  <si>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</si>
  <si>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</si>
  <si>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</si>
  <si>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</si>
  <si>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</si>
  <si>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</si>
  <si>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</si>
  <si>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</si>
  <si>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</si>
  <si>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</si>
  <si>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</si>
  <si>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</si>
  <si>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</si>
  <si>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</si>
  <si>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</si>
  <si>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</si>
  <si>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</si>
  <si>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</si>
  <si>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</si>
  <si>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</si>
  <si>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</si>
  <si>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</si>
  <si>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</si>
  <si>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</si>
  <si>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</si>
  <si>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</si>
  <si>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</si>
  <si>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</si>
  <si>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</si>
  <si>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</si>
  <si>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</si>
  <si>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</si>
  <si>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</si>
  <si>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</si>
  <si>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</si>
  <si>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</si>
  <si>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</si>
  <si>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</si>
  <si>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</si>
  <si>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</si>
  <si>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</si>
  <si>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</si>
  <si>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</si>
  <si>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</si>
  <si>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</si>
  <si>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</si>
  <si>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</si>
  <si>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</si>
  <si>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</si>
  <si>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</si>
  <si>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</si>
  <si>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</si>
  <si>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</si>
  <si>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</si>
  <si>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</si>
  <si>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</si>
  <si>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</si>
  <si>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</si>
  <si>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</si>
  <si>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</si>
  <si>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</si>
  <si>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</si>
  <si>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</si>
  <si>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</si>
  <si>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</si>
  <si>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</si>
  <si>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</si>
  <si>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</si>
  <si>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</si>
  <si>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</si>
  <si>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</si>
  <si>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</si>
  <si>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</si>
  <si>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</si>
  <si>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</si>
  <si>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</si>
  <si>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</si>
  <si>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</si>
  <si>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</si>
  <si>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</si>
  <si>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</si>
  <si>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</si>
  <si>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</si>
  <si>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</si>
  <si>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</si>
  <si>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</si>
  <si>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</si>
  <si>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</si>
  <si>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</si>
  <si>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</si>
  <si>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</si>
  <si>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</si>
  <si>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</si>
  <si>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</si>
  <si>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</si>
  <si>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</si>
  <si>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</si>
  <si>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</si>
  <si>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</si>
  <si>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</si>
  <si>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</si>
  <si>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</si>
  <si>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</si>
  <si>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</si>
  <si>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</si>
  <si>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</si>
  <si>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</si>
  <si>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</si>
  <si>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</si>
  <si>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</si>
  <si>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</si>
  <si>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</si>
  <si>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</si>
  <si>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</si>
  <si>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</si>
  <si>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</si>
  <si>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</si>
  <si>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</si>
  <si>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</si>
  <si>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</si>
  <si>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</si>
  <si>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</si>
  <si>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</si>
  <si>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</si>
  <si>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</si>
  <si>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</si>
  <si>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</si>
  <si>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</si>
  <si>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</si>
  <si>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</si>
  <si>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</si>
  <si>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</si>
  <si>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</si>
  <si>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</si>
  <si>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</si>
  <si>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</si>
  <si>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</si>
  <si>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</si>
  <si>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</si>
  <si>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</si>
  <si>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</si>
  <si>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</si>
  <si>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</si>
  <si>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</si>
  <si>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</si>
  <si>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</si>
  <si>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</si>
  <si>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</si>
  <si>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</si>
  <si>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</si>
  <si>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</si>
  <si>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</si>
  <si>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</si>
  <si>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</si>
  <si>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</si>
  <si>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</si>
  <si>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</si>
  <si>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</si>
  <si>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</si>
  <si>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</si>
  <si>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</si>
  <si>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</si>
  <si>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</si>
  <si>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</si>
  <si>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</si>
  <si>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</si>
  <si>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</si>
  <si>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</si>
  <si>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</si>
  <si>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</si>
  <si>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</si>
  <si>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</si>
  <si>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</si>
  <si>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</si>
  <si>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</si>
  <si>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</si>
  <si>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</si>
  <si>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</si>
  <si>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</si>
  <si>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</si>
  <si>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</si>
  <si>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</si>
  <si>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</si>
  <si>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</si>
  <si>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</si>
  <si>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</si>
  <si>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</si>
  <si>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</si>
  <si>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</si>
  <si>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</si>
  <si>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</si>
  <si>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</si>
  <si>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</si>
  <si>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</si>
  <si>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</si>
  <si>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</si>
  <si>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</si>
  <si>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</si>
  <si>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</si>
  <si>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</si>
  <si>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</si>
  <si>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</si>
  <si>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</si>
  <si>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</si>
  <si>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</si>
  <si>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</si>
  <si>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</si>
  <si>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</si>
  <si>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</si>
  <si>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</si>
  <si>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</si>
  <si>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</si>
  <si>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</si>
  <si>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</si>
  <si>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</si>
  <si>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</si>
  <si>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</si>
  <si>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</si>
  <si>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</si>
  <si>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</si>
  <si>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</si>
  <si>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</si>
  <si>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</si>
  <si>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</si>
  <si>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</si>
  <si>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</si>
  <si>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</si>
  <si>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</si>
  <si>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</si>
  <si>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</si>
  <si>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</si>
  <si>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</si>
  <si>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</si>
  <si>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</si>
  <si>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</si>
  <si>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</si>
  <si>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</si>
  <si>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</si>
  <si>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</si>
  <si>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</si>
  <si>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</si>
  <si>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</si>
  <si>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</si>
  <si>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</si>
  <si>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</si>
  <si>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</si>
  <si>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</si>
  <si>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</si>
  <si>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</si>
  <si>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</si>
  <si>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</si>
  <si>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</si>
  <si>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</si>
  <si>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</si>
  <si>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</si>
  <si>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</si>
  <si>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</si>
  <si>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</si>
  <si>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</si>
  <si>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</si>
  <si>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</si>
  <si>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</si>
  <si>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</si>
  <si>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</si>
  <si>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</si>
  <si>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</si>
  <si>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</si>
  <si>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</si>
  <si>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</si>
  <si>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</si>
  <si>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</si>
  <si>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</si>
  <si>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</si>
  <si>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</si>
  <si>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</si>
  <si>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</si>
  <si>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</si>
  <si>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</si>
  <si>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</si>
  <si>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</si>
  <si>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</si>
  <si>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</si>
  <si>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</si>
  <si>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</si>
  <si>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</si>
  <si>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</si>
  <si>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</si>
  <si>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</si>
  <si>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</si>
  <si>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</si>
  <si>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</si>
  <si>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</si>
  <si>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</si>
  <si>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</si>
  <si>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</si>
  <si>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</si>
  <si>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</si>
  <si>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</si>
  <si>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</si>
  <si>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</si>
  <si>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</si>
  <si>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</si>
  <si>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</si>
  <si>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</si>
  <si>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</si>
  <si>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</si>
  <si>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</si>
  <si>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</si>
  <si>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</si>
  <si>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</si>
  <si>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</si>
  <si>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</si>
  <si>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</si>
  <si>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</si>
  <si>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</si>
  <si>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</si>
  <si>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</si>
  <si>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</si>
  <si>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</si>
  <si>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</si>
  <si>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</si>
  <si>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</si>
  <si>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</si>
  <si>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</si>
  <si>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</si>
  <si>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</si>
  <si>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</si>
  <si>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</si>
  <si>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</si>
  <si>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</si>
  <si>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</si>
  <si>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</si>
  <si>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</si>
  <si>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</si>
  <si>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</si>
  <si>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</si>
  <si>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</si>
  <si>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</si>
  <si>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</si>
  <si>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</si>
  <si>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</si>
  <si>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</si>
  <si>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</si>
  <si>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</si>
  <si>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</si>
  <si>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</si>
  <si>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</si>
  <si>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</si>
  <si>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</si>
  <si>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</si>
  <si>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</si>
  <si>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</si>
  <si>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</si>
  <si>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</si>
  <si>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</si>
  <si>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</si>
  <si>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</si>
  <si>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</si>
  <si>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</si>
  <si>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</si>
  <si>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</si>
  <si>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</si>
  <si>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</si>
  <si>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</si>
  <si>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</si>
  <si>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</si>
  <si>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</si>
  <si>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</si>
  <si>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</si>
  <si>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</si>
  <si>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</si>
  <si>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</si>
  <si>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</si>
  <si>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</si>
  <si>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</si>
  <si>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</si>
  <si>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</si>
  <si>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</si>
  <si>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</si>
  <si>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</si>
  <si>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</si>
  <si>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</si>
  <si>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</si>
  <si>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</si>
  <si>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</si>
  <si>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</si>
  <si>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</si>
  <si>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</si>
  <si>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</si>
  <si>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</si>
  <si>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</si>
  <si>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</si>
  <si>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</si>
  <si>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</si>
  <si>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</si>
  <si>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</si>
  <si>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</si>
  <si>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</si>
  <si>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</si>
  <si>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</si>
  <si>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</si>
  <si>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</si>
  <si>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</si>
  <si>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</si>
  <si>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</si>
  <si>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</si>
  <si>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</si>
  <si>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</si>
  <si>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</si>
  <si>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</si>
  <si>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</si>
  <si>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</si>
  <si>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</si>
  <si>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</si>
  <si>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</si>
  <si>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</si>
  <si>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</si>
  <si>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</si>
  <si>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</si>
  <si>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</si>
  <si>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</si>
  <si>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</si>
  <si>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</si>
  <si>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</si>
  <si>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</si>
  <si>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</si>
  <si>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</si>
  <si>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</si>
  <si>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</si>
  <si>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</si>
  <si>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</si>
  <si>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</si>
  <si>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</si>
  <si>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</si>
  <si>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</si>
  <si>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</si>
  <si>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</si>
  <si>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</si>
  <si>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</si>
  <si>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</si>
  <si>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</si>
  <si>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</si>
  <si>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</si>
  <si>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</si>
  <si>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</si>
  <si>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</si>
  <si>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</si>
  <si>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</si>
  <si>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</si>
  <si>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</si>
  <si>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</si>
  <si>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</si>
  <si>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</si>
  <si>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</si>
  <si>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</si>
  <si>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</si>
  <si>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</si>
  <si>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</si>
  <si>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</si>
  <si>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</si>
  <si>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</si>
  <si>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</si>
  <si>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</si>
  <si>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</si>
  <si>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</si>
  <si>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</si>
  <si>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</si>
  <si>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</si>
  <si>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</si>
  <si>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</si>
  <si>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</si>
  <si>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</si>
  <si>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</si>
  <si>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</si>
  <si>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</si>
  <si>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</si>
  <si>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</si>
  <si>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</si>
  <si>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</si>
  <si>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</si>
  <si>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</si>
  <si>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</si>
  <si>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</si>
  <si>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</si>
  <si>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</si>
  <si>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</si>
  <si>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</si>
  <si>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</si>
  <si>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</si>
  <si>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</si>
  <si>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</si>
  <si>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</si>
  <si>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</si>
  <si>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</si>
  <si>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</si>
  <si>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</si>
  <si>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</si>
  <si>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</si>
  <si>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</si>
  <si>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</si>
  <si>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</si>
  <si>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</si>
  <si>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</si>
  <si>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</si>
  <si>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</si>
  <si>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</si>
  <si>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</si>
  <si>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</si>
  <si>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</si>
  <si>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</si>
  <si>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</si>
  <si>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</si>
  <si>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</si>
  <si>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</si>
  <si>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</si>
  <si>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</si>
  <si>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</si>
  <si>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</si>
  <si>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</si>
  <si>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</si>
  <si>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</si>
  <si>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</si>
  <si>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</si>
  <si>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</si>
  <si>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</si>
  <si>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</si>
  <si>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</si>
  <si>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</si>
  <si>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</si>
  <si>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</si>
  <si>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</si>
  <si>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</si>
  <si>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</si>
  <si>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</si>
  <si>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</si>
  <si>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</si>
  <si>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大床房含单早</t>
    <phoneticPr fontId="37" type="noConversion"/>
  </si>
  <si>
    <t>间/夜</t>
    <phoneticPr fontId="37" type="noConversion"/>
  </si>
  <si>
    <t>双床含双早</t>
    <phoneticPr fontId="37" type="noConversion"/>
  </si>
  <si>
    <t>基础套房含单早</t>
    <phoneticPr fontId="37" type="noConversion"/>
  </si>
  <si>
    <t>主会场</t>
    <phoneticPr fontId="37" type="noConversion"/>
  </si>
  <si>
    <t>场/天</t>
    <phoneticPr fontId="37" type="noConversion"/>
  </si>
  <si>
    <t>30000</t>
    <phoneticPr fontId="37" type="noConversion"/>
  </si>
  <si>
    <t>分会场</t>
    <phoneticPr fontId="37" type="noConversion"/>
  </si>
  <si>
    <t>0</t>
    <phoneticPr fontId="37" type="noConversion"/>
  </si>
  <si>
    <t>工作人员</t>
    <phoneticPr fontId="37" type="noConversion"/>
  </si>
  <si>
    <t>机票</t>
    <phoneticPr fontId="37" type="noConversion"/>
  </si>
  <si>
    <t>餐费-茶歇</t>
    <phoneticPr fontId="37" type="noConversion"/>
  </si>
  <si>
    <t>餐费-自助午餐</t>
    <phoneticPr fontId="37" type="noConversion"/>
  </si>
  <si>
    <t>餐费-晚宴</t>
    <phoneticPr fontId="37" type="noConversion"/>
  </si>
  <si>
    <t>餐费-VIP用餐</t>
    <phoneticPr fontId="37" type="noConversion"/>
  </si>
  <si>
    <t>餐费-商务简餐</t>
    <phoneticPr fontId="37" type="noConversion"/>
  </si>
  <si>
    <t>餐费-工作人员餐</t>
    <phoneticPr fontId="37" type="noConversion"/>
  </si>
  <si>
    <t>酒水</t>
    <phoneticPr fontId="37" type="noConversion"/>
  </si>
  <si>
    <t>晚宴酒水预估，每桌中档红酒3瓶+中档白酒2瓶+2种软饮</t>
    <phoneticPr fontId="37" type="noConversion"/>
  </si>
  <si>
    <t>桌</t>
    <phoneticPr fontId="37" type="noConversion"/>
  </si>
  <si>
    <t>租车</t>
    <phoneticPr fontId="37" type="noConversion"/>
  </si>
  <si>
    <t>VIP备品</t>
    <phoneticPr fontId="37" type="noConversion"/>
  </si>
  <si>
    <t>车辆、功能间、分会场备品预估</t>
    <phoneticPr fontId="37" type="noConversion"/>
  </si>
  <si>
    <t>项</t>
    <phoneticPr fontId="37" type="noConversion"/>
  </si>
  <si>
    <t>103.88</t>
    <phoneticPr fontId="37" type="noConversion"/>
  </si>
  <si>
    <t>106</t>
    <phoneticPr fontId="37" type="noConversion"/>
  </si>
  <si>
    <t>房间</t>
    <phoneticPr fontId="37" type="noConversion"/>
  </si>
  <si>
    <t>400</t>
    <phoneticPr fontId="37" type="noConversion"/>
  </si>
  <si>
    <t>人/餐</t>
    <phoneticPr fontId="37" type="noConversion"/>
  </si>
  <si>
    <t>往返</t>
    <phoneticPr fontId="37" type="noConversion"/>
  </si>
  <si>
    <t>人/天</t>
    <phoneticPr fontId="37" type="noConversion"/>
  </si>
  <si>
    <t>刘妤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</si>
  <si>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</si>
  <si>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</si>
  <si>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</si>
  <si>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2024TT4B颁奖盛典</t>
    <phoneticPr fontId="37" type="noConversion"/>
  </si>
  <si>
    <t>重庆来福士洲际酒店</t>
    <phoneticPr fontId="37" type="noConversion"/>
  </si>
  <si>
    <t>2025年3月18日-21日</t>
    <phoneticPr fontId="37" type="noConversion"/>
  </si>
  <si>
    <t>250人</t>
    <phoneticPr fontId="37" type="noConversion"/>
  </si>
  <si>
    <t>刘格格</t>
    <phoneticPr fontId="37" type="noConversion"/>
  </si>
  <si>
    <t>重庆现地工作人员</t>
    <phoneticPr fontId="37" type="noConversion"/>
  </si>
  <si>
    <t>嘉宾大床房3月19日-21日，共2晚</t>
    <phoneticPr fontId="37" type="noConversion"/>
  </si>
  <si>
    <t>1200</t>
    <phoneticPr fontId="37" type="noConversion"/>
  </si>
  <si>
    <t>演讲彩排以及提前抵达嘉宾大床房3月18日-21日，共3晚</t>
    <phoneticPr fontId="37" type="noConversion"/>
  </si>
  <si>
    <t>嘉宾双床房3月17日-21日，共4晚</t>
    <phoneticPr fontId="37" type="noConversion"/>
  </si>
  <si>
    <t>VIP基础套房3月18日-21日，共3晚</t>
    <phoneticPr fontId="37" type="noConversion"/>
  </si>
  <si>
    <t>3600</t>
    <phoneticPr fontId="37" type="noConversion"/>
  </si>
  <si>
    <t>重庆</t>
    <phoneticPr fontId="37" type="noConversion"/>
  </si>
  <si>
    <t>Room Drop</t>
    <phoneticPr fontId="37" type="noConversion"/>
  </si>
  <si>
    <t>酒店房间送伴手礼及其他物料</t>
    <phoneticPr fontId="37" type="noConversion"/>
  </si>
  <si>
    <t>间/次</t>
    <phoneticPr fontId="37" type="noConversion"/>
  </si>
  <si>
    <t>21.2</t>
    <phoneticPr fontId="37" type="noConversion"/>
  </si>
  <si>
    <t>大宴会厅，1250平米，3月18-19日，2天彩排搭建</t>
    <phoneticPr fontId="37" type="noConversion"/>
  </si>
  <si>
    <t>70000</t>
    <phoneticPr fontId="37" type="noConversion"/>
  </si>
  <si>
    <t>大宴会厅，1250平米，3月20日，1天活动日</t>
    <phoneticPr fontId="37" type="noConversion"/>
  </si>
  <si>
    <t>60000</t>
    <phoneticPr fontId="37" type="noConversion"/>
  </si>
  <si>
    <t>扬子江宴会厅，450平米，3月19日-20日，2天</t>
    <phoneticPr fontId="37" type="noConversion"/>
  </si>
  <si>
    <t>5000</t>
    <phoneticPr fontId="37" type="noConversion"/>
  </si>
  <si>
    <t>会议室1+2，112平米，3月20-21日，2天</t>
    <phoneticPr fontId="37" type="noConversion"/>
  </si>
  <si>
    <t>3月20日晚，中式圆桌，10人/桌，不含酒水</t>
    <phoneticPr fontId="37" type="noConversion"/>
  </si>
  <si>
    <t>4240</t>
    <phoneticPr fontId="37" type="noConversion"/>
  </si>
  <si>
    <t>2544</t>
    <phoneticPr fontId="37" type="noConversion"/>
  </si>
  <si>
    <t>3月20日中午，自助午餐，人数预估200人，100人起单开</t>
    <phoneticPr fontId="37" type="noConversion"/>
  </si>
  <si>
    <t>262.88</t>
    <phoneticPr fontId="37" type="noConversion"/>
  </si>
  <si>
    <t>主会活动日1次，按照人数40%预估</t>
    <phoneticPr fontId="37" type="noConversion"/>
  </si>
  <si>
    <t>SVIP茶歇预估，3月20日上午+21日上午共2次，每次25人</t>
    <phoneticPr fontId="37" type="noConversion"/>
  </si>
  <si>
    <t>729.28</t>
    <phoneticPr fontId="37" type="noConversion"/>
  </si>
  <si>
    <t>中餐厅包间，预估3月18日晚餐1次，酒店中餐厅包间低消688元/位起</t>
    <phoneticPr fontId="37" type="noConversion"/>
  </si>
  <si>
    <t>3月19日，酒店精美盒饭套餐，预估50人</t>
    <phoneticPr fontId="37" type="noConversion"/>
  </si>
  <si>
    <t>252.28</t>
    <phoneticPr fontId="37" type="noConversion"/>
  </si>
  <si>
    <t>3月19日，晚宴，预估5桌，中式圆桌，10人/桌，不含酒水</t>
    <phoneticPr fontId="37" type="noConversion"/>
  </si>
  <si>
    <t>3180</t>
    <phoneticPr fontId="37" type="noConversion"/>
  </si>
  <si>
    <t>工作人员机票，4人执行期北京往返重庆经济舱+踩点期间2人往返重庆预估2次</t>
    <phoneticPr fontId="37" type="noConversion"/>
  </si>
  <si>
    <t>工作人员房间，2人一间，执行17日-21日共4晚+踩点预估2晚2次</t>
    <phoneticPr fontId="37" type="noConversion"/>
  </si>
  <si>
    <t>工作人员餐费预估，5人4天执行+2人2天2次踩点</t>
    <phoneticPr fontId="37" type="noConversion"/>
  </si>
  <si>
    <t>工作人员市内交通预估，5人4天执行+2人2天2次踩点</t>
    <phoneticPr fontId="37" type="noConversion"/>
  </si>
  <si>
    <t>市内交通-工作人员</t>
    <phoneticPr fontId="37" type="noConversion"/>
  </si>
  <si>
    <t>提前抵达嘉宾以及彩排日嘉宾商务简餐，预估30人4天</t>
    <phoneticPr fontId="37" type="noConversion"/>
  </si>
  <si>
    <t>3月17日-21日</t>
    <phoneticPr fontId="37" type="noConversion"/>
  </si>
  <si>
    <t>机票-VIP机票</t>
    <phoneticPr fontId="37" type="noConversion"/>
  </si>
  <si>
    <t>含税成本项服务费，不含人工</t>
    <phoneticPr fontId="37" type="noConversion"/>
  </si>
  <si>
    <t>不含税成本项服务费，不含人工</t>
    <phoneticPr fontId="37" type="noConversion"/>
  </si>
  <si>
    <t>190.8</t>
    <phoneticPr fontId="37" type="noConversion"/>
  </si>
  <si>
    <t>8480</t>
    <phoneticPr fontId="37" type="noConversion"/>
  </si>
  <si>
    <t>嘉宾机票，北上广深往返重庆，预估2人,公务舱</t>
    <phoneticPr fontId="37" type="noConversion"/>
  </si>
  <si>
    <t>3074</t>
    <phoneticPr fontId="37" type="noConversion"/>
  </si>
  <si>
    <t>执行VIP用车预估3天+踩点用车预估3天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</si>
</sst>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42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0" fontId="38" fillId="4" borderId="1" xfId="18" applyFont="1" applyFill="1" applyBorder="1" applyAlignment="1" applyProtection="1">
      <alignment horizontal="left" vertical="top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  <xf numFmtId="179" fontId="6" fillId="0" borderId="0" xfId="0" applyNumberFormat="1" applyFont="1" applyAlignment="1" applyProtection="1">
      <alignment horizontal="center" vertical="center"/>
      <protection locked="0"/>
    </xf>
    <xf numFmtId="49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38" fillId="0" borderId="1" xfId="19" applyNumberFormat="1" applyFont="1" applyFill="1" applyBorder="1" applyAlignment="1" applyProtection="1">
      <alignment horizontal="center"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09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09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09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10" t="s">
        <v>6</v>
      </c>
      <c r="B6" s="199" t="s">
        <v>7</v>
      </c>
      <c r="C6" s="200"/>
    </row>
    <row r="7" spans="1:21" s="193" customFormat="1">
      <c r="A7" s="210"/>
      <c r="B7" s="199" t="s">
        <v>8</v>
      </c>
      <c r="C7" s="200"/>
    </row>
    <row r="8" spans="1:21" s="193" customFormat="1">
      <c r="A8" s="210"/>
      <c r="B8" s="200" t="s">
        <v>9</v>
      </c>
      <c r="C8" s="200"/>
    </row>
    <row r="9" spans="1:21" s="193" customFormat="1" ht="18.899999999999999" customHeight="1">
      <c r="A9" s="210"/>
      <c r="B9" s="199" t="s">
        <v>10</v>
      </c>
      <c r="C9" s="200"/>
    </row>
    <row r="10" spans="1:21" s="193" customFormat="1" ht="18.899999999999999" customHeight="1">
      <c r="A10" s="210"/>
      <c r="B10" s="199" t="s">
        <v>11</v>
      </c>
      <c r="C10" s="200"/>
    </row>
    <row r="11" spans="1:21" s="193" customFormat="1" ht="18.899999999999999" customHeight="1">
      <c r="A11" s="210" t="s">
        <v>12</v>
      </c>
      <c r="B11" s="199" t="s">
        <v>13</v>
      </c>
      <c r="C11" s="199"/>
    </row>
    <row r="12" spans="1:21" s="193" customFormat="1">
      <c r="A12" s="210"/>
      <c r="B12" s="199" t="s">
        <v>14</v>
      </c>
      <c r="C12" s="199"/>
    </row>
    <row r="13" spans="1:21" s="193" customFormat="1">
      <c r="A13" s="210"/>
      <c r="B13" s="199" t="s">
        <v>15</v>
      </c>
      <c r="C13" s="199"/>
    </row>
    <row r="14" spans="1:21" s="193" customFormat="1">
      <c r="A14" s="210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80" customWidth="1"/>
    <col min="2" max="2" width="70.88671875" style="180" customWidth="1"/>
    <col min="3" max="3" width="12.5546875" style="181" customWidth="1"/>
    <col min="4" max="4" width="9.109375" style="180" customWidth="1"/>
    <col min="5" max="5" width="12.5546875" style="182" customWidth="1"/>
    <col min="6" max="6" width="12.5546875" style="180" customWidth="1"/>
    <col min="7" max="7" width="17.6640625" style="180" customWidth="1"/>
    <col min="8" max="8" width="18.88671875" style="180" customWidth="1"/>
    <col min="9" max="9" width="11.6640625" style="180"/>
    <col min="10" max="10" width="21.8867187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3.8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3.8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3.8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3.8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3.8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3.8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3.8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3.8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3.8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3.8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3.8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3.8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3.8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3.8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3.8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3.8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3.8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3.8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3.8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3.8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3.8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3.8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3.8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3.8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3.8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3.8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3.8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3.8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3.8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3.8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3.8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3.8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3.8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3.8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3.8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3.8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3.8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3.8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3.8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3.8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3.8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3.8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3.8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3.8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3.8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3.8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3.8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3.8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3.8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3.8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3.8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3.8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3.8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3.8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3.8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3.8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3.8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3.8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3.8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3.8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3.8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3.8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3.8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3.8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3.8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3.8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3.8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3.8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3.8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3.8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3.8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3.8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3.8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3.8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3.8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3.8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3.8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3.8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3.8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3.8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3.8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3.8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3.8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3.8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3.8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3.8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3.8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3.8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3.8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3.8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3.8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3.8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3.8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3.8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3.8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3.8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3.8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3.8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3.8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3.8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3.8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3.8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3.8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3.8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3.8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3.8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3.8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3.8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3.8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3.8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3.8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3.8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3.8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3.8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3.8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3.8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3.8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3.8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3.8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3.8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3.8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3.8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3.8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3.8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3.8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3.8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3.8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3.8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3.8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3.8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3.8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3.8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3.8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3.8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3.8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3.8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3.8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3.8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3.8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3.8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3.8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3.8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3.8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3.8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3.8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3.8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3.8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3.8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3.8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3.8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3.8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3.8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3.8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3.8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3.8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3.8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3.8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3.8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3.8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3.8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3.8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3.8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3.8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3.8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3.8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3.8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3.8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3.8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3.8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3.8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3.8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3.8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3.8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3.8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3.8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3.8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3.8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3.8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3.8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3.8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3.8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3.8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3.8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3.8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3.8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3.8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3.8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3.8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3.8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3.8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3.8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3.8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3.8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3.8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3.8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3.8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3.8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3.8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3.8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3.8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3.8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3.8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3.8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3.8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3.8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3.8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3.8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3.8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3.8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3.8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3.8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3.8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3.8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3.8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3.8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3.8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3.8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3.8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3.8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3.8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3.8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3.8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3.8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3.8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3.8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3.8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3.8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3.8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3.8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3.8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3.8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3.8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3.8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3.8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3.8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3.8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3.8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3.8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3.8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3.8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3.8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3.8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3.8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3.8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3.8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3.8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3.8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3.8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3.8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3.8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3.8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3.8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3.8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3.8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3.8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3.8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3.8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3.8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3.8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3.8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3.8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3.8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3.8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3.8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3.8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3.8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3.8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3.8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3.8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3.8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3.8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3.8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3.8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3.8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3.8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3.8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3.8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3.8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3.8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3.8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3.8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3.8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3.8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3.8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3.8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3.8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3.8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3.8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3.8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3.8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3.8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3.8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3.8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3.8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3.8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3.8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3.8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3.8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3.8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3.8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3.8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3.8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3.8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3.8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3.8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3.8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3.8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3.8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3.8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3.8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3.8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3.8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3.8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3.8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3.8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3.8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3.8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3.8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3.8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3.8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3.8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3.8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3.8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3.8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3.8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3.8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3.8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3.8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3.8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3.8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3.8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3.8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3.8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3.8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3.8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3.8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3.8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3.8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3.8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3.8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3.8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3.8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3.8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3.8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3.8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3.8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3.8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3.8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3.8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3.8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3.8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3.8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3.8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3.8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3.8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3.8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3.8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3.8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3.8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3.8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3.8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3.8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3.8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3.8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3.8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3.8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3.8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3.8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3.8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3.8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3.8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3.8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3.8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3.8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3.8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3.8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3.8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3.8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3.8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3.8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3.8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3.8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3.8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3.8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3.8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3.8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3.8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3.8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3.8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3.8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3.8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3.8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3.8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3.8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3.8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3.8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3.8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3.8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3.8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3.8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3.8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3.8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3.8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3.8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3.8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3.8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3.8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3.8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3.8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3.8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3.8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3.8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3.8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3.8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3.8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3.8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3.8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3.8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3.8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3.8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3.8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3.8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3.8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3.8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3.8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3.8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3.8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3.8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3.8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3.8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3.8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3.8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3.8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3.8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3.8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3.8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3.8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3.8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3.8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3.8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3.8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3.8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3.8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3.8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3.8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3.8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3.8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3.8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3.8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3.8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3.8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3.8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3.8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3.8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3.8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3.8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3.8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3.8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3.8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3.8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3.8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3.8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3.8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3.8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3.8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3.8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3.8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3.8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3.8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3.8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3.8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3.8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3.8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3.8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3.8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3.8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3.8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3.8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3.8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3.8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3.8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3.8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3.8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3.8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3.8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3.8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3.8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3.8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3.8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3.8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3.8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3.8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3.8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3.8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3.8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3.8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3.8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3.8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3.8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3.8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3.8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3.8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3.8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3.8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3.8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3.8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3.8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3.8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3.8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3.8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3.8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3.8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3.8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3.8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3.8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3.8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3.8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3.8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3.8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3.8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3.8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3.8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3.8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3.8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3.8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3.8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3.8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3.8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3.8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3.8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3.8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3.8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3.8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3.8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3.8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3.8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3.8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3.8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3.8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3.8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3.8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3.8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3.8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3.8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3.8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3.8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3.8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3.8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3.8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3.8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3.8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3.8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3.8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3.8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3.8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3.8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3.8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3.8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3.8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3.8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3.8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3.8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3.8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3.8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3.8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3.8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3.8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3.8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3.8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3.8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3.8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3.8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3.8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3.8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3.8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3.8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3.8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3.8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3.8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3.8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3.8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3.8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3.8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3.8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3.8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3.8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3.8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3.8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3.8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3.8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3.8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3.8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3.8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3.8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3.8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3.8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3.8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3.8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3.8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3.8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3.8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3.8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3.8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3.8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3.8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3.8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3.8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3.8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3.8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3.8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3.8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3.8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3.8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3.8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3.8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3.8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3.8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3.8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3.8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3.8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3.8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3.8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3.8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3.8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3.8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3.8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3.8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3.8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3.8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3.8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3.8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3.8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3.8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3.8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3.8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3.8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3.8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3.8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3.8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3.8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3.8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3.8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3.8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3.8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3.8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3.8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3.8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3.8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3.8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3.8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3.8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3.8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3.8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3.8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3.8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3.8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3.8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3.8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3.8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3.8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3.8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3.8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3.8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3.8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3.8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3.8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3.8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3.8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3.8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3.8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3.8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3.8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3.8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3.8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3.8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3.8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3.8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3.8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3.8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3.8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3.8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3.8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3.8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3.8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3.8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3.8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3.8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3.8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3.8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3.8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3.8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3.8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3.8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3.8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3.8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3.8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3.8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3.8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3.8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3.8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3.8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3.8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3.8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3.8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3.8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3.8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3.8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3.8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3.8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3.8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3.8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3.8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3.8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3.8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3.8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30" customWidth="1"/>
    <col min="11" max="11" width="12" style="13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132" customWidth="1"/>
    <col min="17" max="17" width="30.5546875" style="132" customWidth="1" outlineLevel="1"/>
    <col min="18" max="18" width="30.5546875" style="133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40" t="s">
        <v>2268</v>
      </c>
      <c r="K1" s="141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44" t="s">
        <v>2274</v>
      </c>
      <c r="Q1" s="148" t="s">
        <v>2275</v>
      </c>
      <c r="R1" s="149" t="s">
        <v>2276</v>
      </c>
      <c r="S1" s="38" t="s">
        <v>2277</v>
      </c>
      <c r="T1" s="63" t="s">
        <v>2278</v>
      </c>
      <c r="U1" s="64" t="s">
        <v>2279</v>
      </c>
    </row>
    <row r="2" spans="1:24" s="18" customFormat="1">
      <c r="A2" s="134" t="s">
        <v>2280</v>
      </c>
      <c r="B2" s="135" t="s">
        <v>2281</v>
      </c>
      <c r="C2" s="135" t="s">
        <v>2282</v>
      </c>
      <c r="D2" s="135"/>
      <c r="E2" s="136" t="s">
        <v>2283</v>
      </c>
      <c r="F2" s="137"/>
      <c r="G2" s="138" t="str">
        <f>_xlfn.IFNA(IF(VLOOKUP($F2,'3.框架内物料'!$A:$E,2,0)=0,"请勿填写",VLOOKUP($F2,'3.框架内物料'!$A:$E,2,0)),"")</f>
        <v/>
      </c>
      <c r="H2" s="139" t="str">
        <f>_xlfn.IFNA(VLOOKUP($F2,'3.框架内物料'!$A:$E,4,0),"")</f>
        <v/>
      </c>
      <c r="I2" s="138" t="str">
        <f>_xlfn.IFNA(VLOOKUP($F2,'3.框架内物料'!$A:$E,5,0),"")</f>
        <v/>
      </c>
      <c r="J2" s="142" t="str">
        <f>_xlfn.IFNA(VLOOKUP($F2,'3.框架内物料'!$A:$F,6,0),"")</f>
        <v/>
      </c>
      <c r="K2" s="142" t="str">
        <f>_xlfn.IFNA(VLOOKUP($F2,'3.框架内物料'!$A:$F,6,0),"")</f>
        <v/>
      </c>
      <c r="L2" s="48"/>
      <c r="M2" s="48"/>
      <c r="N2" s="48"/>
      <c r="O2" s="48"/>
      <c r="P2" s="145">
        <f>IFERROR(N2*L2*J2,0)</f>
        <v>0</v>
      </c>
      <c r="Q2" s="145">
        <f>IFERROR(K2*M2*O2,0)</f>
        <v>0</v>
      </c>
      <c r="R2" s="150">
        <f>Q2-P2</f>
        <v>0</v>
      </c>
      <c r="S2" s="151">
        <v>0.06</v>
      </c>
      <c r="T2" s="152"/>
      <c r="U2" s="152">
        <v>1</v>
      </c>
    </row>
    <row r="3" spans="1:24" s="18" customFormat="1">
      <c r="A3" s="134" t="s">
        <v>2280</v>
      </c>
      <c r="B3" s="135" t="s">
        <v>2281</v>
      </c>
      <c r="C3" s="135" t="s">
        <v>2282</v>
      </c>
      <c r="D3" s="135"/>
      <c r="E3" s="136" t="s">
        <v>2284</v>
      </c>
      <c r="F3" s="137"/>
      <c r="G3" s="138" t="str">
        <f>_xlfn.IFNA(IF(VLOOKUP($F3,'3.框架内物料'!$A:$E,2,0)=0,"请勿填写",VLOOKUP($F3,'3.框架内物料'!$A:$E,2,0)),"")</f>
        <v/>
      </c>
      <c r="H3" s="139" t="str">
        <f>_xlfn.IFNA(VLOOKUP($F3,'3.框架内物料'!$A:$E,4,0),"")</f>
        <v/>
      </c>
      <c r="I3" s="138" t="str">
        <f>_xlfn.IFNA(VLOOKUP($F3,'3.框架内物料'!$A:$E,5,0),"")</f>
        <v/>
      </c>
      <c r="J3" s="142" t="str">
        <f>_xlfn.IFNA(VLOOKUP($F3,'3.框架内物料'!$A:$F,6,0),"")</f>
        <v/>
      </c>
      <c r="K3" s="142" t="str">
        <f>_xlfn.IFNA(VLOOKUP($F3,'3.框架内物料'!$A:$F,6,0),"")</f>
        <v/>
      </c>
      <c r="L3" s="48"/>
      <c r="M3" s="48"/>
      <c r="N3" s="48"/>
      <c r="O3" s="48"/>
      <c r="P3" s="145">
        <f t="shared" ref="P3:P8" si="0">IFERROR(N3*L3*J3,0)</f>
        <v>0</v>
      </c>
      <c r="Q3" s="145">
        <f t="shared" ref="Q3:Q8" si="1">IFERROR(K3*M3*O3,0)</f>
        <v>0</v>
      </c>
      <c r="R3" s="150">
        <f t="shared" ref="R3:R8" si="2">Q3-P3</f>
        <v>0</v>
      </c>
      <c r="S3" s="151">
        <v>0.06</v>
      </c>
      <c r="T3" s="152"/>
      <c r="U3" s="152">
        <v>2</v>
      </c>
    </row>
    <row r="4" spans="1:24" s="18" customFormat="1" ht="32.1" customHeight="1">
      <c r="A4" s="134" t="s">
        <v>2280</v>
      </c>
      <c r="B4" s="135" t="s">
        <v>2285</v>
      </c>
      <c r="C4" s="135" t="s">
        <v>2286</v>
      </c>
      <c r="D4" s="135"/>
      <c r="E4" s="136" t="s">
        <v>2284</v>
      </c>
      <c r="F4" s="137"/>
      <c r="G4" s="138" t="str">
        <f>_xlfn.IFNA(IF(VLOOKUP($F4,'3.框架内物料'!$A:$E,2,0)=0,"请勿填写",VLOOKUP($F4,'3.框架内物料'!$A:$E,2,0)),"")</f>
        <v/>
      </c>
      <c r="H4" s="139" t="str">
        <f>_xlfn.IFNA(VLOOKUP($F4,'3.框架内物料'!$A:$E,4,0),"")</f>
        <v/>
      </c>
      <c r="I4" s="138" t="str">
        <f>_xlfn.IFNA(VLOOKUP($F4,'3.框架内物料'!$A:$E,5,0),"")</f>
        <v/>
      </c>
      <c r="J4" s="142" t="str">
        <f>_xlfn.IFNA(VLOOKUP($F4,'3.框架内物料'!$A:$F,6,0),"")</f>
        <v/>
      </c>
      <c r="K4" s="142" t="str">
        <f>_xlfn.IFNA(VLOOKUP($F4,'3.框架内物料'!$A:$F,6,0),"")</f>
        <v/>
      </c>
      <c r="L4" s="48"/>
      <c r="M4" s="48"/>
      <c r="N4" s="146"/>
      <c r="O4" s="146"/>
      <c r="P4" s="145">
        <f t="shared" si="0"/>
        <v>0</v>
      </c>
      <c r="Q4" s="145">
        <f t="shared" si="1"/>
        <v>0</v>
      </c>
      <c r="R4" s="150">
        <f t="shared" si="2"/>
        <v>0</v>
      </c>
      <c r="S4" s="151">
        <v>0.06</v>
      </c>
      <c r="T4" s="152"/>
      <c r="U4" s="152">
        <v>4</v>
      </c>
    </row>
    <row r="5" spans="1:24" s="18" customFormat="1" ht="32.1" customHeight="1">
      <c r="A5" s="134" t="s">
        <v>2280</v>
      </c>
      <c r="B5" s="135" t="s">
        <v>2285</v>
      </c>
      <c r="C5" s="135" t="s">
        <v>2287</v>
      </c>
      <c r="D5" s="135"/>
      <c r="E5" s="136" t="s">
        <v>2284</v>
      </c>
      <c r="F5" s="137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43" t="str">
        <f>_xlfn.IFNA(VLOOKUP($F5,'3.框架内物料'!$A:$F,6,0),"")</f>
        <v/>
      </c>
      <c r="K5" s="143" t="str">
        <f>_xlfn.IFNA(VLOOKUP($F5,'3.框架内物料'!$A:$F,6,0),"")</f>
        <v/>
      </c>
      <c r="L5" s="48"/>
      <c r="M5" s="48"/>
      <c r="N5" s="146"/>
      <c r="O5" s="146"/>
      <c r="P5" s="145">
        <f t="shared" si="0"/>
        <v>0</v>
      </c>
      <c r="Q5" s="145">
        <f t="shared" si="1"/>
        <v>0</v>
      </c>
      <c r="R5" s="150">
        <f t="shared" si="2"/>
        <v>0</v>
      </c>
      <c r="S5" s="151">
        <v>0.06</v>
      </c>
      <c r="T5" s="152"/>
      <c r="U5" s="152">
        <v>5</v>
      </c>
    </row>
    <row r="6" spans="1:24" s="18" customFormat="1" ht="32.1" customHeight="1">
      <c r="A6" s="134" t="s">
        <v>2280</v>
      </c>
      <c r="B6" s="135"/>
      <c r="C6" s="135"/>
      <c r="D6" s="135"/>
      <c r="E6" s="136" t="s">
        <v>2284</v>
      </c>
      <c r="F6" s="137"/>
      <c r="G6" s="138" t="str">
        <f>_xlfn.IFNA(IF(VLOOKUP($F6,'3.框架内物料'!$A:$E,2,0)=0,"请勿填写",VLOOKUP($F6,'3.框架内物料'!$A:$E,2,0)),"")</f>
        <v/>
      </c>
      <c r="H6" s="139" t="str">
        <f>_xlfn.IFNA(VLOOKUP($F6,'3.框架内物料'!$A:$E,4,0),"")</f>
        <v/>
      </c>
      <c r="I6" s="138" t="str">
        <f>_xlfn.IFNA(VLOOKUP($F6,'3.框架内物料'!$A:$E,5,0),"")</f>
        <v/>
      </c>
      <c r="J6" s="142" t="str">
        <f>_xlfn.IFNA(VLOOKUP($F6,'3.框架内物料'!$A:$F,6,0),"")</f>
        <v/>
      </c>
      <c r="K6" s="142" t="str">
        <f>_xlfn.IFNA(VLOOKUP($F6,'3.框架内物料'!$A:$F,6,0),"")</f>
        <v/>
      </c>
      <c r="L6" s="48"/>
      <c r="M6" s="48"/>
      <c r="N6" s="146"/>
      <c r="O6" s="146"/>
      <c r="P6" s="145">
        <f t="shared" si="0"/>
        <v>0</v>
      </c>
      <c r="Q6" s="145">
        <f t="shared" si="1"/>
        <v>0</v>
      </c>
      <c r="R6" s="150">
        <f t="shared" si="2"/>
        <v>0</v>
      </c>
      <c r="S6" s="151">
        <v>0.06</v>
      </c>
      <c r="T6" s="152"/>
      <c r="U6" s="152">
        <v>7</v>
      </c>
    </row>
    <row r="7" spans="1:24" s="18" customFormat="1" ht="32.1" customHeight="1">
      <c r="A7" s="134" t="s">
        <v>2280</v>
      </c>
      <c r="B7" s="135"/>
      <c r="C7" s="135"/>
      <c r="D7" s="136"/>
      <c r="E7" s="136" t="s">
        <v>2284</v>
      </c>
      <c r="F7" s="137"/>
      <c r="G7" s="138" t="str">
        <f>_xlfn.IFNA(IF(VLOOKUP($F7,'3.框架内物料'!$A:$E,2,0)=0,"请勿填写",VLOOKUP($F7,'3.框架内物料'!$A:$E,2,0)),"")</f>
        <v/>
      </c>
      <c r="H7" s="139" t="str">
        <f>_xlfn.IFNA(VLOOKUP($F7,'3.框架内物料'!$A:$E,4,0),"")</f>
        <v/>
      </c>
      <c r="I7" s="138" t="str">
        <f>_xlfn.IFNA(VLOOKUP($F7,'3.框架内物料'!$A:$E,5,0),"")</f>
        <v/>
      </c>
      <c r="J7" s="142" t="str">
        <f>_xlfn.IFNA(VLOOKUP($F7,'3.框架内物料'!$A:$F,6,0),"")</f>
        <v/>
      </c>
      <c r="K7" s="142" t="str">
        <f>_xlfn.IFNA(VLOOKUP($F7,'3.框架内物料'!$A:$F,6,0),"")</f>
        <v/>
      </c>
      <c r="L7" s="48"/>
      <c r="M7" s="48"/>
      <c r="N7" s="146"/>
      <c r="O7" s="146"/>
      <c r="P7" s="145">
        <f t="shared" si="0"/>
        <v>0</v>
      </c>
      <c r="Q7" s="145">
        <f t="shared" si="1"/>
        <v>0</v>
      </c>
      <c r="R7" s="150">
        <f t="shared" si="2"/>
        <v>0</v>
      </c>
      <c r="S7" s="151">
        <v>0.06</v>
      </c>
      <c r="T7" s="152"/>
      <c r="U7" s="152">
        <v>8</v>
      </c>
    </row>
    <row r="8" spans="1:24" s="18" customFormat="1" ht="32.1" customHeight="1">
      <c r="A8" s="134" t="s">
        <v>2280</v>
      </c>
      <c r="B8" s="135"/>
      <c r="C8" s="135"/>
      <c r="D8" s="136"/>
      <c r="E8" s="136" t="s">
        <v>2284</v>
      </c>
      <c r="F8" s="137"/>
      <c r="G8" s="138" t="str">
        <f>_xlfn.IFNA(IF(VLOOKUP($F8,'3.框架内物料'!$A:$E,2,0)=0,"请勿填写",VLOOKUP($F8,'3.框架内物料'!$A:$E,2,0)),"")</f>
        <v/>
      </c>
      <c r="H8" s="139" t="str">
        <f>_xlfn.IFNA(VLOOKUP($F8,'3.框架内物料'!$A:$E,4,0),"")</f>
        <v/>
      </c>
      <c r="I8" s="138" t="str">
        <f>_xlfn.IFNA(VLOOKUP($F8,'3.框架内物料'!$A:$E,5,0),"")</f>
        <v/>
      </c>
      <c r="J8" s="142" t="str">
        <f>_xlfn.IFNA(VLOOKUP($F8,'3.框架内物料'!$A:$F,6,0),"")</f>
        <v/>
      </c>
      <c r="K8" s="142" t="str">
        <f>_xlfn.IFNA(VLOOKUP($F8,'3.框架内物料'!$A:$F,6,0),"")</f>
        <v/>
      </c>
      <c r="L8" s="48"/>
      <c r="M8" s="48"/>
      <c r="N8" s="146"/>
      <c r="O8" s="146"/>
      <c r="P8" s="145">
        <f t="shared" si="0"/>
        <v>0</v>
      </c>
      <c r="Q8" s="145">
        <f t="shared" si="1"/>
        <v>0</v>
      </c>
      <c r="R8" s="150">
        <f t="shared" si="2"/>
        <v>0</v>
      </c>
      <c r="S8" s="151">
        <v>0.06</v>
      </c>
      <c r="T8" s="152"/>
      <c r="U8" s="152">
        <v>10</v>
      </c>
    </row>
    <row r="9" spans="1:24" s="18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11" t="s">
        <v>2288</v>
      </c>
      <c r="Q9" s="212"/>
      <c r="R9" s="213"/>
      <c r="S9" s="66"/>
      <c r="T9" s="66"/>
      <c r="U9" s="66"/>
    </row>
    <row r="10" spans="1:24" s="18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47">
        <f>SUM(P2:P8)</f>
        <v>0</v>
      </c>
      <c r="Q10" s="147">
        <f>SUM(Q2:Q8)</f>
        <v>0</v>
      </c>
      <c r="R10" s="147">
        <f>Q10-P10</f>
        <v>0</v>
      </c>
      <c r="S10" s="35"/>
      <c r="T10" s="43"/>
      <c r="U10" s="67"/>
    </row>
    <row r="11" spans="1:24" s="18" customFormat="1">
      <c r="A11" s="134" t="s">
        <v>2289</v>
      </c>
      <c r="B11" s="135"/>
      <c r="C11" s="135"/>
      <c r="D11" s="135"/>
      <c r="E11" s="135" t="s">
        <v>2284</v>
      </c>
      <c r="F11" s="137"/>
      <c r="G11" s="138" t="str">
        <f>_xlfn.IFNA(IF(VLOOKUP($F11,'3.框架内物料'!$A:$E,2,0)=0,"请勿填写",VLOOKUP($F11,'3.框架内物料'!$A:$E,2,0)),"")</f>
        <v/>
      </c>
      <c r="H11" s="139" t="str">
        <f>_xlfn.IFNA(VLOOKUP($F11,'3.框架内物料'!$A:$E,4,0),"")</f>
        <v/>
      </c>
      <c r="I11" s="138" t="str">
        <f>_xlfn.IFNA(VLOOKUP($F11,'3.框架内物料'!$A:$E,5,0),"")</f>
        <v/>
      </c>
      <c r="J11" s="142" t="str">
        <f>_xlfn.IFNA(VLOOKUP($F11,'3.框架内物料'!$A:$F,6,0),"")</f>
        <v/>
      </c>
      <c r="K11" s="142" t="str">
        <f>_xlfn.IFNA(VLOOKUP($F11,'3.框架内物料'!$A:$F,6,0),"")</f>
        <v/>
      </c>
      <c r="L11" s="48"/>
      <c r="M11" s="48"/>
      <c r="N11" s="48"/>
      <c r="O11" s="48"/>
      <c r="P11" s="145">
        <f t="shared" ref="P11:P68" si="3">IFERROR(N11*L11*J11,0)</f>
        <v>0</v>
      </c>
      <c r="Q11" s="145">
        <f t="shared" ref="Q11:Q68" si="4">IFERROR(K11*M11*O11,0)</f>
        <v>0</v>
      </c>
      <c r="R11" s="150">
        <f t="shared" ref="R11:R68" si="5">Q11-P11</f>
        <v>0</v>
      </c>
      <c r="S11" s="153">
        <v>0.06</v>
      </c>
      <c r="T11" s="154"/>
      <c r="U11" s="154">
        <v>13</v>
      </c>
    </row>
    <row r="12" spans="1:24" s="18" customFormat="1">
      <c r="A12" s="134" t="s">
        <v>2289</v>
      </c>
      <c r="B12" s="135"/>
      <c r="C12" s="135"/>
      <c r="D12" s="136"/>
      <c r="E12" s="136"/>
      <c r="F12" s="137"/>
      <c r="G12" s="138" t="str">
        <f>_xlfn.IFNA(IF(VLOOKUP($F12,'3.框架内物料'!$A:$E,2,0)=0,"请勿填写",VLOOKUP($F12,'3.框架内物料'!$A:$E,2,0)),"")</f>
        <v/>
      </c>
      <c r="H12" s="139" t="str">
        <f>_xlfn.IFNA(VLOOKUP($F12,'3.框架内物料'!$A:$E,4,0),"")</f>
        <v/>
      </c>
      <c r="I12" s="138" t="str">
        <f>_xlfn.IFNA(VLOOKUP($F12,'3.框架内物料'!$A:$E,5,0),"")</f>
        <v/>
      </c>
      <c r="J12" s="142" t="str">
        <f>_xlfn.IFNA(VLOOKUP($F12,'3.框架内物料'!$A:$F,6,0),"")</f>
        <v/>
      </c>
      <c r="K12" s="142" t="str">
        <f>_xlfn.IFNA(VLOOKUP($F12,'3.框架内物料'!$A:$F,6,0),"")</f>
        <v/>
      </c>
      <c r="L12" s="48"/>
      <c r="M12" s="48"/>
      <c r="N12" s="146"/>
      <c r="O12" s="146"/>
      <c r="P12" s="145">
        <f t="shared" si="3"/>
        <v>0</v>
      </c>
      <c r="Q12" s="145">
        <f t="shared" si="4"/>
        <v>0</v>
      </c>
      <c r="R12" s="150">
        <f t="shared" si="5"/>
        <v>0</v>
      </c>
      <c r="S12" s="151">
        <v>0.06</v>
      </c>
      <c r="T12" s="152"/>
      <c r="U12" s="152">
        <v>14</v>
      </c>
    </row>
    <row r="13" spans="1:24" s="18" customFormat="1">
      <c r="A13" s="134" t="s">
        <v>2289</v>
      </c>
      <c r="B13" s="135"/>
      <c r="C13" s="135"/>
      <c r="D13" s="136"/>
      <c r="E13" s="136"/>
      <c r="F13" s="137"/>
      <c r="G13" s="138" t="str">
        <f>_xlfn.IFNA(IF(VLOOKUP($F13,'3.框架内物料'!$A:$E,2,0)=0,"请勿填写",VLOOKUP($F13,'3.框架内物料'!$A:$E,2,0)),"")</f>
        <v/>
      </c>
      <c r="H13" s="139" t="str">
        <f>_xlfn.IFNA(VLOOKUP($F13,'3.框架内物料'!$A:$E,4,0),"")</f>
        <v/>
      </c>
      <c r="I13" s="138" t="str">
        <f>_xlfn.IFNA(VLOOKUP($F13,'3.框架内物料'!$A:$E,5,0),"")</f>
        <v/>
      </c>
      <c r="J13" s="142" t="str">
        <f>_xlfn.IFNA(VLOOKUP($F13,'3.框架内物料'!$A:$F,6,0),"")</f>
        <v/>
      </c>
      <c r="K13" s="142" t="str">
        <f>_xlfn.IFNA(VLOOKUP($F13,'3.框架内物料'!$A:$F,6,0),"")</f>
        <v/>
      </c>
      <c r="L13" s="48"/>
      <c r="M13" s="48"/>
      <c r="N13" s="146"/>
      <c r="O13" s="146"/>
      <c r="P13" s="145">
        <f t="shared" si="3"/>
        <v>0</v>
      </c>
      <c r="Q13" s="145">
        <f t="shared" si="4"/>
        <v>0</v>
      </c>
      <c r="R13" s="150">
        <f t="shared" si="5"/>
        <v>0</v>
      </c>
      <c r="S13" s="151">
        <v>0.06</v>
      </c>
      <c r="T13" s="152"/>
      <c r="U13" s="152">
        <v>16</v>
      </c>
    </row>
    <row r="14" spans="1:24" s="20" customFormat="1">
      <c r="A14" s="134" t="s">
        <v>2289</v>
      </c>
      <c r="B14" s="135"/>
      <c r="C14" s="135"/>
      <c r="D14" s="135"/>
      <c r="E14" s="135" t="s">
        <v>2290</v>
      </c>
      <c r="F14" s="137"/>
      <c r="G14" s="138" t="str">
        <f>_xlfn.IFNA(IF(VLOOKUP($F14,'3.框架内物料'!$A:$E,2,0)=0,"请勿填写",VLOOKUP($F14,'3.框架内物料'!$A:$E,2,0)),"")</f>
        <v/>
      </c>
      <c r="H14" s="139" t="str">
        <f>_xlfn.IFNA(VLOOKUP($F14,'3.框架内物料'!$A:$E,4,0),"")</f>
        <v/>
      </c>
      <c r="I14" s="138" t="str">
        <f>_xlfn.IFNA(VLOOKUP($F14,'3.框架内物料'!$A:$E,5,0),"")</f>
        <v/>
      </c>
      <c r="J14" s="142" t="str">
        <f>_xlfn.IFNA(VLOOKUP($F14,'3.框架内物料'!$A:$F,6,0),"")</f>
        <v/>
      </c>
      <c r="K14" s="142" t="str">
        <f>_xlfn.IFNA(VLOOKUP($F14,'3.框架内物料'!$A:$F,6,0),"")</f>
        <v/>
      </c>
      <c r="L14" s="48"/>
      <c r="M14" s="48"/>
      <c r="N14" s="48"/>
      <c r="O14" s="48"/>
      <c r="P14" s="145">
        <f t="shared" si="3"/>
        <v>0</v>
      </c>
      <c r="Q14" s="145">
        <f t="shared" si="4"/>
        <v>0</v>
      </c>
      <c r="R14" s="150">
        <f t="shared" si="5"/>
        <v>0</v>
      </c>
      <c r="S14" s="151">
        <v>0.06</v>
      </c>
      <c r="T14" s="155"/>
      <c r="U14" s="152">
        <v>17</v>
      </c>
    </row>
    <row r="15" spans="1:24" s="20" customFormat="1">
      <c r="A15" s="134" t="s">
        <v>2289</v>
      </c>
      <c r="B15" s="135"/>
      <c r="C15" s="135"/>
      <c r="D15" s="135"/>
      <c r="E15" s="135"/>
      <c r="F15" s="137"/>
      <c r="G15" s="138" t="str">
        <f>_xlfn.IFNA(IF(VLOOKUP($F15,'3.框架内物料'!$A:$E,2,0)=0,"请勿填写",VLOOKUP($F15,'3.框架内物料'!$A:$E,2,0)),"")</f>
        <v/>
      </c>
      <c r="H15" s="139" t="str">
        <f>_xlfn.IFNA(VLOOKUP($F15,'3.框架内物料'!$A:$E,4,0),"")</f>
        <v/>
      </c>
      <c r="I15" s="138" t="str">
        <f>_xlfn.IFNA(VLOOKUP($F15,'3.框架内物料'!$A:$E,5,0),"")</f>
        <v/>
      </c>
      <c r="J15" s="142" t="str">
        <f>_xlfn.IFNA(VLOOKUP($F15,'3.框架内物料'!$A:$F,6,0),"")</f>
        <v/>
      </c>
      <c r="K15" s="142" t="str">
        <f>_xlfn.IFNA(VLOOKUP($F15,'3.框架内物料'!$A:$F,6,0),"")</f>
        <v/>
      </c>
      <c r="L15" s="48"/>
      <c r="M15" s="48"/>
      <c r="N15" s="146"/>
      <c r="O15" s="146"/>
      <c r="P15" s="145">
        <f t="shared" si="3"/>
        <v>0</v>
      </c>
      <c r="Q15" s="145">
        <f t="shared" si="4"/>
        <v>0</v>
      </c>
      <c r="R15" s="150">
        <f t="shared" si="5"/>
        <v>0</v>
      </c>
      <c r="S15" s="151">
        <v>0.06</v>
      </c>
      <c r="T15" s="155"/>
      <c r="U15" s="152">
        <v>19</v>
      </c>
    </row>
    <row r="16" spans="1:24" s="20" customFormat="1">
      <c r="A16" s="134" t="s">
        <v>2289</v>
      </c>
      <c r="B16" s="135"/>
      <c r="C16" s="135"/>
      <c r="D16" s="136"/>
      <c r="E16" s="136"/>
      <c r="F16" s="137"/>
      <c r="G16" s="138" t="str">
        <f>_xlfn.IFNA(IF(VLOOKUP($F16,'3.框架内物料'!$A:$E,2,0)=0,"请勿填写",VLOOKUP($F16,'3.框架内物料'!$A:$E,2,0)),"")</f>
        <v/>
      </c>
      <c r="H16" s="139" t="str">
        <f>_xlfn.IFNA(VLOOKUP($F16,'3.框架内物料'!$A:$E,4,0),"")</f>
        <v/>
      </c>
      <c r="I16" s="138" t="str">
        <f>_xlfn.IFNA(VLOOKUP($F16,'3.框架内物料'!$A:$E,5,0),"")</f>
        <v/>
      </c>
      <c r="J16" s="142" t="str">
        <f>_xlfn.IFNA(VLOOKUP($F16,'3.框架内物料'!$A:$F,6,0),"")</f>
        <v/>
      </c>
      <c r="K16" s="142" t="str">
        <f>_xlfn.IFNA(VLOOKUP($F16,'3.框架内物料'!$A:$F,6,0),"")</f>
        <v/>
      </c>
      <c r="L16" s="48"/>
      <c r="M16" s="48"/>
      <c r="N16" s="146"/>
      <c r="O16" s="146"/>
      <c r="P16" s="145">
        <f t="shared" si="3"/>
        <v>0</v>
      </c>
      <c r="Q16" s="145">
        <f t="shared" si="4"/>
        <v>0</v>
      </c>
      <c r="R16" s="150">
        <f t="shared" si="5"/>
        <v>0</v>
      </c>
      <c r="S16" s="151">
        <v>0.06</v>
      </c>
      <c r="T16" s="155"/>
      <c r="U16" s="152">
        <v>20</v>
      </c>
      <c r="X16" s="70"/>
    </row>
    <row r="17" spans="1:24" s="20" customFormat="1">
      <c r="A17" s="134" t="s">
        <v>2289</v>
      </c>
      <c r="B17" s="135"/>
      <c r="C17" s="135"/>
      <c r="D17" s="136"/>
      <c r="E17" s="136"/>
      <c r="F17" s="137"/>
      <c r="G17" s="138" t="str">
        <f>_xlfn.IFNA(IF(VLOOKUP($F17,'3.框架内物料'!$A:$E,2,0)=0,"请勿填写",VLOOKUP($F17,'3.框架内物料'!$A:$E,2,0)),"")</f>
        <v/>
      </c>
      <c r="H17" s="139" t="str">
        <f>_xlfn.IFNA(VLOOKUP($F17,'3.框架内物料'!$A:$E,4,0),"")</f>
        <v/>
      </c>
      <c r="I17" s="138" t="str">
        <f>_xlfn.IFNA(VLOOKUP($F17,'3.框架内物料'!$A:$E,5,0),"")</f>
        <v/>
      </c>
      <c r="J17" s="142" t="str">
        <f>_xlfn.IFNA(VLOOKUP($F17,'3.框架内物料'!$A:$F,6,0),"")</f>
        <v/>
      </c>
      <c r="K17" s="142" t="str">
        <f>_xlfn.IFNA(VLOOKUP($F17,'3.框架内物料'!$A:$F,6,0),"")</f>
        <v/>
      </c>
      <c r="L17" s="48"/>
      <c r="M17" s="48"/>
      <c r="N17" s="146"/>
      <c r="O17" s="146"/>
      <c r="P17" s="145">
        <f t="shared" si="3"/>
        <v>0</v>
      </c>
      <c r="Q17" s="145">
        <f t="shared" si="4"/>
        <v>0</v>
      </c>
      <c r="R17" s="150">
        <f t="shared" si="5"/>
        <v>0</v>
      </c>
      <c r="S17" s="151">
        <v>0.06</v>
      </c>
      <c r="T17" s="155"/>
      <c r="U17" s="152">
        <v>22</v>
      </c>
      <c r="X17" s="70"/>
    </row>
    <row r="18" spans="1:24" s="20" customFormat="1" ht="17.399999999999999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11" t="s">
        <v>2291</v>
      </c>
      <c r="Q18" s="212"/>
      <c r="R18" s="213"/>
      <c r="S18" s="66"/>
      <c r="T18" s="66"/>
      <c r="U18" s="66"/>
      <c r="X18" s="70"/>
    </row>
    <row r="19" spans="1:24" s="20" customFormat="1" ht="17.399999999999999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47">
        <f>SUM(P11:P17)</f>
        <v>0</v>
      </c>
      <c r="Q19" s="147">
        <f>SUM(Q11:Q17)</f>
        <v>0</v>
      </c>
      <c r="R19" s="147">
        <f>Q19-P19</f>
        <v>0</v>
      </c>
      <c r="S19" s="35"/>
      <c r="T19" s="43"/>
      <c r="U19" s="67"/>
      <c r="X19" s="70"/>
    </row>
    <row r="20" spans="1:24" s="20" customFormat="1">
      <c r="A20" s="134" t="s">
        <v>2292</v>
      </c>
      <c r="B20" s="135"/>
      <c r="C20" s="135"/>
      <c r="D20" s="135"/>
      <c r="E20" s="135"/>
      <c r="F20" s="137"/>
      <c r="G20" s="138" t="str">
        <f>_xlfn.IFNA(IF(VLOOKUP($F20,'3.框架内物料'!$A:$E,2,0)=0,"请勿填写",VLOOKUP($F20,'3.框架内物料'!$A:$E,2,0)),"")</f>
        <v/>
      </c>
      <c r="H20" s="139" t="str">
        <f>_xlfn.IFNA(VLOOKUP($F20,'3.框架内物料'!$A:$E,4,0),"")</f>
        <v/>
      </c>
      <c r="I20" s="138" t="str">
        <f>_xlfn.IFNA(VLOOKUP($F20,'3.框架内物料'!$A:$E,5,0),"")</f>
        <v/>
      </c>
      <c r="J20" s="142" t="str">
        <f>_xlfn.IFNA(VLOOKUP($F20,'3.框架内物料'!$A:$F,6,0),"")</f>
        <v/>
      </c>
      <c r="K20" s="142" t="str">
        <f>_xlfn.IFNA(VLOOKUP($F20,'3.框架内物料'!$A:$F,6,0),"")</f>
        <v/>
      </c>
      <c r="L20" s="48"/>
      <c r="M20" s="48"/>
      <c r="N20" s="146"/>
      <c r="O20" s="146"/>
      <c r="P20" s="145">
        <f t="shared" si="3"/>
        <v>0</v>
      </c>
      <c r="Q20" s="145">
        <f t="shared" si="4"/>
        <v>0</v>
      </c>
      <c r="R20" s="150">
        <f t="shared" si="5"/>
        <v>0</v>
      </c>
      <c r="S20" s="151">
        <v>0.06</v>
      </c>
      <c r="T20" s="155"/>
      <c r="U20" s="152">
        <v>25</v>
      </c>
    </row>
    <row r="21" spans="1:24" s="20" customFormat="1">
      <c r="A21" s="134" t="s">
        <v>2292</v>
      </c>
      <c r="B21" s="135"/>
      <c r="C21" s="135"/>
      <c r="D21" s="136"/>
      <c r="E21" s="136"/>
      <c r="F21" s="137"/>
      <c r="G21" s="138" t="str">
        <f>_xlfn.IFNA(IF(VLOOKUP($F21,'3.框架内物料'!$A:$E,2,0)=0,"请勿填写",VLOOKUP($F21,'3.框架内物料'!$A:$E,2,0)),"")</f>
        <v/>
      </c>
      <c r="H21" s="139" t="str">
        <f>_xlfn.IFNA(VLOOKUP($F21,'3.框架内物料'!$A:$E,4,0),"")</f>
        <v/>
      </c>
      <c r="I21" s="138" t="str">
        <f>_xlfn.IFNA(VLOOKUP($F21,'3.框架内物料'!$A:$E,5,0),"")</f>
        <v/>
      </c>
      <c r="J21" s="142" t="str">
        <f>_xlfn.IFNA(VLOOKUP($F21,'3.框架内物料'!$A:$F,6,0),"")</f>
        <v/>
      </c>
      <c r="K21" s="142" t="str">
        <f>_xlfn.IFNA(VLOOKUP($F21,'3.框架内物料'!$A:$F,6,0),"")</f>
        <v/>
      </c>
      <c r="L21" s="48"/>
      <c r="M21" s="48"/>
      <c r="N21" s="48"/>
      <c r="O21" s="48"/>
      <c r="P21" s="145">
        <f t="shared" si="3"/>
        <v>0</v>
      </c>
      <c r="Q21" s="145">
        <f t="shared" si="4"/>
        <v>0</v>
      </c>
      <c r="R21" s="150">
        <f t="shared" si="5"/>
        <v>0</v>
      </c>
      <c r="S21" s="151">
        <v>0.06</v>
      </c>
      <c r="T21" s="155"/>
      <c r="U21" s="152">
        <v>26</v>
      </c>
      <c r="X21" s="70"/>
    </row>
    <row r="22" spans="1:24" s="20" customFormat="1">
      <c r="A22" s="134" t="s">
        <v>2292</v>
      </c>
      <c r="B22" s="135"/>
      <c r="C22" s="135"/>
      <c r="D22" s="136"/>
      <c r="E22" s="136"/>
      <c r="F22" s="137"/>
      <c r="G22" s="138" t="str">
        <f>_xlfn.IFNA(IF(VLOOKUP($F22,'3.框架内物料'!$A:$E,2,0)=0,"请勿填写",VLOOKUP($F22,'3.框架内物料'!$A:$E,2,0)),"")</f>
        <v/>
      </c>
      <c r="H22" s="139" t="str">
        <f>_xlfn.IFNA(VLOOKUP($F22,'3.框架内物料'!$A:$E,4,0),"")</f>
        <v/>
      </c>
      <c r="I22" s="138" t="str">
        <f>_xlfn.IFNA(VLOOKUP($F22,'3.框架内物料'!$A:$E,5,0),"")</f>
        <v/>
      </c>
      <c r="J22" s="142" t="str">
        <f>_xlfn.IFNA(VLOOKUP($F22,'3.框架内物料'!$A:$F,6,0),"")</f>
        <v/>
      </c>
      <c r="K22" s="142" t="str">
        <f>_xlfn.IFNA(VLOOKUP($F22,'3.框架内物料'!$A:$F,6,0),"")</f>
        <v/>
      </c>
      <c r="L22" s="48"/>
      <c r="M22" s="48"/>
      <c r="N22" s="146"/>
      <c r="O22" s="146"/>
      <c r="P22" s="145">
        <f t="shared" si="3"/>
        <v>0</v>
      </c>
      <c r="Q22" s="145">
        <f t="shared" si="4"/>
        <v>0</v>
      </c>
      <c r="R22" s="150">
        <f t="shared" si="5"/>
        <v>0</v>
      </c>
      <c r="S22" s="151">
        <v>0.06</v>
      </c>
      <c r="T22" s="155"/>
      <c r="U22" s="152">
        <v>28</v>
      </c>
      <c r="X22" s="70"/>
    </row>
    <row r="23" spans="1:24" s="20" customFormat="1">
      <c r="A23" s="134" t="s">
        <v>2292</v>
      </c>
      <c r="B23" s="135"/>
      <c r="C23" s="135"/>
      <c r="D23" s="135"/>
      <c r="E23" s="135"/>
      <c r="F23" s="137"/>
      <c r="G23" s="138" t="str">
        <f>_xlfn.IFNA(IF(VLOOKUP($F23,'3.框架内物料'!$A:$E,2,0)=0,"请勿填写",VLOOKUP($F23,'3.框架内物料'!$A:$E,2,0)),"")</f>
        <v/>
      </c>
      <c r="H23" s="139" t="str">
        <f>_xlfn.IFNA(VLOOKUP($F23,'3.框架内物料'!$A:$E,4,0),"")</f>
        <v/>
      </c>
      <c r="I23" s="138" t="str">
        <f>_xlfn.IFNA(VLOOKUP($F23,'3.框架内物料'!$A:$E,5,0),"")</f>
        <v/>
      </c>
      <c r="J23" s="142" t="str">
        <f>_xlfn.IFNA(VLOOKUP($F23,'3.框架内物料'!$A:$F,6,0),"")</f>
        <v/>
      </c>
      <c r="K23" s="142" t="str">
        <f>_xlfn.IFNA(VLOOKUP($F23,'3.框架内物料'!$A:$F,6,0),"")</f>
        <v/>
      </c>
      <c r="L23" s="48"/>
      <c r="M23" s="48"/>
      <c r="N23" s="146"/>
      <c r="O23" s="146"/>
      <c r="P23" s="145">
        <f t="shared" si="3"/>
        <v>0</v>
      </c>
      <c r="Q23" s="145">
        <f t="shared" si="4"/>
        <v>0</v>
      </c>
      <c r="R23" s="150">
        <f t="shared" si="5"/>
        <v>0</v>
      </c>
      <c r="S23" s="151">
        <v>0.06</v>
      </c>
      <c r="T23" s="155"/>
      <c r="U23" s="152">
        <v>29</v>
      </c>
    </row>
    <row r="24" spans="1:24" s="20" customFormat="1">
      <c r="A24" s="134" t="s">
        <v>2292</v>
      </c>
      <c r="B24" s="135"/>
      <c r="C24" s="135"/>
      <c r="D24" s="135"/>
      <c r="E24" s="135"/>
      <c r="F24" s="137"/>
      <c r="G24" s="138" t="str">
        <f>_xlfn.IFNA(IF(VLOOKUP($F24,'3.框架内物料'!$A:$E,2,0)=0,"请勿填写",VLOOKUP($F24,'3.框架内物料'!$A:$E,2,0)),"")</f>
        <v/>
      </c>
      <c r="H24" s="139" t="str">
        <f>_xlfn.IFNA(VLOOKUP($F24,'3.框架内物料'!$A:$E,4,0),"")</f>
        <v/>
      </c>
      <c r="I24" s="138" t="str">
        <f>_xlfn.IFNA(VLOOKUP($F24,'3.框架内物料'!$A:$E,5,0),"")</f>
        <v/>
      </c>
      <c r="J24" s="142" t="str">
        <f>_xlfn.IFNA(VLOOKUP($F24,'3.框架内物料'!$A:$F,6,0),"")</f>
        <v/>
      </c>
      <c r="K24" s="142" t="str">
        <f>_xlfn.IFNA(VLOOKUP($F24,'3.框架内物料'!$A:$F,6,0),"")</f>
        <v/>
      </c>
      <c r="L24" s="48"/>
      <c r="M24" s="48"/>
      <c r="N24" s="146"/>
      <c r="O24" s="146"/>
      <c r="P24" s="145">
        <f t="shared" si="3"/>
        <v>0</v>
      </c>
      <c r="Q24" s="145">
        <f t="shared" si="4"/>
        <v>0</v>
      </c>
      <c r="R24" s="150">
        <f t="shared" si="5"/>
        <v>0</v>
      </c>
      <c r="S24" s="151">
        <v>0.06</v>
      </c>
      <c r="T24" s="155"/>
      <c r="U24" s="152">
        <v>31</v>
      </c>
    </row>
    <row r="25" spans="1:24" s="18" customFormat="1">
      <c r="A25" s="134" t="s">
        <v>2292</v>
      </c>
      <c r="B25" s="135"/>
      <c r="C25" s="135"/>
      <c r="D25" s="136"/>
      <c r="E25" s="136"/>
      <c r="F25" s="137"/>
      <c r="G25" s="138" t="str">
        <f>_xlfn.IFNA(IF(VLOOKUP($F25,'3.框架内物料'!$A:$E,2,0)=0,"请勿填写",VLOOKUP($F25,'3.框架内物料'!$A:$E,2,0)),"")</f>
        <v/>
      </c>
      <c r="H25" s="139" t="str">
        <f>_xlfn.IFNA(VLOOKUP($F25,'3.框架内物料'!$A:$E,4,0),"")</f>
        <v/>
      </c>
      <c r="I25" s="138" t="str">
        <f>_xlfn.IFNA(VLOOKUP($F25,'3.框架内物料'!$A:$E,5,0),"")</f>
        <v/>
      </c>
      <c r="J25" s="142" t="str">
        <f>_xlfn.IFNA(VLOOKUP($F25,'3.框架内物料'!$A:$F,6,0),"")</f>
        <v/>
      </c>
      <c r="K25" s="142" t="str">
        <f>_xlfn.IFNA(VLOOKUP($F25,'3.框架内物料'!$A:$F,6,0),"")</f>
        <v/>
      </c>
      <c r="L25" s="48"/>
      <c r="M25" s="48"/>
      <c r="N25" s="146"/>
      <c r="O25" s="146"/>
      <c r="P25" s="145">
        <f t="shared" si="3"/>
        <v>0</v>
      </c>
      <c r="Q25" s="145">
        <f t="shared" si="4"/>
        <v>0</v>
      </c>
      <c r="R25" s="150">
        <f t="shared" si="5"/>
        <v>0</v>
      </c>
      <c r="S25" s="151">
        <v>0.06</v>
      </c>
      <c r="T25" s="152"/>
      <c r="U25" s="152">
        <v>32</v>
      </c>
    </row>
    <row r="26" spans="1:24" s="18" customFormat="1">
      <c r="A26" s="134" t="s">
        <v>2292</v>
      </c>
      <c r="B26" s="135"/>
      <c r="C26" s="135"/>
      <c r="D26" s="136"/>
      <c r="E26" s="136"/>
      <c r="F26" s="137"/>
      <c r="G26" s="138" t="str">
        <f>_xlfn.IFNA(IF(VLOOKUP($F26,'3.框架内物料'!$A:$E,2,0)=0,"请勿填写",VLOOKUP($F26,'3.框架内物料'!$A:$E,2,0)),"")</f>
        <v/>
      </c>
      <c r="H26" s="139" t="str">
        <f>_xlfn.IFNA(VLOOKUP($F26,'3.框架内物料'!$A:$E,4,0),"")</f>
        <v/>
      </c>
      <c r="I26" s="138" t="str">
        <f>_xlfn.IFNA(VLOOKUP($F26,'3.框架内物料'!$A:$E,5,0),"")</f>
        <v/>
      </c>
      <c r="J26" s="142" t="str">
        <f>_xlfn.IFNA(VLOOKUP($F26,'3.框架内物料'!$A:$F,6,0),"")</f>
        <v/>
      </c>
      <c r="K26" s="142" t="str">
        <f>_xlfn.IFNA(VLOOKUP($F26,'3.框架内物料'!$A:$F,6,0),"")</f>
        <v/>
      </c>
      <c r="L26" s="48"/>
      <c r="M26" s="48"/>
      <c r="N26" s="146"/>
      <c r="O26" s="146"/>
      <c r="P26" s="145">
        <f t="shared" si="3"/>
        <v>0</v>
      </c>
      <c r="Q26" s="145">
        <f t="shared" si="4"/>
        <v>0</v>
      </c>
      <c r="R26" s="150">
        <f t="shared" si="5"/>
        <v>0</v>
      </c>
      <c r="S26" s="151">
        <v>0.06</v>
      </c>
      <c r="T26" s="152"/>
      <c r="U26" s="152">
        <v>34</v>
      </c>
    </row>
    <row r="27" spans="1:24" s="18" customFormat="1" ht="17.399999999999999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11" t="s">
        <v>2293</v>
      </c>
      <c r="Q27" s="212"/>
      <c r="R27" s="213"/>
      <c r="S27" s="66"/>
      <c r="T27" s="66"/>
      <c r="U27" s="66"/>
    </row>
    <row r="28" spans="1:24" s="18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47">
        <f>SUM(P20:P26)</f>
        <v>0</v>
      </c>
      <c r="Q28" s="147">
        <f>SUM(Q20:Q26)</f>
        <v>0</v>
      </c>
      <c r="R28" s="147">
        <f>Q28-P28</f>
        <v>0</v>
      </c>
      <c r="S28" s="35"/>
      <c r="T28" s="43"/>
      <c r="U28" s="67"/>
    </row>
    <row r="29" spans="1:24" s="20" customFormat="1">
      <c r="A29" s="134" t="s">
        <v>2294</v>
      </c>
      <c r="B29" s="135" t="s">
        <v>2295</v>
      </c>
      <c r="C29" s="135" t="s">
        <v>2296</v>
      </c>
      <c r="D29" s="135"/>
      <c r="E29" s="135"/>
      <c r="F29" s="137"/>
      <c r="G29" s="138" t="str">
        <f>_xlfn.IFNA(IF(VLOOKUP($F29,'3.框架内物料'!$A:$E,2,0)=0,"请勿填写",VLOOKUP($F29,'3.框架内物料'!$A:$E,2,0)),"")</f>
        <v/>
      </c>
      <c r="H29" s="139" t="str">
        <f>_xlfn.IFNA(VLOOKUP($F29,'3.框架内物料'!$A:$E,4,0),"")</f>
        <v/>
      </c>
      <c r="I29" s="138" t="str">
        <f>_xlfn.IFNA(VLOOKUP($F29,'3.框架内物料'!$A:$E,5,0),"")</f>
        <v/>
      </c>
      <c r="J29" s="142" t="str">
        <f>_xlfn.IFNA(VLOOKUP($F29,'3.框架内物料'!$A:$F,6,0),"")</f>
        <v/>
      </c>
      <c r="K29" s="142" t="str">
        <f>_xlfn.IFNA(VLOOKUP($F29,'3.框架内物料'!$A:$F,6,0),"")</f>
        <v/>
      </c>
      <c r="L29" s="48"/>
      <c r="M29" s="48"/>
      <c r="N29" s="146"/>
      <c r="O29" s="146"/>
      <c r="P29" s="145">
        <f t="shared" si="3"/>
        <v>0</v>
      </c>
      <c r="Q29" s="145">
        <f t="shared" si="4"/>
        <v>0</v>
      </c>
      <c r="R29" s="150">
        <f t="shared" si="5"/>
        <v>0</v>
      </c>
      <c r="S29" s="151">
        <v>0.06</v>
      </c>
      <c r="T29" s="155"/>
      <c r="U29" s="152">
        <v>37</v>
      </c>
    </row>
    <row r="30" spans="1:24" s="20" customFormat="1">
      <c r="A30" s="134" t="s">
        <v>2294</v>
      </c>
      <c r="B30" s="135" t="s">
        <v>2295</v>
      </c>
      <c r="C30" s="135" t="s">
        <v>2297</v>
      </c>
      <c r="D30" s="136"/>
      <c r="E30" s="136"/>
      <c r="F30" s="137"/>
      <c r="G30" s="138" t="str">
        <f>_xlfn.IFNA(IF(VLOOKUP($F30,'3.框架内物料'!$A:$E,2,0)=0,"请勿填写",VLOOKUP($F30,'3.框架内物料'!$A:$E,2,0)),"")</f>
        <v/>
      </c>
      <c r="H30" s="139" t="str">
        <f>_xlfn.IFNA(VLOOKUP($F30,'3.框架内物料'!$A:$E,4,0),"")</f>
        <v/>
      </c>
      <c r="I30" s="138" t="str">
        <f>_xlfn.IFNA(VLOOKUP($F30,'3.框架内物料'!$A:$E,5,0),"")</f>
        <v/>
      </c>
      <c r="J30" s="142" t="str">
        <f>_xlfn.IFNA(VLOOKUP($F30,'3.框架内物料'!$A:$F,6,0),"")</f>
        <v/>
      </c>
      <c r="K30" s="142" t="str">
        <f>_xlfn.IFNA(VLOOKUP($F30,'3.框架内物料'!$A:$F,6,0),"")</f>
        <v/>
      </c>
      <c r="L30" s="48"/>
      <c r="M30" s="48"/>
      <c r="N30" s="48"/>
      <c r="O30" s="48"/>
      <c r="P30" s="145">
        <f t="shared" si="3"/>
        <v>0</v>
      </c>
      <c r="Q30" s="145">
        <f t="shared" si="4"/>
        <v>0</v>
      </c>
      <c r="R30" s="150">
        <f t="shared" si="5"/>
        <v>0</v>
      </c>
      <c r="S30" s="151">
        <v>0.06</v>
      </c>
      <c r="T30" s="155"/>
      <c r="U30" s="152">
        <v>38</v>
      </c>
      <c r="X30" s="70"/>
    </row>
    <row r="31" spans="1:24" s="20" customFormat="1">
      <c r="A31" s="134" t="s">
        <v>2294</v>
      </c>
      <c r="B31" s="135" t="s">
        <v>2298</v>
      </c>
      <c r="C31" s="135" t="s">
        <v>2299</v>
      </c>
      <c r="D31" s="136"/>
      <c r="E31" s="136"/>
      <c r="F31" s="137"/>
      <c r="G31" s="138" t="str">
        <f>_xlfn.IFNA(IF(VLOOKUP($F31,'3.框架内物料'!$A:$E,2,0)=0,"请勿填写",VLOOKUP($F31,'3.框架内物料'!$A:$E,2,0)),"")</f>
        <v/>
      </c>
      <c r="H31" s="139" t="str">
        <f>_xlfn.IFNA(VLOOKUP($F31,'3.框架内物料'!$A:$E,4,0),"")</f>
        <v/>
      </c>
      <c r="I31" s="138" t="str">
        <f>_xlfn.IFNA(VLOOKUP($F31,'3.框架内物料'!$A:$E,5,0),"")</f>
        <v/>
      </c>
      <c r="J31" s="142" t="str">
        <f>_xlfn.IFNA(VLOOKUP($F31,'3.框架内物料'!$A:$F,6,0),"")</f>
        <v/>
      </c>
      <c r="K31" s="142" t="str">
        <f>_xlfn.IFNA(VLOOKUP($F31,'3.框架内物料'!$A:$F,6,0),"")</f>
        <v/>
      </c>
      <c r="L31" s="48"/>
      <c r="M31" s="48"/>
      <c r="N31" s="146"/>
      <c r="O31" s="146"/>
      <c r="P31" s="145">
        <f t="shared" si="3"/>
        <v>0</v>
      </c>
      <c r="Q31" s="145">
        <f t="shared" si="4"/>
        <v>0</v>
      </c>
      <c r="R31" s="150">
        <f t="shared" si="5"/>
        <v>0</v>
      </c>
      <c r="S31" s="151">
        <v>0.06</v>
      </c>
      <c r="T31" s="155"/>
      <c r="U31" s="152">
        <v>40</v>
      </c>
      <c r="X31" s="70"/>
    </row>
    <row r="32" spans="1:24" s="20" customFormat="1">
      <c r="A32" s="134" t="s">
        <v>2294</v>
      </c>
      <c r="B32" s="135" t="s">
        <v>2300</v>
      </c>
      <c r="C32" s="135" t="s">
        <v>2301</v>
      </c>
      <c r="D32" s="135"/>
      <c r="E32" s="135"/>
      <c r="F32" s="137"/>
      <c r="G32" s="138" t="str">
        <f>_xlfn.IFNA(IF(VLOOKUP($F32,'3.框架内物料'!$A:$E,2,0)=0,"请勿填写",VLOOKUP($F32,'3.框架内物料'!$A:$E,2,0)),"")</f>
        <v/>
      </c>
      <c r="H32" s="139" t="str">
        <f>_xlfn.IFNA(VLOOKUP($F32,'3.框架内物料'!$A:$E,4,0),"")</f>
        <v/>
      </c>
      <c r="I32" s="138" t="str">
        <f>_xlfn.IFNA(VLOOKUP($F32,'3.框架内物料'!$A:$E,5,0),"")</f>
        <v/>
      </c>
      <c r="J32" s="142" t="str">
        <f>_xlfn.IFNA(VLOOKUP($F32,'3.框架内物料'!$A:$F,6,0),"")</f>
        <v/>
      </c>
      <c r="K32" s="142" t="str">
        <f>_xlfn.IFNA(VLOOKUP($F32,'3.框架内物料'!$A:$F,6,0),"")</f>
        <v/>
      </c>
      <c r="L32" s="48"/>
      <c r="M32" s="48"/>
      <c r="N32" s="146"/>
      <c r="O32" s="146"/>
      <c r="P32" s="145">
        <f t="shared" si="3"/>
        <v>0</v>
      </c>
      <c r="Q32" s="145">
        <f t="shared" si="4"/>
        <v>0</v>
      </c>
      <c r="R32" s="150">
        <f t="shared" si="5"/>
        <v>0</v>
      </c>
      <c r="S32" s="151">
        <v>0.06</v>
      </c>
      <c r="T32" s="155"/>
      <c r="U32" s="152">
        <v>41</v>
      </c>
    </row>
    <row r="33" spans="1:24" s="20" customFormat="1">
      <c r="A33" s="134" t="s">
        <v>2294</v>
      </c>
      <c r="B33" s="135" t="s">
        <v>2302</v>
      </c>
      <c r="C33" s="135" t="s">
        <v>2303</v>
      </c>
      <c r="D33" s="135"/>
      <c r="E33" s="135"/>
      <c r="F33" s="137"/>
      <c r="G33" s="138" t="str">
        <f>_xlfn.IFNA(IF(VLOOKUP($F33,'3.框架内物料'!$A:$E,2,0)=0,"请勿填写",VLOOKUP($F33,'3.框架内物料'!$A:$E,2,0)),"")</f>
        <v/>
      </c>
      <c r="H33" s="139" t="str">
        <f>_xlfn.IFNA(VLOOKUP($F33,'3.框架内物料'!$A:$E,4,0),"")</f>
        <v/>
      </c>
      <c r="I33" s="138" t="str">
        <f>_xlfn.IFNA(VLOOKUP($F33,'3.框架内物料'!$A:$E,5,0),"")</f>
        <v/>
      </c>
      <c r="J33" s="142" t="str">
        <f>_xlfn.IFNA(VLOOKUP($F33,'3.框架内物料'!$A:$F,6,0),"")</f>
        <v/>
      </c>
      <c r="K33" s="142" t="str">
        <f>_xlfn.IFNA(VLOOKUP($F33,'3.框架内物料'!$A:$F,6,0),"")</f>
        <v/>
      </c>
      <c r="L33" s="48"/>
      <c r="M33" s="48"/>
      <c r="N33" s="146"/>
      <c r="O33" s="146"/>
      <c r="P33" s="145">
        <f t="shared" si="3"/>
        <v>0</v>
      </c>
      <c r="Q33" s="145">
        <f t="shared" si="4"/>
        <v>0</v>
      </c>
      <c r="R33" s="150">
        <f t="shared" si="5"/>
        <v>0</v>
      </c>
      <c r="S33" s="151">
        <v>0.06</v>
      </c>
      <c r="T33" s="155"/>
      <c r="U33" s="152">
        <v>43</v>
      </c>
    </row>
    <row r="34" spans="1:24" s="20" customFormat="1">
      <c r="A34" s="134" t="s">
        <v>2294</v>
      </c>
      <c r="B34" s="135"/>
      <c r="C34" s="135"/>
      <c r="D34" s="136"/>
      <c r="E34" s="136"/>
      <c r="F34" s="137"/>
      <c r="G34" s="138" t="str">
        <f>_xlfn.IFNA(IF(VLOOKUP($F34,'3.框架内物料'!$A:$E,2,0)=0,"请勿填写",VLOOKUP($F34,'3.框架内物料'!$A:$E,2,0)),"")</f>
        <v/>
      </c>
      <c r="H34" s="139" t="str">
        <f>_xlfn.IFNA(VLOOKUP($F34,'3.框架内物料'!$A:$E,4,0),"")</f>
        <v/>
      </c>
      <c r="I34" s="138" t="str">
        <f>_xlfn.IFNA(VLOOKUP($F34,'3.框架内物料'!$A:$E,5,0),"")</f>
        <v/>
      </c>
      <c r="J34" s="142" t="str">
        <f>_xlfn.IFNA(VLOOKUP($F34,'3.框架内物料'!$A:$F,6,0),"")</f>
        <v/>
      </c>
      <c r="K34" s="142" t="str">
        <f>_xlfn.IFNA(VLOOKUP($F34,'3.框架内物料'!$A:$F,6,0),"")</f>
        <v/>
      </c>
      <c r="L34" s="48"/>
      <c r="M34" s="48"/>
      <c r="N34" s="146"/>
      <c r="O34" s="146"/>
      <c r="P34" s="145">
        <f t="shared" si="3"/>
        <v>0</v>
      </c>
      <c r="Q34" s="145">
        <f t="shared" si="4"/>
        <v>0</v>
      </c>
      <c r="R34" s="150">
        <f t="shared" si="5"/>
        <v>0</v>
      </c>
      <c r="S34" s="151">
        <v>0.06</v>
      </c>
      <c r="T34" s="155"/>
      <c r="U34" s="152">
        <v>44</v>
      </c>
      <c r="X34" s="70"/>
    </row>
    <row r="35" spans="1:24" s="20" customFormat="1">
      <c r="A35" s="134" t="s">
        <v>2294</v>
      </c>
      <c r="B35" s="135"/>
      <c r="C35" s="135"/>
      <c r="D35" s="136"/>
      <c r="E35" s="136"/>
      <c r="F35" s="137"/>
      <c r="G35" s="138" t="str">
        <f>_xlfn.IFNA(IF(VLOOKUP($F35,'3.框架内物料'!$A:$E,2,0)=0,"请勿填写",VLOOKUP($F35,'3.框架内物料'!$A:$E,2,0)),"")</f>
        <v/>
      </c>
      <c r="H35" s="139" t="str">
        <f>_xlfn.IFNA(VLOOKUP($F35,'3.框架内物料'!$A:$E,4,0),"")</f>
        <v/>
      </c>
      <c r="I35" s="138" t="str">
        <f>_xlfn.IFNA(VLOOKUP($F35,'3.框架内物料'!$A:$E,5,0),"")</f>
        <v/>
      </c>
      <c r="J35" s="142" t="str">
        <f>_xlfn.IFNA(VLOOKUP($F35,'3.框架内物料'!$A:$F,6,0),"")</f>
        <v/>
      </c>
      <c r="K35" s="142" t="str">
        <f>_xlfn.IFNA(VLOOKUP($F35,'3.框架内物料'!$A:$F,6,0),"")</f>
        <v/>
      </c>
      <c r="L35" s="48"/>
      <c r="M35" s="48"/>
      <c r="N35" s="146"/>
      <c r="O35" s="146"/>
      <c r="P35" s="145">
        <f t="shared" si="3"/>
        <v>0</v>
      </c>
      <c r="Q35" s="145">
        <f t="shared" si="4"/>
        <v>0</v>
      </c>
      <c r="R35" s="150">
        <f t="shared" si="5"/>
        <v>0</v>
      </c>
      <c r="S35" s="151">
        <v>0.06</v>
      </c>
      <c r="T35" s="155"/>
      <c r="U35" s="152">
        <v>46</v>
      </c>
      <c r="X35" s="70"/>
    </row>
    <row r="36" spans="1:24" s="20" customFormat="1" ht="17.399999999999999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11" t="s">
        <v>2304</v>
      </c>
      <c r="Q36" s="212"/>
      <c r="R36" s="213"/>
      <c r="S36" s="66"/>
      <c r="T36" s="66"/>
      <c r="U36" s="66"/>
      <c r="X36" s="70"/>
    </row>
    <row r="37" spans="1:24" s="20" customFormat="1" ht="17.399999999999999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47">
        <f>SUM(P29:P35)</f>
        <v>0</v>
      </c>
      <c r="Q37" s="147">
        <f>SUM(Q29:Q35)</f>
        <v>0</v>
      </c>
      <c r="R37" s="147">
        <f>Q37-P37</f>
        <v>0</v>
      </c>
      <c r="S37" s="35"/>
      <c r="T37" s="43"/>
      <c r="U37" s="67"/>
      <c r="X37" s="70"/>
    </row>
    <row r="38" spans="1:24" s="20" customFormat="1">
      <c r="A38" s="134" t="s">
        <v>2305</v>
      </c>
      <c r="B38" s="135" t="s">
        <v>2306</v>
      </c>
      <c r="C38" s="135"/>
      <c r="D38" s="135"/>
      <c r="E38" s="135"/>
      <c r="F38" s="137"/>
      <c r="G38" s="138" t="str">
        <f>_xlfn.IFNA(IF(VLOOKUP($F38,'3.框架内物料'!$A:$E,2,0)=0,"请勿填写",VLOOKUP($F38,'3.框架内物料'!$A:$E,2,0)),"")</f>
        <v/>
      </c>
      <c r="H38" s="139" t="str">
        <f>_xlfn.IFNA(VLOOKUP($F38,'3.框架内物料'!$A:$E,4,0),"")</f>
        <v/>
      </c>
      <c r="I38" s="138" t="str">
        <f>_xlfn.IFNA(VLOOKUP($F38,'3.框架内物料'!$A:$E,5,0),"")</f>
        <v/>
      </c>
      <c r="J38" s="142" t="str">
        <f>_xlfn.IFNA(VLOOKUP($F38,'3.框架内物料'!$A:$F,6,0),"")</f>
        <v/>
      </c>
      <c r="K38" s="142" t="str">
        <f>_xlfn.IFNA(VLOOKUP($F38,'3.框架内物料'!$A:$F,6,0),"")</f>
        <v/>
      </c>
      <c r="L38" s="48"/>
      <c r="M38" s="48"/>
      <c r="N38" s="146"/>
      <c r="O38" s="146"/>
      <c r="P38" s="145">
        <f t="shared" si="3"/>
        <v>0</v>
      </c>
      <c r="Q38" s="145">
        <f t="shared" si="4"/>
        <v>0</v>
      </c>
      <c r="R38" s="150">
        <f t="shared" si="5"/>
        <v>0</v>
      </c>
      <c r="S38" s="151">
        <v>0.06</v>
      </c>
      <c r="T38" s="155"/>
      <c r="U38" s="152">
        <v>49</v>
      </c>
    </row>
    <row r="39" spans="1:24" s="20" customFormat="1">
      <c r="A39" s="134" t="s">
        <v>2305</v>
      </c>
      <c r="B39" s="135" t="s">
        <v>2307</v>
      </c>
      <c r="C39" s="135"/>
      <c r="D39" s="135"/>
      <c r="E39" s="135"/>
      <c r="F39" s="137"/>
      <c r="G39" s="138" t="str">
        <f>_xlfn.IFNA(IF(VLOOKUP($F39,'3.框架内物料'!$A:$E,2,0)=0,"请勿填写",VLOOKUP($F39,'3.框架内物料'!$A:$E,2,0)),"")</f>
        <v/>
      </c>
      <c r="H39" s="139" t="str">
        <f>_xlfn.IFNA(VLOOKUP($F39,'3.框架内物料'!$A:$E,4,0),"")</f>
        <v/>
      </c>
      <c r="I39" s="138" t="str">
        <f>_xlfn.IFNA(VLOOKUP($F39,'3.框架内物料'!$A:$E,5,0),"")</f>
        <v/>
      </c>
      <c r="J39" s="142" t="str">
        <f>_xlfn.IFNA(VLOOKUP($F39,'3.框架内物料'!$A:$F,6,0),"")</f>
        <v/>
      </c>
      <c r="K39" s="142" t="str">
        <f>_xlfn.IFNA(VLOOKUP($F39,'3.框架内物料'!$A:$F,6,0),"")</f>
        <v/>
      </c>
      <c r="L39" s="48"/>
      <c r="M39" s="48"/>
      <c r="N39" s="146"/>
      <c r="O39" s="146"/>
      <c r="P39" s="145">
        <f t="shared" si="3"/>
        <v>0</v>
      </c>
      <c r="Q39" s="145">
        <f t="shared" si="4"/>
        <v>0</v>
      </c>
      <c r="R39" s="150">
        <f t="shared" si="5"/>
        <v>0</v>
      </c>
      <c r="S39" s="151">
        <v>0.06</v>
      </c>
      <c r="T39" s="155"/>
      <c r="U39" s="152">
        <v>50</v>
      </c>
      <c r="X39" s="70"/>
    </row>
    <row r="40" spans="1:24" s="18" customFormat="1">
      <c r="A40" s="134" t="s">
        <v>2305</v>
      </c>
      <c r="B40" s="152" t="s">
        <v>2308</v>
      </c>
      <c r="C40" s="135"/>
      <c r="D40" s="135"/>
      <c r="E40" s="135"/>
      <c r="F40" s="137"/>
      <c r="G40" s="138" t="str">
        <f>_xlfn.IFNA(IF(VLOOKUP($F40,'3.框架内物料'!$A:$E,2,0)=0,"请勿填写",VLOOKUP($F40,'3.框架内物料'!$A:$E,2,0)),"")</f>
        <v/>
      </c>
      <c r="H40" s="139" t="str">
        <f>_xlfn.IFNA(VLOOKUP($F40,'3.框架内物料'!$A:$E,4,0),"")</f>
        <v/>
      </c>
      <c r="I40" s="138" t="str">
        <f>_xlfn.IFNA(VLOOKUP($F40,'3.框架内物料'!$A:$E,5,0),"")</f>
        <v/>
      </c>
      <c r="J40" s="142" t="str">
        <f>_xlfn.IFNA(VLOOKUP($F40,'3.框架内物料'!$A:$F,6,0),"")</f>
        <v/>
      </c>
      <c r="K40" s="142" t="str">
        <f>_xlfn.IFNA(VLOOKUP($F40,'3.框架内物料'!$A:$F,6,0),"")</f>
        <v/>
      </c>
      <c r="L40" s="48"/>
      <c r="M40" s="48"/>
      <c r="N40" s="146"/>
      <c r="O40" s="146"/>
      <c r="P40" s="145">
        <f t="shared" si="3"/>
        <v>0</v>
      </c>
      <c r="Q40" s="145">
        <f t="shared" si="4"/>
        <v>0</v>
      </c>
      <c r="R40" s="150">
        <f t="shared" si="5"/>
        <v>0</v>
      </c>
      <c r="S40" s="151">
        <v>0.06</v>
      </c>
      <c r="T40" s="152"/>
      <c r="U40" s="152">
        <v>52</v>
      </c>
    </row>
    <row r="41" spans="1:24" s="18" customFormat="1">
      <c r="A41" s="134" t="s">
        <v>2305</v>
      </c>
      <c r="B41" s="135" t="s">
        <v>2309</v>
      </c>
      <c r="C41" s="135"/>
      <c r="D41" s="135"/>
      <c r="E41" s="135"/>
      <c r="F41" s="137"/>
      <c r="G41" s="138" t="str">
        <f>_xlfn.IFNA(IF(VLOOKUP($F41,'3.框架内物料'!$A:$E,2,0)=0,"请勿填写",VLOOKUP($F41,'3.框架内物料'!$A:$E,2,0)),"")</f>
        <v/>
      </c>
      <c r="H41" s="139" t="str">
        <f>_xlfn.IFNA(VLOOKUP($F41,'3.框架内物料'!$A:$E,4,0),"")</f>
        <v/>
      </c>
      <c r="I41" s="138" t="str">
        <f>_xlfn.IFNA(VLOOKUP($F41,'3.框架内物料'!$A:$E,5,0),"")</f>
        <v/>
      </c>
      <c r="J41" s="142" t="str">
        <f>_xlfn.IFNA(VLOOKUP($F41,'3.框架内物料'!$A:$F,6,0),"")</f>
        <v/>
      </c>
      <c r="K41" s="142" t="str">
        <f>_xlfn.IFNA(VLOOKUP($F41,'3.框架内物料'!$A:$F,6,0),"")</f>
        <v/>
      </c>
      <c r="L41" s="48"/>
      <c r="M41" s="48"/>
      <c r="N41" s="48"/>
      <c r="O41" s="48"/>
      <c r="P41" s="145">
        <f t="shared" si="3"/>
        <v>0</v>
      </c>
      <c r="Q41" s="145">
        <f t="shared" si="4"/>
        <v>0</v>
      </c>
      <c r="R41" s="150">
        <f t="shared" si="5"/>
        <v>0</v>
      </c>
      <c r="S41" s="151">
        <v>0.06</v>
      </c>
      <c r="T41" s="152"/>
      <c r="U41" s="152">
        <v>53</v>
      </c>
    </row>
    <row r="42" spans="1:24" s="18" customFormat="1">
      <c r="A42" s="134" t="s">
        <v>2305</v>
      </c>
      <c r="B42" s="135"/>
      <c r="C42" s="135"/>
      <c r="D42" s="135"/>
      <c r="E42" s="135"/>
      <c r="F42" s="137"/>
      <c r="G42" s="138" t="str">
        <f>_xlfn.IFNA(IF(VLOOKUP($F42,'3.框架内物料'!$A:$E,2,0)=0,"请勿填写",VLOOKUP($F42,'3.框架内物料'!$A:$E,2,0)),"")</f>
        <v/>
      </c>
      <c r="H42" s="139" t="str">
        <f>_xlfn.IFNA(VLOOKUP($F42,'3.框架内物料'!$A:$E,4,0),"")</f>
        <v/>
      </c>
      <c r="I42" s="138" t="str">
        <f>_xlfn.IFNA(VLOOKUP($F42,'3.框架内物料'!$A:$E,5,0),"")</f>
        <v/>
      </c>
      <c r="J42" s="142" t="str">
        <f>_xlfn.IFNA(VLOOKUP($F42,'3.框架内物料'!$A:$F,6,0),"")</f>
        <v/>
      </c>
      <c r="K42" s="142" t="str">
        <f>_xlfn.IFNA(VLOOKUP($F42,'3.框架内物料'!$A:$F,6,0),"")</f>
        <v/>
      </c>
      <c r="L42" s="48"/>
      <c r="M42" s="48"/>
      <c r="N42" s="146"/>
      <c r="O42" s="146"/>
      <c r="P42" s="145">
        <f t="shared" si="3"/>
        <v>0</v>
      </c>
      <c r="Q42" s="145">
        <f t="shared" si="4"/>
        <v>0</v>
      </c>
      <c r="R42" s="150">
        <f t="shared" si="5"/>
        <v>0</v>
      </c>
      <c r="S42" s="151">
        <v>0.06</v>
      </c>
      <c r="T42" s="152"/>
      <c r="U42" s="152">
        <v>55</v>
      </c>
    </row>
    <row r="43" spans="1:24" s="20" customFormat="1">
      <c r="A43" s="134" t="s">
        <v>2305</v>
      </c>
      <c r="B43" s="135"/>
      <c r="C43" s="135"/>
      <c r="D43" s="135"/>
      <c r="E43" s="135"/>
      <c r="F43" s="137"/>
      <c r="G43" s="138" t="str">
        <f>_xlfn.IFNA(IF(VLOOKUP($F43,'3.框架内物料'!$A:$E,2,0)=0,"请勿填写",VLOOKUP($F43,'3.框架内物料'!$A:$E,2,0)),"")</f>
        <v/>
      </c>
      <c r="H43" s="139" t="str">
        <f>_xlfn.IFNA(VLOOKUP($F43,'3.框架内物料'!$A:$E,4,0),"")</f>
        <v/>
      </c>
      <c r="I43" s="138" t="str">
        <f>_xlfn.IFNA(VLOOKUP($F43,'3.框架内物料'!$A:$E,5,0),"")</f>
        <v/>
      </c>
      <c r="J43" s="142" t="str">
        <f>_xlfn.IFNA(VLOOKUP($F43,'3.框架内物料'!$A:$F,6,0),"")</f>
        <v/>
      </c>
      <c r="K43" s="142" t="str">
        <f>_xlfn.IFNA(VLOOKUP($F43,'3.框架内物料'!$A:$F,6,0),"")</f>
        <v/>
      </c>
      <c r="L43" s="48"/>
      <c r="M43" s="48"/>
      <c r="N43" s="146"/>
      <c r="O43" s="146"/>
      <c r="P43" s="145">
        <f t="shared" si="3"/>
        <v>0</v>
      </c>
      <c r="Q43" s="145">
        <f t="shared" si="4"/>
        <v>0</v>
      </c>
      <c r="R43" s="150">
        <f t="shared" si="5"/>
        <v>0</v>
      </c>
      <c r="S43" s="151">
        <v>0.06</v>
      </c>
      <c r="T43" s="155"/>
      <c r="U43" s="152">
        <v>56</v>
      </c>
    </row>
    <row r="44" spans="1:24" s="20" customFormat="1">
      <c r="A44" s="134" t="s">
        <v>2305</v>
      </c>
      <c r="B44" s="135"/>
      <c r="C44" s="135"/>
      <c r="D44" s="135"/>
      <c r="E44" s="135"/>
      <c r="F44" s="137"/>
      <c r="G44" s="138" t="str">
        <f>_xlfn.IFNA(IF(VLOOKUP($F44,'3.框架内物料'!$A:$E,2,0)=0,"请勿填写",VLOOKUP($F44,'3.框架内物料'!$A:$E,2,0)),"")</f>
        <v/>
      </c>
      <c r="H44" s="139" t="str">
        <f>_xlfn.IFNA(VLOOKUP($F44,'3.框架内物料'!$A:$E,4,0),"")</f>
        <v/>
      </c>
      <c r="I44" s="138" t="str">
        <f>_xlfn.IFNA(VLOOKUP($F44,'3.框架内物料'!$A:$E,5,0),"")</f>
        <v/>
      </c>
      <c r="J44" s="142" t="str">
        <f>_xlfn.IFNA(VLOOKUP($F44,'3.框架内物料'!$A:$F,6,0),"")</f>
        <v/>
      </c>
      <c r="K44" s="142" t="str">
        <f>_xlfn.IFNA(VLOOKUP($F44,'3.框架内物料'!$A:$F,6,0),"")</f>
        <v/>
      </c>
      <c r="L44" s="48"/>
      <c r="M44" s="48"/>
      <c r="N44" s="146"/>
      <c r="O44" s="146"/>
      <c r="P44" s="145">
        <f t="shared" si="3"/>
        <v>0</v>
      </c>
      <c r="Q44" s="145">
        <f t="shared" si="4"/>
        <v>0</v>
      </c>
      <c r="R44" s="150">
        <f t="shared" si="5"/>
        <v>0</v>
      </c>
      <c r="S44" s="151">
        <v>0.06</v>
      </c>
      <c r="T44" s="155"/>
      <c r="U44" s="152">
        <v>58</v>
      </c>
    </row>
    <row r="45" spans="1:24" s="20" customFormat="1" ht="17.399999999999999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11" t="s">
        <v>2310</v>
      </c>
      <c r="Q45" s="212"/>
      <c r="R45" s="213"/>
      <c r="S45" s="66"/>
      <c r="T45" s="66"/>
      <c r="U45" s="66"/>
    </row>
    <row r="46" spans="1:24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47">
        <f>SUM(P38:P44)</f>
        <v>0</v>
      </c>
      <c r="Q46" s="147">
        <f>SUM(Q38:Q44)</f>
        <v>0</v>
      </c>
      <c r="R46" s="147">
        <f>Q46-P46</f>
        <v>0</v>
      </c>
      <c r="S46" s="35"/>
      <c r="T46" s="43"/>
      <c r="U46" s="67"/>
    </row>
    <row r="47" spans="1:24" s="18" customFormat="1">
      <c r="A47" s="134" t="s">
        <v>2305</v>
      </c>
      <c r="B47" s="152" t="s">
        <v>2308</v>
      </c>
      <c r="C47" s="135"/>
      <c r="D47" s="135"/>
      <c r="E47" s="135"/>
      <c r="F47" s="137"/>
      <c r="G47" s="138" t="str">
        <f>_xlfn.IFNA(IF(VLOOKUP($F47,'3.框架内物料'!$A:$E,2,0)=0,"请勿填写",VLOOKUP($F47,'3.框架内物料'!$A:$E,2,0)),"")</f>
        <v/>
      </c>
      <c r="H47" s="139" t="str">
        <f>_xlfn.IFNA(VLOOKUP($F47,'3.框架内物料'!$A:$E,4,0),"")</f>
        <v/>
      </c>
      <c r="I47" s="138" t="str">
        <f>_xlfn.IFNA(VLOOKUP($F47,'3.框架内物料'!$A:$E,5,0),"")</f>
        <v/>
      </c>
      <c r="J47" s="142" t="str">
        <f>_xlfn.IFNA(VLOOKUP($F47,'3.框架内物料'!$A:$F,6,0),"")</f>
        <v/>
      </c>
      <c r="K47" s="142" t="str">
        <f>_xlfn.IFNA(VLOOKUP($F47,'3.框架内物料'!$A:$F,6,0),"")</f>
        <v/>
      </c>
      <c r="L47" s="48"/>
      <c r="M47" s="48"/>
      <c r="N47" s="146"/>
      <c r="O47" s="146"/>
      <c r="P47" s="145">
        <f t="shared" ref="P47:P50" si="6">IFERROR(N47*L47*J47,0)</f>
        <v>0</v>
      </c>
      <c r="Q47" s="145">
        <f t="shared" ref="Q47:Q50" si="7">IFERROR(K47*M47*O47,0)</f>
        <v>0</v>
      </c>
      <c r="R47" s="150">
        <f t="shared" ref="R47:R50" si="8">Q47-P47</f>
        <v>0</v>
      </c>
      <c r="S47" s="151">
        <v>0.06</v>
      </c>
      <c r="T47" s="152"/>
      <c r="U47" s="152">
        <v>52</v>
      </c>
    </row>
    <row r="48" spans="1:24" s="18" customFormat="1">
      <c r="A48" s="134" t="s">
        <v>2305</v>
      </c>
      <c r="B48" s="135" t="s">
        <v>2309</v>
      </c>
      <c r="C48" s="135"/>
      <c r="D48" s="135"/>
      <c r="E48" s="135"/>
      <c r="F48" s="137"/>
      <c r="G48" s="138" t="str">
        <f>_xlfn.IFNA(IF(VLOOKUP($F48,'3.框架内物料'!$A:$E,2,0)=0,"请勿填写",VLOOKUP($F48,'3.框架内物料'!$A:$E,2,0)),"")</f>
        <v/>
      </c>
      <c r="H48" s="139" t="str">
        <f>_xlfn.IFNA(VLOOKUP($F48,'3.框架内物料'!$A:$E,4,0),"")</f>
        <v/>
      </c>
      <c r="I48" s="138" t="str">
        <f>_xlfn.IFNA(VLOOKUP($F48,'3.框架内物料'!$A:$E,5,0),"")</f>
        <v/>
      </c>
      <c r="J48" s="142" t="str">
        <f>_xlfn.IFNA(VLOOKUP($F48,'3.框架内物料'!$A:$F,6,0),"")</f>
        <v/>
      </c>
      <c r="K48" s="142" t="str">
        <f>_xlfn.IFNA(VLOOKUP($F48,'3.框架内物料'!$A:$F,6,0),"")</f>
        <v/>
      </c>
      <c r="L48" s="48"/>
      <c r="M48" s="48"/>
      <c r="N48" s="146"/>
      <c r="O48" s="146"/>
      <c r="P48" s="145">
        <f t="shared" si="6"/>
        <v>0</v>
      </c>
      <c r="Q48" s="145">
        <f t="shared" si="7"/>
        <v>0</v>
      </c>
      <c r="R48" s="150">
        <f t="shared" si="8"/>
        <v>0</v>
      </c>
      <c r="S48" s="151">
        <v>0.06</v>
      </c>
      <c r="T48" s="152"/>
      <c r="U48" s="152">
        <v>53</v>
      </c>
    </row>
    <row r="49" spans="1:24" s="18" customFormat="1">
      <c r="A49" s="134" t="s">
        <v>2305</v>
      </c>
      <c r="B49" s="135"/>
      <c r="C49" s="135"/>
      <c r="D49" s="135"/>
      <c r="E49" s="135"/>
      <c r="F49" s="137"/>
      <c r="G49" s="138" t="str">
        <f>_xlfn.IFNA(IF(VLOOKUP($F49,'3.框架内物料'!$A:$E,2,0)=0,"请勿填写",VLOOKUP($F49,'3.框架内物料'!$A:$E,2,0)),"")</f>
        <v/>
      </c>
      <c r="H49" s="139" t="str">
        <f>_xlfn.IFNA(VLOOKUP($F49,'3.框架内物料'!$A:$E,4,0),"")</f>
        <v/>
      </c>
      <c r="I49" s="138" t="str">
        <f>_xlfn.IFNA(VLOOKUP($F49,'3.框架内物料'!$A:$E,5,0),"")</f>
        <v/>
      </c>
      <c r="J49" s="142" t="str">
        <f>_xlfn.IFNA(VLOOKUP($F49,'3.框架内物料'!$A:$F,6,0),"")</f>
        <v/>
      </c>
      <c r="K49" s="142" t="str">
        <f>_xlfn.IFNA(VLOOKUP($F49,'3.框架内物料'!$A:$F,6,0),"")</f>
        <v/>
      </c>
      <c r="L49" s="48"/>
      <c r="M49" s="48"/>
      <c r="N49" s="48"/>
      <c r="O49" s="48"/>
      <c r="P49" s="145">
        <f t="shared" si="6"/>
        <v>0</v>
      </c>
      <c r="Q49" s="145">
        <f t="shared" si="7"/>
        <v>0</v>
      </c>
      <c r="R49" s="150">
        <f t="shared" si="8"/>
        <v>0</v>
      </c>
      <c r="S49" s="151">
        <v>0.06</v>
      </c>
      <c r="T49" s="152"/>
      <c r="U49" s="152">
        <v>55</v>
      </c>
    </row>
    <row r="50" spans="1:24" s="20" customFormat="1">
      <c r="A50" s="134" t="s">
        <v>2305</v>
      </c>
      <c r="B50" s="135"/>
      <c r="C50" s="135"/>
      <c r="D50" s="135"/>
      <c r="E50" s="135"/>
      <c r="F50" s="137"/>
      <c r="G50" s="138" t="str">
        <f>_xlfn.IFNA(IF(VLOOKUP($F50,'3.框架内物料'!$A:$E,2,0)=0,"请勿填写",VLOOKUP($F50,'3.框架内物料'!$A:$E,2,0)),"")</f>
        <v/>
      </c>
      <c r="H50" s="139" t="str">
        <f>_xlfn.IFNA(VLOOKUP($F50,'3.框架内物料'!$A:$E,4,0),"")</f>
        <v/>
      </c>
      <c r="I50" s="138" t="str">
        <f>_xlfn.IFNA(VLOOKUP($F50,'3.框架内物料'!$A:$E,5,0),"")</f>
        <v/>
      </c>
      <c r="J50" s="142" t="str">
        <f>_xlfn.IFNA(VLOOKUP($F50,'3.框架内物料'!$A:$F,6,0),"")</f>
        <v/>
      </c>
      <c r="K50" s="142" t="str">
        <f>_xlfn.IFNA(VLOOKUP($F50,'3.框架内物料'!$A:$F,6,0),"")</f>
        <v/>
      </c>
      <c r="L50" s="48"/>
      <c r="M50" s="48"/>
      <c r="N50" s="146"/>
      <c r="O50" s="146"/>
      <c r="P50" s="145">
        <f t="shared" si="6"/>
        <v>0</v>
      </c>
      <c r="Q50" s="145">
        <f t="shared" si="7"/>
        <v>0</v>
      </c>
      <c r="R50" s="150">
        <f t="shared" si="8"/>
        <v>0</v>
      </c>
      <c r="S50" s="151">
        <v>0.06</v>
      </c>
      <c r="T50" s="155"/>
      <c r="U50" s="152">
        <v>56</v>
      </c>
    </row>
    <row r="51" spans="1:24" s="20" customFormat="1" ht="17.399999999999999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11" t="s">
        <v>2311</v>
      </c>
      <c r="Q51" s="212"/>
      <c r="R51" s="213"/>
      <c r="S51" s="66"/>
      <c r="T51" s="66"/>
      <c r="U51" s="66"/>
    </row>
    <row r="52" spans="1:24" s="20" customFormat="1" ht="17.399999999999999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47">
        <f>SUM(P47:P50)</f>
        <v>0</v>
      </c>
      <c r="Q52" s="147">
        <f t="shared" ref="Q52:R52" si="9">SUM(Q47:Q50)</f>
        <v>0</v>
      </c>
      <c r="R52" s="147">
        <f t="shared" si="9"/>
        <v>0</v>
      </c>
      <c r="S52" s="35"/>
      <c r="T52" s="43"/>
      <c r="U52" s="67"/>
    </row>
    <row r="53" spans="1:24" s="18" customFormat="1">
      <c r="A53" s="134" t="s">
        <v>2312</v>
      </c>
      <c r="B53" s="135"/>
      <c r="C53" s="135"/>
      <c r="D53" s="136"/>
      <c r="E53" s="136"/>
      <c r="F53" s="137"/>
      <c r="G53" s="138" t="str">
        <f>_xlfn.IFNA(IF(VLOOKUP($F53,'3.框架内物料'!$A:$E,2,0)=0,"请勿填写",VLOOKUP($F53,'3.框架内物料'!$A:$E,2,0)),"")</f>
        <v/>
      </c>
      <c r="H53" s="139" t="str">
        <f>_xlfn.IFNA(VLOOKUP($F53,'3.框架内物料'!$A:$E,4,0),"")</f>
        <v/>
      </c>
      <c r="I53" s="138" t="str">
        <f>_xlfn.IFNA(VLOOKUP($F53,'3.框架内物料'!$A:$E,5,0),"")</f>
        <v/>
      </c>
      <c r="J53" s="142" t="str">
        <f>_xlfn.IFNA(VLOOKUP($F53,'3.框架内物料'!$A:$F,6,0),"")</f>
        <v/>
      </c>
      <c r="K53" s="142" t="str">
        <f>_xlfn.IFNA(VLOOKUP($F53,'3.框架内物料'!$A:$F,6,0),"")</f>
        <v/>
      </c>
      <c r="L53" s="48"/>
      <c r="M53" s="48"/>
      <c r="N53" s="146"/>
      <c r="O53" s="146"/>
      <c r="P53" s="145">
        <f t="shared" si="3"/>
        <v>0</v>
      </c>
      <c r="Q53" s="145">
        <f t="shared" si="4"/>
        <v>0</v>
      </c>
      <c r="R53" s="150">
        <f t="shared" si="5"/>
        <v>0</v>
      </c>
      <c r="S53" s="151">
        <v>0.06</v>
      </c>
      <c r="T53" s="152"/>
      <c r="U53" s="152">
        <v>73</v>
      </c>
    </row>
    <row r="54" spans="1:24" s="18" customFormat="1">
      <c r="A54" s="134" t="s">
        <v>2312</v>
      </c>
      <c r="B54" s="135"/>
      <c r="C54" s="135"/>
      <c r="D54" s="135"/>
      <c r="E54" s="135"/>
      <c r="F54" s="137"/>
      <c r="G54" s="138" t="str">
        <f>_xlfn.IFNA(IF(VLOOKUP($F54,'3.框架内物料'!$A:$E,2,0)=0,"请勿填写",VLOOKUP($F54,'3.框架内物料'!$A:$E,2,0)),"")</f>
        <v/>
      </c>
      <c r="H54" s="139" t="str">
        <f>_xlfn.IFNA(VLOOKUP($F54,'3.框架内物料'!$A:$E,4,0),"")</f>
        <v/>
      </c>
      <c r="I54" s="138" t="str">
        <f>_xlfn.IFNA(VLOOKUP($F54,'3.框架内物料'!$A:$E,5,0),"")</f>
        <v/>
      </c>
      <c r="J54" s="142" t="str">
        <f>_xlfn.IFNA(VLOOKUP($F54,'3.框架内物料'!$A:$F,6,0),"")</f>
        <v/>
      </c>
      <c r="K54" s="142" t="str">
        <f>_xlfn.IFNA(VLOOKUP($F54,'3.框架内物料'!$A:$F,6,0),"")</f>
        <v/>
      </c>
      <c r="L54" s="48"/>
      <c r="M54" s="48"/>
      <c r="N54" s="146"/>
      <c r="O54" s="146"/>
      <c r="P54" s="145">
        <f t="shared" si="3"/>
        <v>0</v>
      </c>
      <c r="Q54" s="145">
        <f t="shared" si="4"/>
        <v>0</v>
      </c>
      <c r="R54" s="150">
        <f t="shared" si="5"/>
        <v>0</v>
      </c>
      <c r="S54" s="151">
        <v>0.06</v>
      </c>
      <c r="T54" s="152"/>
      <c r="U54" s="152">
        <v>74</v>
      </c>
    </row>
    <row r="55" spans="1:24" s="20" customFormat="1">
      <c r="A55" s="134" t="s">
        <v>2312</v>
      </c>
      <c r="B55" s="135"/>
      <c r="C55" s="135"/>
      <c r="D55" s="135"/>
      <c r="E55" s="135"/>
      <c r="F55" s="137"/>
      <c r="G55" s="138" t="str">
        <f>_xlfn.IFNA(IF(VLOOKUP($F55,'3.框架内物料'!$A:$E,2,0)=0,"请勿填写",VLOOKUP($F55,'3.框架内物料'!$A:$E,2,0)),"")</f>
        <v/>
      </c>
      <c r="H55" s="139" t="str">
        <f>_xlfn.IFNA(VLOOKUP($F55,'3.框架内物料'!$A:$E,4,0),"")</f>
        <v/>
      </c>
      <c r="I55" s="138" t="str">
        <f>_xlfn.IFNA(VLOOKUP($F55,'3.框架内物料'!$A:$E,5,0),"")</f>
        <v/>
      </c>
      <c r="J55" s="142" t="str">
        <f>_xlfn.IFNA(VLOOKUP($F55,'3.框架内物料'!$A:$F,6,0),"")</f>
        <v/>
      </c>
      <c r="K55" s="142" t="str">
        <f>_xlfn.IFNA(VLOOKUP($F55,'3.框架内物料'!$A:$F,6,0),"")</f>
        <v/>
      </c>
      <c r="L55" s="48"/>
      <c r="M55" s="48"/>
      <c r="N55" s="48"/>
      <c r="O55" s="48"/>
      <c r="P55" s="145">
        <f t="shared" si="3"/>
        <v>0</v>
      </c>
      <c r="Q55" s="145">
        <f t="shared" si="4"/>
        <v>0</v>
      </c>
      <c r="R55" s="150">
        <f t="shared" si="5"/>
        <v>0</v>
      </c>
      <c r="S55" s="151">
        <v>0.06</v>
      </c>
      <c r="T55" s="155"/>
      <c r="U55" s="152">
        <v>76</v>
      </c>
    </row>
    <row r="56" spans="1:24" s="20" customFormat="1">
      <c r="A56" s="134" t="s">
        <v>2312</v>
      </c>
      <c r="B56" s="135"/>
      <c r="C56" s="135"/>
      <c r="D56" s="136"/>
      <c r="E56" s="136"/>
      <c r="F56" s="137"/>
      <c r="G56" s="138" t="str">
        <f>_xlfn.IFNA(IF(VLOOKUP($F56,'3.框架内物料'!$A:$E,2,0)=0,"请勿填写",VLOOKUP($F56,'3.框架内物料'!$A:$E,2,0)),"")</f>
        <v/>
      </c>
      <c r="H56" s="139" t="str">
        <f>_xlfn.IFNA(VLOOKUP($F56,'3.框架内物料'!$A:$E,4,0),"")</f>
        <v/>
      </c>
      <c r="I56" s="138" t="str">
        <f>_xlfn.IFNA(VLOOKUP($F56,'3.框架内物料'!$A:$E,5,0),"")</f>
        <v/>
      </c>
      <c r="J56" s="142" t="str">
        <f>_xlfn.IFNA(VLOOKUP($F56,'3.框架内物料'!$A:$F,6,0),"")</f>
        <v/>
      </c>
      <c r="K56" s="142" t="str">
        <f>_xlfn.IFNA(VLOOKUP($F56,'3.框架内物料'!$A:$F,6,0),"")</f>
        <v/>
      </c>
      <c r="L56" s="48"/>
      <c r="M56" s="48"/>
      <c r="N56" s="146"/>
      <c r="O56" s="146"/>
      <c r="P56" s="145">
        <f t="shared" si="3"/>
        <v>0</v>
      </c>
      <c r="Q56" s="145">
        <f t="shared" si="4"/>
        <v>0</v>
      </c>
      <c r="R56" s="150">
        <f t="shared" si="5"/>
        <v>0</v>
      </c>
      <c r="S56" s="151">
        <v>0.06</v>
      </c>
      <c r="T56" s="155"/>
      <c r="U56" s="152">
        <v>77</v>
      </c>
      <c r="X56" s="70"/>
    </row>
    <row r="57" spans="1:24" s="20" customFormat="1">
      <c r="A57" s="134" t="s">
        <v>2312</v>
      </c>
      <c r="B57" s="135"/>
      <c r="C57" s="135"/>
      <c r="D57" s="136"/>
      <c r="E57" s="136"/>
      <c r="F57" s="137"/>
      <c r="G57" s="138" t="str">
        <f>_xlfn.IFNA(IF(VLOOKUP($F57,'3.框架内物料'!$A:$E,2,0)=0,"请勿填写",VLOOKUP($F57,'3.框架内物料'!$A:$E,2,0)),"")</f>
        <v/>
      </c>
      <c r="H57" s="139" t="str">
        <f>_xlfn.IFNA(VLOOKUP($F57,'3.框架内物料'!$A:$E,4,0),"")</f>
        <v/>
      </c>
      <c r="I57" s="138" t="str">
        <f>_xlfn.IFNA(VLOOKUP($F57,'3.框架内物料'!$A:$E,5,0),"")</f>
        <v/>
      </c>
      <c r="J57" s="142" t="str">
        <f>_xlfn.IFNA(VLOOKUP($F57,'3.框架内物料'!$A:$F,6,0),"")</f>
        <v/>
      </c>
      <c r="K57" s="142" t="str">
        <f>_xlfn.IFNA(VLOOKUP($F57,'3.框架内物料'!$A:$F,6,0),"")</f>
        <v/>
      </c>
      <c r="L57" s="48"/>
      <c r="M57" s="48"/>
      <c r="N57" s="146"/>
      <c r="O57" s="146"/>
      <c r="P57" s="145">
        <f t="shared" si="3"/>
        <v>0</v>
      </c>
      <c r="Q57" s="145">
        <f t="shared" si="4"/>
        <v>0</v>
      </c>
      <c r="R57" s="150">
        <f t="shared" si="5"/>
        <v>0</v>
      </c>
      <c r="S57" s="151">
        <v>0.06</v>
      </c>
      <c r="T57" s="155"/>
      <c r="U57" s="152">
        <v>79</v>
      </c>
      <c r="X57" s="70"/>
    </row>
    <row r="58" spans="1:24" s="20" customFormat="1">
      <c r="A58" s="134" t="s">
        <v>2312</v>
      </c>
      <c r="B58" s="135"/>
      <c r="C58" s="135"/>
      <c r="D58" s="135"/>
      <c r="E58" s="135"/>
      <c r="F58" s="137"/>
      <c r="G58" s="138" t="str">
        <f>_xlfn.IFNA(IF(VLOOKUP($F58,'3.框架内物料'!$A:$E,2,0)=0,"请勿填写",VLOOKUP($F58,'3.框架内物料'!$A:$E,2,0)),"")</f>
        <v/>
      </c>
      <c r="H58" s="139" t="str">
        <f>_xlfn.IFNA(VLOOKUP($F58,'3.框架内物料'!$A:$E,4,0),"")</f>
        <v/>
      </c>
      <c r="I58" s="138" t="str">
        <f>_xlfn.IFNA(VLOOKUP($F58,'3.框架内物料'!$A:$E,5,0),"")</f>
        <v/>
      </c>
      <c r="J58" s="142" t="str">
        <f>_xlfn.IFNA(VLOOKUP($F58,'3.框架内物料'!$A:$F,6,0),"")</f>
        <v/>
      </c>
      <c r="K58" s="142" t="str">
        <f>_xlfn.IFNA(VLOOKUP($F58,'3.框架内物料'!$A:$F,6,0),"")</f>
        <v/>
      </c>
      <c r="L58" s="48"/>
      <c r="M58" s="48"/>
      <c r="N58" s="146"/>
      <c r="O58" s="146"/>
      <c r="P58" s="145">
        <f t="shared" si="3"/>
        <v>0</v>
      </c>
      <c r="Q58" s="145">
        <f t="shared" si="4"/>
        <v>0</v>
      </c>
      <c r="R58" s="150">
        <f t="shared" si="5"/>
        <v>0</v>
      </c>
      <c r="S58" s="151">
        <v>0.06</v>
      </c>
      <c r="T58" s="155"/>
      <c r="U58" s="152">
        <v>80</v>
      </c>
    </row>
    <row r="59" spans="1:24" s="20" customFormat="1">
      <c r="A59" s="134" t="s">
        <v>2312</v>
      </c>
      <c r="B59" s="135"/>
      <c r="C59" s="135"/>
      <c r="D59" s="135"/>
      <c r="E59" s="135"/>
      <c r="F59" s="137"/>
      <c r="G59" s="138" t="str">
        <f>_xlfn.IFNA(IF(VLOOKUP($F59,'3.框架内物料'!$A:$E,2,0)=0,"请勿填写",VLOOKUP($F59,'3.框架内物料'!$A:$E,2,0)),"")</f>
        <v/>
      </c>
      <c r="H59" s="139" t="str">
        <f>_xlfn.IFNA(VLOOKUP($F59,'3.框架内物料'!$A:$E,4,0),"")</f>
        <v/>
      </c>
      <c r="I59" s="138" t="str">
        <f>_xlfn.IFNA(VLOOKUP($F59,'3.框架内物料'!$A:$E,5,0),"")</f>
        <v/>
      </c>
      <c r="J59" s="142" t="str">
        <f>_xlfn.IFNA(VLOOKUP($F59,'3.框架内物料'!$A:$F,6,0),"")</f>
        <v/>
      </c>
      <c r="K59" s="142" t="str">
        <f>_xlfn.IFNA(VLOOKUP($F59,'3.框架内物料'!$A:$F,6,0),"")</f>
        <v/>
      </c>
      <c r="L59" s="48"/>
      <c r="M59" s="48"/>
      <c r="N59" s="146"/>
      <c r="O59" s="146"/>
      <c r="P59" s="145">
        <f t="shared" si="3"/>
        <v>0</v>
      </c>
      <c r="Q59" s="145">
        <f t="shared" si="4"/>
        <v>0</v>
      </c>
      <c r="R59" s="150">
        <f t="shared" si="5"/>
        <v>0</v>
      </c>
      <c r="S59" s="151">
        <v>0.06</v>
      </c>
      <c r="T59" s="155"/>
      <c r="U59" s="152">
        <v>82</v>
      </c>
    </row>
    <row r="60" spans="1:24" s="20" customFormat="1" ht="17.399999999999999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11" t="s">
        <v>2313</v>
      </c>
      <c r="Q60" s="212"/>
      <c r="R60" s="213"/>
      <c r="S60" s="66"/>
      <c r="T60" s="66"/>
      <c r="U60" s="66"/>
    </row>
    <row r="61" spans="1:24" s="20" customFormat="1" ht="17.399999999999999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6">
        <f>SUM(P53:P59)</f>
        <v>0</v>
      </c>
      <c r="Q61" s="156">
        <f>SUM(Q53:Q59)</f>
        <v>0</v>
      </c>
      <c r="R61" s="156">
        <f>Q61-P61</f>
        <v>0</v>
      </c>
      <c r="S61" s="35"/>
      <c r="T61" s="43"/>
      <c r="U61" s="67"/>
    </row>
    <row r="62" spans="1:24" s="20" customFormat="1">
      <c r="A62" s="134" t="s">
        <v>2314</v>
      </c>
      <c r="B62" s="135"/>
      <c r="C62" s="135"/>
      <c r="D62" s="136"/>
      <c r="E62" s="136"/>
      <c r="F62" s="137"/>
      <c r="G62" s="138" t="str">
        <f>_xlfn.IFNA(IF(VLOOKUP($F62,'3.框架内物料'!$A:$E,2,0)=0,"请勿填写",VLOOKUP($F62,'3.框架内物料'!$A:$E,2,0)),"")</f>
        <v/>
      </c>
      <c r="H62" s="139" t="str">
        <f>_xlfn.IFNA(VLOOKUP($F62,'3.框架内物料'!$A:$E,4,0),"")</f>
        <v/>
      </c>
      <c r="I62" s="138" t="str">
        <f>_xlfn.IFNA(VLOOKUP($F62,'3.框架内物料'!$A:$E,5,0),"")</f>
        <v/>
      </c>
      <c r="J62" s="142" t="str">
        <f>_xlfn.IFNA(VLOOKUP($F62,'3.框架内物料'!$A:$F,6,0),"")</f>
        <v/>
      </c>
      <c r="K62" s="142" t="str">
        <f>_xlfn.IFNA(VLOOKUP($F62,'3.框架内物料'!$A:$F,6,0),"")</f>
        <v/>
      </c>
      <c r="L62" s="48"/>
      <c r="M62" s="48"/>
      <c r="N62" s="146"/>
      <c r="O62" s="146"/>
      <c r="P62" s="145">
        <f t="shared" si="3"/>
        <v>0</v>
      </c>
      <c r="Q62" s="145">
        <f t="shared" si="4"/>
        <v>0</v>
      </c>
      <c r="R62" s="150">
        <f t="shared" si="5"/>
        <v>0</v>
      </c>
      <c r="S62" s="151">
        <v>0.06</v>
      </c>
      <c r="T62" s="155"/>
      <c r="U62" s="152">
        <v>85</v>
      </c>
      <c r="X62" s="70"/>
    </row>
    <row r="63" spans="1:24" s="20" customFormat="1">
      <c r="A63" s="134" t="s">
        <v>2314</v>
      </c>
      <c r="B63" s="135"/>
      <c r="C63" s="135"/>
      <c r="D63" s="135"/>
      <c r="E63" s="135"/>
      <c r="F63" s="137"/>
      <c r="G63" s="138" t="str">
        <f>_xlfn.IFNA(IF(VLOOKUP($F63,'3.框架内物料'!$A:$E,2,0)=0,"请勿填写",VLOOKUP($F63,'3.框架内物料'!$A:$E,2,0)),"")</f>
        <v/>
      </c>
      <c r="H63" s="139" t="str">
        <f>_xlfn.IFNA(VLOOKUP($F63,'3.框架内物料'!$A:$E,4,0),"")</f>
        <v/>
      </c>
      <c r="I63" s="138" t="str">
        <f>_xlfn.IFNA(VLOOKUP($F63,'3.框架内物料'!$A:$E,5,0),"")</f>
        <v/>
      </c>
      <c r="J63" s="142" t="str">
        <f>_xlfn.IFNA(VLOOKUP($F63,'3.框架内物料'!$A:$F,6,0),"")</f>
        <v/>
      </c>
      <c r="K63" s="142" t="str">
        <f>_xlfn.IFNA(VLOOKUP($F63,'3.框架内物料'!$A:$F,6,0),"")</f>
        <v/>
      </c>
      <c r="L63" s="48"/>
      <c r="M63" s="48"/>
      <c r="N63" s="146"/>
      <c r="O63" s="146"/>
      <c r="P63" s="145">
        <f t="shared" si="3"/>
        <v>0</v>
      </c>
      <c r="Q63" s="145">
        <f t="shared" si="4"/>
        <v>0</v>
      </c>
      <c r="R63" s="150">
        <f t="shared" si="5"/>
        <v>0</v>
      </c>
      <c r="S63" s="151">
        <v>0.06</v>
      </c>
      <c r="T63" s="155"/>
      <c r="U63" s="152">
        <v>86</v>
      </c>
    </row>
    <row r="64" spans="1:24" s="20" customFormat="1">
      <c r="A64" s="134" t="s">
        <v>2314</v>
      </c>
      <c r="B64" s="135"/>
      <c r="C64" s="135"/>
      <c r="D64" s="135"/>
      <c r="E64" s="135"/>
      <c r="F64" s="137"/>
      <c r="G64" s="138" t="str">
        <f>_xlfn.IFNA(IF(VLOOKUP($F64,'3.框架内物料'!$A:$E,2,0)=0,"请勿填写",VLOOKUP($F64,'3.框架内物料'!$A:$E,2,0)),"")</f>
        <v/>
      </c>
      <c r="H64" s="139" t="str">
        <f>_xlfn.IFNA(VLOOKUP($F64,'3.框架内物料'!$A:$E,4,0),"")</f>
        <v/>
      </c>
      <c r="I64" s="138" t="str">
        <f>_xlfn.IFNA(VLOOKUP($F64,'3.框架内物料'!$A:$E,5,0),"")</f>
        <v/>
      </c>
      <c r="J64" s="142" t="str">
        <f>_xlfn.IFNA(VLOOKUP($F64,'3.框架内物料'!$A:$F,6,0),"")</f>
        <v/>
      </c>
      <c r="K64" s="142" t="str">
        <f>_xlfn.IFNA(VLOOKUP($F64,'3.框架内物料'!$A:$F,6,0),"")</f>
        <v/>
      </c>
      <c r="L64" s="48"/>
      <c r="M64" s="48"/>
      <c r="N64" s="48"/>
      <c r="O64" s="48"/>
      <c r="P64" s="145">
        <f t="shared" si="3"/>
        <v>0</v>
      </c>
      <c r="Q64" s="145">
        <f t="shared" si="4"/>
        <v>0</v>
      </c>
      <c r="R64" s="150">
        <f t="shared" si="5"/>
        <v>0</v>
      </c>
      <c r="S64" s="151">
        <v>0.06</v>
      </c>
      <c r="T64" s="155"/>
      <c r="U64" s="152">
        <v>88</v>
      </c>
    </row>
    <row r="65" spans="1:24" s="20" customFormat="1">
      <c r="A65" s="134" t="s">
        <v>2314</v>
      </c>
      <c r="B65" s="135"/>
      <c r="C65" s="135"/>
      <c r="D65" s="136"/>
      <c r="E65" s="136"/>
      <c r="F65" s="137"/>
      <c r="G65" s="138" t="str">
        <f>_xlfn.IFNA(IF(VLOOKUP($F65,'3.框架内物料'!$A:$E,2,0)=0,"请勿填写",VLOOKUP($F65,'3.框架内物料'!$A:$E,2,0)),"")</f>
        <v/>
      </c>
      <c r="H65" s="139" t="str">
        <f>_xlfn.IFNA(VLOOKUP($F65,'3.框架内物料'!$A:$E,4,0),"")</f>
        <v/>
      </c>
      <c r="I65" s="138" t="str">
        <f>_xlfn.IFNA(VLOOKUP($F65,'3.框架内物料'!$A:$E,5,0),"")</f>
        <v/>
      </c>
      <c r="J65" s="142" t="str">
        <f>_xlfn.IFNA(VLOOKUP($F65,'3.框架内物料'!$A:$F,6,0),"")</f>
        <v/>
      </c>
      <c r="K65" s="142" t="str">
        <f>_xlfn.IFNA(VLOOKUP($F65,'3.框架内物料'!$A:$F,6,0),"")</f>
        <v/>
      </c>
      <c r="L65" s="48"/>
      <c r="M65" s="48"/>
      <c r="N65" s="146"/>
      <c r="O65" s="146"/>
      <c r="P65" s="145">
        <f t="shared" si="3"/>
        <v>0</v>
      </c>
      <c r="Q65" s="145">
        <f t="shared" si="4"/>
        <v>0</v>
      </c>
      <c r="R65" s="150">
        <f t="shared" si="5"/>
        <v>0</v>
      </c>
      <c r="S65" s="151">
        <v>0.06</v>
      </c>
      <c r="T65" s="155"/>
      <c r="U65" s="152">
        <v>89</v>
      </c>
      <c r="X65" s="70"/>
    </row>
    <row r="66" spans="1:24" s="18" customFormat="1">
      <c r="A66" s="134" t="s">
        <v>2314</v>
      </c>
      <c r="B66" s="135"/>
      <c r="C66" s="135"/>
      <c r="D66" s="136"/>
      <c r="E66" s="136"/>
      <c r="F66" s="137"/>
      <c r="G66" s="138" t="str">
        <f>_xlfn.IFNA(IF(VLOOKUP($F66,'3.框架内物料'!$A:$E,2,0)=0,"请勿填写",VLOOKUP($F66,'3.框架内物料'!$A:$E,2,0)),"")</f>
        <v/>
      </c>
      <c r="H66" s="139" t="str">
        <f>_xlfn.IFNA(VLOOKUP($F66,'3.框架内物料'!$A:$E,4,0),"")</f>
        <v/>
      </c>
      <c r="I66" s="138" t="str">
        <f>_xlfn.IFNA(VLOOKUP($F66,'3.框架内物料'!$A:$E,5,0),"")</f>
        <v/>
      </c>
      <c r="J66" s="142" t="str">
        <f>_xlfn.IFNA(VLOOKUP($F66,'3.框架内物料'!$A:$F,6,0),"")</f>
        <v/>
      </c>
      <c r="K66" s="142" t="str">
        <f>_xlfn.IFNA(VLOOKUP($F66,'3.框架内物料'!$A:$F,6,0),"")</f>
        <v/>
      </c>
      <c r="L66" s="48"/>
      <c r="M66" s="48"/>
      <c r="N66" s="146"/>
      <c r="O66" s="146"/>
      <c r="P66" s="145">
        <f t="shared" si="3"/>
        <v>0</v>
      </c>
      <c r="Q66" s="145">
        <f t="shared" si="4"/>
        <v>0</v>
      </c>
      <c r="R66" s="150">
        <f t="shared" si="5"/>
        <v>0</v>
      </c>
      <c r="S66" s="151">
        <v>0.06</v>
      </c>
      <c r="T66" s="152"/>
      <c r="U66" s="152">
        <v>91</v>
      </c>
    </row>
    <row r="67" spans="1:24" s="18" customFormat="1">
      <c r="A67" s="134" t="s">
        <v>2314</v>
      </c>
      <c r="B67" s="135"/>
      <c r="C67" s="135"/>
      <c r="D67" s="135"/>
      <c r="E67" s="135"/>
      <c r="F67" s="137"/>
      <c r="G67" s="138" t="str">
        <f>_xlfn.IFNA(IF(VLOOKUP($F67,'3.框架内物料'!$A:$E,2,0)=0,"请勿填写",VLOOKUP($F67,'3.框架内物料'!$A:$E,2,0)),"")</f>
        <v/>
      </c>
      <c r="H67" s="139" t="str">
        <f>_xlfn.IFNA(VLOOKUP($F67,'3.框架内物料'!$A:$E,4,0),"")</f>
        <v/>
      </c>
      <c r="I67" s="138" t="str">
        <f>_xlfn.IFNA(VLOOKUP($F67,'3.框架内物料'!$A:$E,5,0),"")</f>
        <v/>
      </c>
      <c r="J67" s="142" t="str">
        <f>_xlfn.IFNA(VLOOKUP($F67,'3.框架内物料'!$A:$F,6,0),"")</f>
        <v/>
      </c>
      <c r="K67" s="142" t="str">
        <f>_xlfn.IFNA(VLOOKUP($F67,'3.框架内物料'!$A:$F,6,0),"")</f>
        <v/>
      </c>
      <c r="L67" s="48"/>
      <c r="M67" s="48"/>
      <c r="N67" s="146"/>
      <c r="O67" s="146"/>
      <c r="P67" s="145">
        <f t="shared" si="3"/>
        <v>0</v>
      </c>
      <c r="Q67" s="145">
        <f t="shared" si="4"/>
        <v>0</v>
      </c>
      <c r="R67" s="150">
        <f t="shared" si="5"/>
        <v>0</v>
      </c>
      <c r="S67" s="151">
        <v>0.06</v>
      </c>
      <c r="T67" s="152"/>
      <c r="U67" s="152">
        <v>92</v>
      </c>
    </row>
    <row r="68" spans="1:24" s="20" customFormat="1">
      <c r="A68" s="134" t="s">
        <v>2314</v>
      </c>
      <c r="B68" s="135"/>
      <c r="C68" s="135"/>
      <c r="D68" s="135"/>
      <c r="E68" s="135"/>
      <c r="F68" s="137"/>
      <c r="G68" s="138" t="str">
        <f>_xlfn.IFNA(IF(VLOOKUP($F68,'3.框架内物料'!$A:$E,2,0)=0,"请勿填写",VLOOKUP($F68,'3.框架内物料'!$A:$E,2,0)),"")</f>
        <v/>
      </c>
      <c r="H68" s="139" t="str">
        <f>_xlfn.IFNA(VLOOKUP($F68,'3.框架内物料'!$A:$E,4,0),"")</f>
        <v/>
      </c>
      <c r="I68" s="138" t="str">
        <f>_xlfn.IFNA(VLOOKUP($F68,'3.框架内物料'!$A:$E,5,0),"")</f>
        <v/>
      </c>
      <c r="J68" s="142" t="str">
        <f>_xlfn.IFNA(VLOOKUP($F68,'3.框架内物料'!$A:$F,6,0),"")</f>
        <v/>
      </c>
      <c r="K68" s="142" t="str">
        <f>_xlfn.IFNA(VLOOKUP($F68,'3.框架内物料'!$A:$F,6,0),"")</f>
        <v/>
      </c>
      <c r="L68" s="48"/>
      <c r="M68" s="48"/>
      <c r="N68" s="146"/>
      <c r="O68" s="146"/>
      <c r="P68" s="145">
        <f t="shared" si="3"/>
        <v>0</v>
      </c>
      <c r="Q68" s="145">
        <f t="shared" si="4"/>
        <v>0</v>
      </c>
      <c r="R68" s="150">
        <f t="shared" si="5"/>
        <v>0</v>
      </c>
      <c r="S68" s="151">
        <v>0.06</v>
      </c>
      <c r="T68" s="155"/>
      <c r="U68" s="152">
        <v>94</v>
      </c>
    </row>
    <row r="69" spans="1:24" s="20" customFormat="1" ht="17.399999999999999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11" t="s">
        <v>2315</v>
      </c>
      <c r="Q69" s="212"/>
      <c r="R69" s="213"/>
      <c r="S69" s="66"/>
      <c r="T69" s="66"/>
      <c r="U69" s="66"/>
    </row>
    <row r="70" spans="1:24" s="20" customFormat="1" ht="17.399999999999999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47">
        <f>SUM(P62:P68)</f>
        <v>0</v>
      </c>
      <c r="Q70" s="147">
        <f>SUM(Q62:Q68)</f>
        <v>0</v>
      </c>
      <c r="R70" s="147">
        <f>Q70-P70</f>
        <v>0</v>
      </c>
      <c r="S70" s="35"/>
      <c r="T70" s="43"/>
      <c r="U70" s="67"/>
    </row>
    <row r="71" spans="1:24" s="20" customFormat="1">
      <c r="A71" s="134" t="s">
        <v>2316</v>
      </c>
      <c r="B71" s="135"/>
      <c r="C71" s="135"/>
      <c r="D71" s="135" t="s">
        <v>2317</v>
      </c>
      <c r="E71" s="135"/>
      <c r="F71" s="137" t="s">
        <v>2318</v>
      </c>
      <c r="G71" s="138" t="str">
        <f>_xlfn.IFNA(IF(VLOOKUP($F71,'3.框架内物料'!$A:$E,2,0)=0,"请勿填写",VLOOKUP($F71,'3.框架内物料'!$A:$E,2,0)),"")</f>
        <v/>
      </c>
      <c r="H71" s="139" t="str">
        <f>_xlfn.IFNA(VLOOKUP($F71,'3.框架内物料'!$A:$E,4,0),"")</f>
        <v/>
      </c>
      <c r="I71" s="138" t="str">
        <f>_xlfn.IFNA(VLOOKUP($F71,'3.框架内物料'!$A:$E,5,0),"")</f>
        <v/>
      </c>
      <c r="J71" s="142"/>
      <c r="K71" s="142"/>
      <c r="L71" s="48">
        <v>1</v>
      </c>
      <c r="M71" s="48">
        <v>1</v>
      </c>
      <c r="N71" s="48">
        <v>1</v>
      </c>
      <c r="O71" s="48">
        <v>1</v>
      </c>
      <c r="P71" s="145">
        <f t="shared" ref="P71:P72" si="10">IFERROR(N71*L71*J71,0)</f>
        <v>0</v>
      </c>
      <c r="Q71" s="145">
        <f t="shared" ref="Q71:Q72" si="11">IFERROR(K71*M71*O71,0)</f>
        <v>0</v>
      </c>
      <c r="R71" s="150">
        <f t="shared" ref="R71:R72" si="12">Q71-P71</f>
        <v>0</v>
      </c>
      <c r="S71" s="151">
        <v>0.06</v>
      </c>
      <c r="T71" s="155"/>
      <c r="U71" s="152">
        <v>517</v>
      </c>
    </row>
    <row r="72" spans="1:24" s="20" customFormat="1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2"/>
      <c r="K72" s="142"/>
      <c r="L72" s="48">
        <v>1</v>
      </c>
      <c r="M72" s="48">
        <v>1</v>
      </c>
      <c r="N72" s="48">
        <v>1</v>
      </c>
      <c r="O72" s="48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151">
        <v>0.06</v>
      </c>
      <c r="T72" s="155"/>
      <c r="U72" s="152">
        <v>518</v>
      </c>
    </row>
    <row r="73" spans="1:24" s="20" customFormat="1" ht="17.399999999999999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11" t="s">
        <v>2320</v>
      </c>
      <c r="Q73" s="212"/>
      <c r="R73" s="213"/>
      <c r="S73" s="66"/>
      <c r="T73" s="66"/>
      <c r="U73" s="66"/>
    </row>
    <row r="74" spans="1:24" s="20" customFormat="1" ht="17.399999999999999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47">
        <f>SUM(P71:P72)</f>
        <v>0</v>
      </c>
      <c r="Q74" s="147">
        <f>SUM(Q71:Q72)</f>
        <v>0</v>
      </c>
      <c r="R74" s="147">
        <f>Q74-P74</f>
        <v>0</v>
      </c>
      <c r="S74" s="35"/>
      <c r="T74" s="43"/>
      <c r="U74" s="67"/>
    </row>
    <row r="75" spans="1:24" s="20" customFormat="1" ht="17.399999999999999">
      <c r="A75" s="73"/>
      <c r="B75" s="74"/>
      <c r="C75" s="74"/>
      <c r="D75" s="74"/>
      <c r="E75" s="74"/>
      <c r="F75" s="80"/>
      <c r="G75" s="74"/>
      <c r="H75" s="81"/>
      <c r="I75" s="74"/>
      <c r="J75" s="165"/>
      <c r="K75" s="166"/>
      <c r="L75" s="86"/>
      <c r="M75" s="86"/>
      <c r="N75" s="86"/>
      <c r="O75" s="86"/>
      <c r="P75" s="214" t="s">
        <v>2321</v>
      </c>
      <c r="Q75" s="214"/>
      <c r="R75" s="215"/>
      <c r="S75" s="101"/>
      <c r="T75" s="101"/>
      <c r="U75" s="101"/>
    </row>
    <row r="76" spans="1:24" ht="17.399999999999999">
      <c r="A76" s="75"/>
      <c r="B76" s="76"/>
      <c r="C76" s="76"/>
      <c r="D76" s="76"/>
      <c r="E76" s="76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2"/>
      <c r="U76" s="103"/>
    </row>
    <row r="77" spans="1:24" s="20" customFormat="1">
      <c r="A77" s="134" t="str">
        <f>_xlfn.IFNA(IF(OR(F77="框架外物料",F77="据实结算"),"请填写完整",VLOOKUP(F77,'3.框架内物料'!A:C,3,0)),"")</f>
        <v/>
      </c>
      <c r="B77" s="135"/>
      <c r="C77" s="135"/>
      <c r="D77" s="135"/>
      <c r="E77" s="135"/>
      <c r="F77" s="137" t="s">
        <v>2322</v>
      </c>
      <c r="G77" s="138" t="str">
        <f>_xlfn.IFNA(IF(VLOOKUP($F77,'3.框架内物料'!$A:$E,2,0)=0,"请勿填写",VLOOKUP($F77,'3.框架内物料'!$A:$E,2,0)),"")</f>
        <v/>
      </c>
      <c r="H77" s="139" t="str">
        <f>_xlfn.IFNA(VLOOKUP($F77,'3.框架内物料'!$A:$E,4,0),"")</f>
        <v/>
      </c>
      <c r="I77" s="138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45">
        <f t="shared" ref="P77:P78" si="13">IFERROR(N77*L77*J77,0)</f>
        <v>0</v>
      </c>
      <c r="Q77" s="145">
        <f t="shared" ref="Q77:Q78" si="14">IFERROR(K77*M77*O77,0)</f>
        <v>0</v>
      </c>
      <c r="R77" s="150">
        <f t="shared" ref="R77:R78" si="15">Q77-P77</f>
        <v>0</v>
      </c>
      <c r="S77" s="153">
        <v>0.06</v>
      </c>
      <c r="T77" s="178"/>
      <c r="U77" s="178"/>
    </row>
    <row r="78" spans="1:24" s="20" customFormat="1">
      <c r="A78" s="134" t="str">
        <f>_xlfn.IFNA(IF(OR(F78="框架外物料",F78="据实结算"),"请填写完整",VLOOKUP(F78,'3.框架内物料'!A:C,3,0)),"")</f>
        <v>服务费</v>
      </c>
      <c r="B78" s="135"/>
      <c r="C78" s="135"/>
      <c r="D78" s="135"/>
      <c r="E78" s="135"/>
      <c r="F78" s="137" t="s">
        <v>2323</v>
      </c>
      <c r="G78" s="138" t="str">
        <f>_xlfn.IFNA(IF(VLOOKUP($F78,'3.框架内物料'!$A:$E,2,0)=0,"请勿填写",VLOOKUP($F78,'3.框架内物料'!$A:$E,2,0)),"")</f>
        <v>M947580474289864706</v>
      </c>
      <c r="H78" s="139" t="str">
        <f>_xlfn.IFNA(VLOOKUP($F78,'3.框架内物料'!$A:$E,4,0),"")</f>
        <v>服务费税费-项目税费-无票垫付费-第三方无票垫付服务费-服务费比例</v>
      </c>
      <c r="I78" s="138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45">
        <f t="shared" si="13"/>
        <v>0</v>
      </c>
      <c r="Q78" s="145">
        <f t="shared" si="14"/>
        <v>0</v>
      </c>
      <c r="R78" s="150">
        <f t="shared" si="15"/>
        <v>0</v>
      </c>
      <c r="S78" s="151">
        <v>0.06</v>
      </c>
      <c r="T78" s="155"/>
      <c r="U78" s="155"/>
    </row>
    <row r="79" spans="1:24" s="20" customFormat="1" ht="17.399999999999999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11" t="s">
        <v>2324</v>
      </c>
      <c r="Q79" s="212"/>
      <c r="R79" s="213"/>
      <c r="S79" s="66"/>
      <c r="T79" s="66"/>
      <c r="U79" s="66"/>
    </row>
    <row r="80" spans="1:24" s="20" customFormat="1" ht="17.399999999999999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47">
        <f>SUM(P77:P78)</f>
        <v>0</v>
      </c>
      <c r="Q80" s="147">
        <f>SUM(Q77:Q78)</f>
        <v>0</v>
      </c>
      <c r="R80" s="147">
        <f>Q80-P80</f>
        <v>0</v>
      </c>
      <c r="S80" s="35"/>
      <c r="T80" s="43"/>
      <c r="U80" s="67"/>
    </row>
    <row r="81" spans="1:21" s="20" customFormat="1" ht="74.400000000000006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38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45">
        <f>J81*L81*N81</f>
        <v>0</v>
      </c>
      <c r="Q81" s="150">
        <f>K81*M81*O81</f>
        <v>0</v>
      </c>
      <c r="R81" s="150">
        <f>Q81-P81</f>
        <v>0</v>
      </c>
      <c r="S81" s="151">
        <v>0.06</v>
      </c>
      <c r="T81" s="155"/>
      <c r="U81" s="155"/>
    </row>
    <row r="82" spans="1:21" s="20" customFormat="1" ht="17.399999999999999">
      <c r="A82" s="73"/>
      <c r="B82" s="74"/>
      <c r="C82" s="74"/>
      <c r="D82" s="74"/>
      <c r="E82" s="74"/>
      <c r="F82" s="80"/>
      <c r="G82" s="74"/>
      <c r="H82" s="81"/>
      <c r="I82" s="74"/>
      <c r="J82" s="165"/>
      <c r="K82" s="166"/>
      <c r="L82" s="86"/>
      <c r="M82" s="86"/>
      <c r="N82" s="86"/>
      <c r="O82" s="86"/>
      <c r="P82" s="214" t="s">
        <v>2327</v>
      </c>
      <c r="Q82" s="214"/>
      <c r="R82" s="215"/>
      <c r="S82" s="101"/>
      <c r="T82" s="101"/>
      <c r="U82" s="101"/>
    </row>
    <row r="83" spans="1:21" ht="17.399999999999999">
      <c r="A83" s="75"/>
      <c r="B83" s="76"/>
      <c r="C83" s="76"/>
      <c r="D83" s="76"/>
      <c r="E83" s="76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2"/>
      <c r="U83" s="103"/>
    </row>
    <row r="84" spans="1:21" ht="54" customHeight="1">
      <c r="A84" s="78"/>
      <c r="C84" s="79"/>
      <c r="D84" s="79"/>
      <c r="E84" s="79"/>
      <c r="F84" s="78"/>
      <c r="G84" s="78"/>
      <c r="H84" s="78"/>
      <c r="I84" s="78"/>
      <c r="J84" s="78"/>
      <c r="K84" s="216"/>
      <c r="L84" s="216"/>
      <c r="M84" s="216"/>
      <c r="N84" s="216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1"/>
    </row>
    <row r="85" spans="1:21" ht="54" customHeight="1">
      <c r="A85" s="78"/>
      <c r="C85" s="79"/>
      <c r="D85" s="79"/>
      <c r="E85" s="79"/>
      <c r="F85" s="78"/>
      <c r="G85" s="78"/>
      <c r="H85" s="78"/>
      <c r="I85" s="78"/>
      <c r="J85" s="78"/>
      <c r="K85" s="216"/>
      <c r="L85" s="216"/>
      <c r="M85" s="216"/>
      <c r="N85" s="216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1"/>
    </row>
    <row r="86" spans="1:21" ht="54" customHeight="1">
      <c r="A86" s="78"/>
      <c r="C86" s="79"/>
      <c r="D86" s="79"/>
      <c r="E86" s="79"/>
      <c r="F86" s="78"/>
      <c r="G86" s="78"/>
      <c r="H86" s="78"/>
      <c r="I86" s="78"/>
      <c r="J86" s="78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1"/>
    </row>
    <row r="87" spans="1:21">
      <c r="K87" s="171"/>
      <c r="L87" s="91"/>
      <c r="M87" s="91"/>
      <c r="N87" s="9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tabSelected="1" zoomScale="140" zoomScaleNormal="140" workbookViewId="0">
      <selection activeCell="J4" sqref="J4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1.6640625" customWidth="1"/>
    <col min="6" max="6" width="17.5546875" customWidth="1"/>
    <col min="7" max="7" width="14.5546875" customWidth="1"/>
    <col min="8" max="8" width="14.109375" customWidth="1"/>
  </cols>
  <sheetData>
    <row r="1" spans="1:8" ht="20.399999999999999">
      <c r="A1" s="226" t="s">
        <v>2331</v>
      </c>
      <c r="B1" s="227"/>
      <c r="C1" s="227"/>
      <c r="D1" s="227"/>
      <c r="E1" s="227"/>
      <c r="F1" s="227"/>
      <c r="G1" s="227"/>
      <c r="H1" s="228"/>
    </row>
    <row r="2" spans="1:8" ht="26.4">
      <c r="A2" s="104" t="s">
        <v>2332</v>
      </c>
      <c r="B2" s="105" t="s">
        <v>2974</v>
      </c>
      <c r="C2" s="106" t="s">
        <v>2333</v>
      </c>
      <c r="D2" s="229" t="s">
        <v>2975</v>
      </c>
      <c r="E2" s="230"/>
      <c r="F2" s="230"/>
      <c r="G2" s="218" t="s">
        <v>2334</v>
      </c>
      <c r="H2" s="219"/>
    </row>
    <row r="3" spans="1:8" ht="26.4">
      <c r="A3" s="108" t="s">
        <v>2335</v>
      </c>
      <c r="B3" s="109" t="s">
        <v>2976</v>
      </c>
      <c r="C3" s="110" t="s">
        <v>2336</v>
      </c>
      <c r="D3" s="229" t="s">
        <v>2977</v>
      </c>
      <c r="E3" s="230"/>
      <c r="F3" s="230"/>
      <c r="G3" s="220"/>
      <c r="H3" s="221"/>
    </row>
    <row r="4" spans="1:8">
      <c r="A4" s="108" t="s">
        <v>2337</v>
      </c>
      <c r="B4" s="105" t="s">
        <v>2978</v>
      </c>
      <c r="C4" s="111" t="s">
        <v>2338</v>
      </c>
      <c r="D4" s="107"/>
      <c r="E4" s="110" t="s">
        <v>2339</v>
      </c>
      <c r="F4" s="105"/>
      <c r="G4" s="120"/>
      <c r="H4" s="121" t="s">
        <v>2340</v>
      </c>
    </row>
    <row r="5" spans="1:8">
      <c r="A5" s="108" t="s">
        <v>2341</v>
      </c>
      <c r="B5" s="105" t="s">
        <v>2970</v>
      </c>
      <c r="C5" s="111" t="s">
        <v>2338</v>
      </c>
      <c r="D5" s="107"/>
      <c r="E5" s="110" t="s">
        <v>2339</v>
      </c>
      <c r="F5" s="105"/>
      <c r="G5" s="122"/>
      <c r="H5" s="121" t="s">
        <v>2342</v>
      </c>
    </row>
    <row r="6" spans="1:8">
      <c r="A6" s="108" t="s">
        <v>2343</v>
      </c>
      <c r="B6" s="231" t="s">
        <v>2971</v>
      </c>
      <c r="C6" s="232"/>
      <c r="D6" s="232"/>
      <c r="E6" s="232"/>
      <c r="F6" s="232"/>
      <c r="G6" s="123"/>
      <c r="H6" s="121" t="s">
        <v>2344</v>
      </c>
    </row>
    <row r="7" spans="1:8">
      <c r="A7" s="108" t="s">
        <v>2345</v>
      </c>
      <c r="B7" s="105" t="s">
        <v>2972</v>
      </c>
      <c r="C7" s="111" t="s">
        <v>2338</v>
      </c>
      <c r="D7" s="107">
        <v>13439154252</v>
      </c>
      <c r="E7" s="110" t="s">
        <v>2339</v>
      </c>
      <c r="F7" s="208" t="s">
        <v>2973</v>
      </c>
      <c r="G7" s="124"/>
      <c r="H7" s="121" t="s">
        <v>2346</v>
      </c>
    </row>
    <row r="8" spans="1:8" ht="17.399999999999999">
      <c r="A8" s="233" t="s">
        <v>2347</v>
      </c>
      <c r="B8" s="233"/>
      <c r="C8" s="233"/>
      <c r="D8" s="233"/>
      <c r="E8" s="233"/>
      <c r="F8" s="233"/>
      <c r="G8" s="233"/>
      <c r="H8" s="233"/>
    </row>
    <row r="9" spans="1:8">
      <c r="A9" s="112" t="s">
        <v>2348</v>
      </c>
      <c r="B9" s="112" t="s">
        <v>2262</v>
      </c>
      <c r="C9" s="113" t="s">
        <v>2349</v>
      </c>
      <c r="D9" s="113" t="s">
        <v>2350</v>
      </c>
      <c r="E9" s="125" t="s">
        <v>2351</v>
      </c>
      <c r="F9" s="125" t="s">
        <v>2352</v>
      </c>
      <c r="G9" s="113" t="s">
        <v>2276</v>
      </c>
      <c r="H9" s="126" t="s">
        <v>2353</v>
      </c>
    </row>
    <row r="10" spans="1:8">
      <c r="A10" s="114">
        <v>1</v>
      </c>
      <c r="B10" s="115" t="s">
        <v>2292</v>
      </c>
      <c r="C10" s="116">
        <f>'2.报价结算清单'!P4</f>
        <v>1590</v>
      </c>
      <c r="D10" s="117">
        <f>IFERROR(_xlfn.IFNA(C10/$C$17,""),"")</f>
        <v>1.3289769635634638E-3</v>
      </c>
      <c r="E10" s="116">
        <f>'2.报价结算清单'!Q4</f>
        <v>0</v>
      </c>
      <c r="F10" s="117" t="str">
        <f>IFERROR(_xlfn.IFNA(E10/$E$17,""),"")</f>
        <v/>
      </c>
      <c r="G10" s="116">
        <f t="shared" ref="G10:G14" si="0">IFERROR(E10-C10,"")</f>
        <v>-1590</v>
      </c>
      <c r="H10" s="127"/>
    </row>
    <row r="11" spans="1:8">
      <c r="A11" s="114">
        <v>2</v>
      </c>
      <c r="B11" s="115" t="s">
        <v>2294</v>
      </c>
      <c r="C11" s="116">
        <f>'2.报价结算清单'!P9</f>
        <v>14840</v>
      </c>
      <c r="D11" s="117">
        <f>IFERROR(_xlfn.IFNA(C11/$C$17,""),"")</f>
        <v>1.2403784993258993E-2</v>
      </c>
      <c r="E11" s="116">
        <f>'2.报价结算清单'!Q9</f>
        <v>0</v>
      </c>
      <c r="F11" s="117" t="str">
        <f>IFERROR(_xlfn.IFNA(E11/$E$17,""),"")</f>
        <v/>
      </c>
      <c r="G11" s="116">
        <f t="shared" si="0"/>
        <v>-14840</v>
      </c>
      <c r="H11" s="127"/>
    </row>
    <row r="12" spans="1:8">
      <c r="A12" s="114">
        <v>3</v>
      </c>
      <c r="B12" s="115" t="s">
        <v>2305</v>
      </c>
      <c r="C12" s="116">
        <f>'2.报价结算清单'!P30</f>
        <v>781348</v>
      </c>
      <c r="D12" s="117">
        <f>IFERROR(_xlfn.IFNA(C12/$C$17,""),"")</f>
        <v>0.65307766825558822</v>
      </c>
      <c r="E12" s="116">
        <f>'2.报价结算清单'!Q30</f>
        <v>0</v>
      </c>
      <c r="F12" s="117" t="str">
        <f>IFERROR(_xlfn.IFNA(E12/$E$17,""),"")</f>
        <v/>
      </c>
      <c r="G12" s="116">
        <f t="shared" si="0"/>
        <v>-781348</v>
      </c>
      <c r="H12" s="127"/>
    </row>
    <row r="13" spans="1:8">
      <c r="A13" s="114">
        <v>4</v>
      </c>
      <c r="B13" s="115" t="s">
        <v>2354</v>
      </c>
      <c r="C13" s="116">
        <f>'2.报价结算清单'!P34</f>
        <v>59148</v>
      </c>
      <c r="D13" s="117">
        <f>IFERROR(_xlfn.IFNA(C13/$C$17,""),"")</f>
        <v>4.9437943044560846E-2</v>
      </c>
      <c r="E13" s="116">
        <f>'2.报价结算清单'!Q34</f>
        <v>0</v>
      </c>
      <c r="F13" s="117" t="str">
        <f>IFERROR(_xlfn.IFNA(E13/$E$17,""),"")</f>
        <v/>
      </c>
      <c r="G13" s="116">
        <f t="shared" si="0"/>
        <v>-59148</v>
      </c>
      <c r="H13" s="127"/>
    </row>
    <row r="14" spans="1:8">
      <c r="A14" s="114">
        <v>5</v>
      </c>
      <c r="B14" s="115" t="s">
        <v>2355</v>
      </c>
      <c r="C14" s="116">
        <f>'2.报价结算清单'!P40</f>
        <v>270000</v>
      </c>
      <c r="D14" s="117">
        <f>IFERROR(_xlfn.IFNA(C14/$C$17,""),"")</f>
        <v>0.22567533343530516</v>
      </c>
      <c r="E14" s="116">
        <f>'2.报价结算清单'!Q40</f>
        <v>0</v>
      </c>
      <c r="F14" s="117" t="str">
        <f>IFERROR(_xlfn.IFNA(E14/$E$17,""),"")</f>
        <v/>
      </c>
      <c r="G14" s="116">
        <f t="shared" si="0"/>
        <v>-270000</v>
      </c>
      <c r="H14" s="127"/>
    </row>
    <row r="15" spans="1:8" ht="15">
      <c r="A15" s="222" t="s">
        <v>2356</v>
      </c>
      <c r="B15" s="223"/>
      <c r="C15" s="118">
        <v>0.06</v>
      </c>
      <c r="D15" s="118">
        <v>0.06</v>
      </c>
      <c r="E15" s="118">
        <v>0.06</v>
      </c>
      <c r="F15" s="118">
        <v>0.06</v>
      </c>
      <c r="G15" s="118">
        <v>0.06</v>
      </c>
      <c r="H15" s="118"/>
    </row>
    <row r="16" spans="1:8">
      <c r="A16" s="224" t="s">
        <v>2357</v>
      </c>
      <c r="B16" s="223"/>
      <c r="C16" s="119" t="str">
        <f>'2.报价结算清单'!J49</f>
        <v>0</v>
      </c>
      <c r="D16" s="117">
        <f>IFERROR(_xlfn.IFNA(C16/$C$18,""),"")</f>
        <v>0</v>
      </c>
      <c r="E16" s="119" t="str">
        <f>'2.报价结算清单'!K49</f>
        <v>0</v>
      </c>
      <c r="F16" s="117" t="str">
        <f>IFERROR(_xlfn.IFNA(E16/$E$18,""),"")</f>
        <v/>
      </c>
      <c r="G16" s="116">
        <f>IFERROR(E16-C16,"")</f>
        <v>0</v>
      </c>
      <c r="H16" s="127"/>
    </row>
    <row r="17" spans="1:8">
      <c r="A17" s="222" t="s">
        <v>2358</v>
      </c>
      <c r="B17" s="222"/>
      <c r="C17" s="119">
        <f>'2.报价结算清单'!P51</f>
        <v>1196409</v>
      </c>
      <c r="D17" s="117">
        <f>IFERROR(_xlfn.IFNA(C17/$C$18,""),"")</f>
        <v>1</v>
      </c>
      <c r="E17" s="119">
        <f>'2.报价结算清单'!Q51</f>
        <v>0</v>
      </c>
      <c r="F17" s="117" t="str">
        <f>IFERROR(_xlfn.IFNA(E17/$E$18,""),"")</f>
        <v/>
      </c>
      <c r="G17" s="116">
        <f>IFERROR(E17-C17,"")</f>
        <v>-1196409</v>
      </c>
      <c r="H17" s="127"/>
    </row>
    <row r="18" spans="1:8">
      <c r="A18" s="225" t="s">
        <v>2359</v>
      </c>
      <c r="B18" s="225"/>
      <c r="C18" s="217">
        <f>'2.报价结算清单'!P51</f>
        <v>1196409</v>
      </c>
      <c r="D18" s="217"/>
      <c r="E18" s="217">
        <f>'2.报价结算清单'!Q51</f>
        <v>0</v>
      </c>
      <c r="F18" s="217"/>
      <c r="G18" s="128">
        <f>IFERROR(E18-C18,"")</f>
        <v>-1196409</v>
      </c>
    </row>
    <row r="29" spans="1:8">
      <c r="D29" s="129"/>
    </row>
    <row r="30" spans="1:8">
      <c r="D30" s="12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7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D7E95257-1274-412C-AE08-C342C49574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55"/>
  <sheetViews>
    <sheetView zoomScale="70" zoomScaleNormal="70" workbookViewId="0">
      <selection activeCell="P49" sqref="P49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2.10937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77734375" style="26" customWidth="1"/>
    <col min="13" max="13" width="14" style="26" customWidth="1" outlineLevel="1"/>
    <col min="14" max="14" width="8.6640625" style="26" customWidth="1"/>
    <col min="15" max="15" width="8.6640625" style="26" customWidth="1" outlineLevel="1"/>
    <col min="16" max="16" width="30.5546875" style="27" customWidth="1"/>
    <col min="17" max="17" width="30.5546875" style="27" customWidth="1" outlineLevel="1"/>
    <col min="18" max="18" width="30.5546875" style="28" customWidth="1"/>
    <col min="19" max="20" width="10.33203125" style="29" customWidth="1"/>
    <col min="21" max="21" width="36.109375" style="21" customWidth="1"/>
    <col min="22" max="22" width="14.33203125" style="21" customWidth="1"/>
    <col min="23" max="23" width="10.77734375" style="21" bestFit="1" customWidth="1"/>
    <col min="24" max="24" width="9" style="21"/>
    <col min="25" max="25" width="9.88671875" style="21" customWidth="1"/>
    <col min="26" max="16384" width="9" style="21"/>
  </cols>
  <sheetData>
    <row r="1" spans="1:25" s="16" customFormat="1" ht="46.8">
      <c r="A1" s="30" t="s">
        <v>2360</v>
      </c>
      <c r="B1" s="30" t="s">
        <v>2361</v>
      </c>
      <c r="C1" s="30" t="s">
        <v>2362</v>
      </c>
      <c r="D1" s="30" t="s">
        <v>2363</v>
      </c>
      <c r="E1" s="37" t="s">
        <v>2364</v>
      </c>
      <c r="F1" s="38" t="s">
        <v>2264</v>
      </c>
      <c r="G1" s="39" t="s">
        <v>2365</v>
      </c>
      <c r="H1" s="30" t="s">
        <v>2366</v>
      </c>
      <c r="I1" s="30" t="s">
        <v>2367</v>
      </c>
      <c r="J1" s="44" t="s">
        <v>2368</v>
      </c>
      <c r="K1" s="45" t="s">
        <v>2369</v>
      </c>
      <c r="L1" s="46" t="s">
        <v>2370</v>
      </c>
      <c r="M1" s="51" t="s">
        <v>2371</v>
      </c>
      <c r="N1" s="46" t="s">
        <v>2372</v>
      </c>
      <c r="O1" s="51" t="s">
        <v>2373</v>
      </c>
      <c r="P1" s="52" t="s">
        <v>2374</v>
      </c>
      <c r="Q1" s="55" t="s">
        <v>2351</v>
      </c>
      <c r="R1" s="56" t="s">
        <v>2276</v>
      </c>
      <c r="S1" s="57" t="s">
        <v>2375</v>
      </c>
      <c r="T1" s="57" t="s">
        <v>2376</v>
      </c>
      <c r="U1" s="63" t="s">
        <v>2278</v>
      </c>
      <c r="V1" s="64" t="s">
        <v>2279</v>
      </c>
    </row>
    <row r="2" spans="1:25" s="19" customFormat="1" ht="45">
      <c r="A2" s="31" t="s">
        <v>2292</v>
      </c>
      <c r="B2" s="32" t="s">
        <v>2986</v>
      </c>
      <c r="C2" s="32" t="s">
        <v>2975</v>
      </c>
      <c r="D2" s="32" t="s">
        <v>2979</v>
      </c>
      <c r="E2" s="32" t="s">
        <v>2283</v>
      </c>
      <c r="F2" s="40" t="s">
        <v>2892</v>
      </c>
      <c r="G2" s="32" t="str">
        <f>_xlfn.IFNA(IF(VLOOKUP($F2,'3.框架内物料'!$A:$E,2,0)=0,"请勿填写",VLOOKUP($F2,'3.框架内物料'!$A:$E,2,0)),"")</f>
        <v>M939882702539182081</v>
      </c>
      <c r="H2" s="41" t="str">
        <f>_xlfn.IFNA(VLOOKUP($F2,'3.框架内物料'!$A:$E,4,0),"")</f>
        <v>第三方人员类-运营人员-服务人员-兼职人员-人员劳务费。不含住宿、交通、补贴等费用，每场不超过8小时
彩排按每人0.5场收费，含个税</v>
      </c>
      <c r="I2" s="32" t="str">
        <f>_xlfn.IFNA(VLOOKUP($F2,'3.框架内物料'!$A:$E,5,0),"")</f>
        <v>人/场</v>
      </c>
      <c r="J2" s="47">
        <f>_xlfn.IFNA(VLOOKUP($F2,'3.框架内物料'!$A:$F,6,0),"")</f>
        <v>318</v>
      </c>
      <c r="K2" s="47">
        <f>_xlfn.IFNA(VLOOKUP($F2,'3.框架内物料'!$A:$F,6,0),"")</f>
        <v>318</v>
      </c>
      <c r="L2" s="48">
        <v>1</v>
      </c>
      <c r="M2" s="48"/>
      <c r="N2" s="48">
        <v>5</v>
      </c>
      <c r="O2" s="48"/>
      <c r="P2" s="53">
        <f t="shared" ref="P2:Q2" si="0">IFERROR(N2*L2*J2,0)</f>
        <v>1590</v>
      </c>
      <c r="Q2" s="53">
        <f t="shared" si="0"/>
        <v>0</v>
      </c>
      <c r="R2" s="58">
        <f t="shared" ref="R2" si="1">Q2-P2</f>
        <v>-1590</v>
      </c>
      <c r="S2" s="59">
        <v>0.06</v>
      </c>
      <c r="T2" s="59">
        <v>0</v>
      </c>
      <c r="U2" s="68" t="s">
        <v>3017</v>
      </c>
      <c r="V2" s="65"/>
    </row>
    <row r="3" spans="1:25" s="18" customFormat="1" ht="17.399999999999999">
      <c r="A3" s="33"/>
      <c r="B3" s="34"/>
      <c r="C3" s="34"/>
      <c r="D3" s="34"/>
      <c r="E3" s="34"/>
      <c r="F3" s="42"/>
      <c r="G3" s="42"/>
      <c r="H3" s="42"/>
      <c r="I3" s="42"/>
      <c r="J3" s="49"/>
      <c r="K3" s="49"/>
      <c r="L3" s="42"/>
      <c r="M3" s="42"/>
      <c r="N3" s="42"/>
      <c r="O3" s="42"/>
      <c r="P3" s="234" t="s">
        <v>2293</v>
      </c>
      <c r="Q3" s="235"/>
      <c r="R3" s="236"/>
      <c r="S3" s="60"/>
      <c r="T3" s="60"/>
      <c r="U3" s="66"/>
      <c r="V3" s="66"/>
    </row>
    <row r="4" spans="1:25" s="18" customFormat="1" ht="17.399999999999999">
      <c r="A4" s="35"/>
      <c r="B4" s="36"/>
      <c r="C4" s="36"/>
      <c r="D4" s="36"/>
      <c r="E4" s="36"/>
      <c r="F4" s="43"/>
      <c r="G4" s="43"/>
      <c r="H4" s="43"/>
      <c r="I4" s="43"/>
      <c r="J4" s="50"/>
      <c r="K4" s="50"/>
      <c r="L4" s="43"/>
      <c r="M4" s="43"/>
      <c r="N4" s="43"/>
      <c r="O4" s="43"/>
      <c r="P4" s="54">
        <f>SUM(P2:P2)</f>
        <v>1590</v>
      </c>
      <c r="Q4" s="54">
        <f>SUM(Q2:Q2)</f>
        <v>0</v>
      </c>
      <c r="R4" s="54">
        <f>Q4-P4</f>
        <v>-1590</v>
      </c>
      <c r="S4" s="61"/>
      <c r="T4" s="62"/>
      <c r="U4" s="43"/>
      <c r="V4" s="67"/>
      <c r="W4" s="239"/>
    </row>
    <row r="5" spans="1:25" s="19" customFormat="1" ht="30">
      <c r="A5" s="31" t="s">
        <v>2294</v>
      </c>
      <c r="B5" s="32" t="s">
        <v>2986</v>
      </c>
      <c r="C5" s="32" t="s">
        <v>2975</v>
      </c>
      <c r="D5" s="202" t="s">
        <v>2948</v>
      </c>
      <c r="E5" s="32" t="s">
        <v>2283</v>
      </c>
      <c r="F5" s="40" t="s">
        <v>2894</v>
      </c>
      <c r="G5" s="32" t="str">
        <f>_xlfn.IFNA(IF(VLOOKUP($F5,'3.框架内物料'!$A:$E,2,0)=0,"请勿填写",VLOOKUP($F5,'3.框架内物料'!$A:$E,2,0)),"")</f>
        <v>M947580543391023106</v>
      </c>
      <c r="H5" s="41" t="str">
        <f>_xlfn.IFNA(VLOOKUP($F5,'3.框架内物料'!$A:$E,4,0),"")</f>
        <v>Onsite 人员-服务人员-项目总监-人员劳务费。不含住宿、交通、补贴等费用，每天不超过8小时</v>
      </c>
      <c r="I5" s="32" t="str">
        <f>_xlfn.IFNA(VLOOKUP($F5,'3.框架内物料'!$A:$E,5,0),"")</f>
        <v>人/天</v>
      </c>
      <c r="J5" s="47">
        <f>_xlfn.IFNA(VLOOKUP($F5,'3.框架内物料'!$A:$F,6,0),"")</f>
        <v>1060</v>
      </c>
      <c r="K5" s="47">
        <f>_xlfn.IFNA(VLOOKUP($F5,'3.框架内物料'!$A:$F,6,0),"")</f>
        <v>1060</v>
      </c>
      <c r="L5" s="48">
        <v>1</v>
      </c>
      <c r="M5" s="48"/>
      <c r="N5" s="48">
        <v>5</v>
      </c>
      <c r="O5" s="48"/>
      <c r="P5" s="53">
        <f t="shared" ref="P5" si="2">IFERROR(N5*L5*J5,0)</f>
        <v>5300</v>
      </c>
      <c r="Q5" s="53">
        <f t="shared" ref="Q5" si="3">IFERROR(O5*M5*K5,0)</f>
        <v>0</v>
      </c>
      <c r="R5" s="58">
        <f t="shared" ref="R5:R38" si="4">Q5-P5</f>
        <v>-5300</v>
      </c>
      <c r="S5" s="59">
        <v>0.06</v>
      </c>
      <c r="T5" s="59">
        <v>0</v>
      </c>
      <c r="U5" s="68" t="s">
        <v>3017</v>
      </c>
      <c r="V5" s="65"/>
    </row>
    <row r="6" spans="1:25" s="19" customFormat="1" ht="30">
      <c r="A6" s="31" t="s">
        <v>2294</v>
      </c>
      <c r="B6" s="32" t="s">
        <v>2986</v>
      </c>
      <c r="C6" s="32" t="s">
        <v>2975</v>
      </c>
      <c r="D6" s="202" t="s">
        <v>2948</v>
      </c>
      <c r="E6" s="32" t="s">
        <v>2283</v>
      </c>
      <c r="F6" s="40" t="s">
        <v>2896</v>
      </c>
      <c r="G6" s="32" t="str">
        <f>_xlfn.IFNA(IF(VLOOKUP($F6,'3.框架内物料'!$A:$E,2,0)=0,"请勿填写",VLOOKUP($F6,'3.框架内物料'!$A:$E,2,0)),"")</f>
        <v>M947580465840136193</v>
      </c>
      <c r="H6" s="41" t="str">
        <f>_xlfn.IFNA(VLOOKUP($F6,'3.框架内物料'!$A:$E,4,0),"")</f>
        <v>Onsite 人员-服务人员-项目经理-人员劳务费。不含住宿、交通、补贴等费用，每天不超过8小时</v>
      </c>
      <c r="I6" s="32" t="str">
        <f>_xlfn.IFNA(VLOOKUP($F6,'3.框架内物料'!$A:$E,5,0),"")</f>
        <v>人/天</v>
      </c>
      <c r="J6" s="47">
        <f>_xlfn.IFNA(VLOOKUP($F6,'3.框架内物料'!$A:$F,6,0),"")</f>
        <v>848</v>
      </c>
      <c r="K6" s="47">
        <f>_xlfn.IFNA(VLOOKUP($F6,'3.框架内物料'!$A:$F,6,0),"")</f>
        <v>848</v>
      </c>
      <c r="L6" s="48">
        <v>1</v>
      </c>
      <c r="M6" s="48"/>
      <c r="N6" s="48">
        <v>5</v>
      </c>
      <c r="O6" s="48"/>
      <c r="P6" s="53">
        <f t="shared" ref="P6" si="5">IFERROR(N6*L6*J6,0)</f>
        <v>4240</v>
      </c>
      <c r="Q6" s="53">
        <f t="shared" ref="Q6" si="6">IFERROR(O6*M6*K6,0)</f>
        <v>0</v>
      </c>
      <c r="R6" s="58">
        <f t="shared" ref="R6" si="7">Q6-P6</f>
        <v>-4240</v>
      </c>
      <c r="S6" s="59">
        <v>0.06</v>
      </c>
      <c r="T6" s="59">
        <v>0</v>
      </c>
      <c r="U6" s="68" t="s">
        <v>3017</v>
      </c>
      <c r="V6" s="65"/>
    </row>
    <row r="7" spans="1:25" s="19" customFormat="1" ht="30">
      <c r="A7" s="31" t="s">
        <v>2294</v>
      </c>
      <c r="B7" s="32" t="s">
        <v>2986</v>
      </c>
      <c r="C7" s="32" t="s">
        <v>2975</v>
      </c>
      <c r="D7" s="202" t="s">
        <v>2948</v>
      </c>
      <c r="E7" s="32" t="s">
        <v>2283</v>
      </c>
      <c r="F7" s="40" t="s">
        <v>2897</v>
      </c>
      <c r="G7" s="32" t="str">
        <f>_xlfn.IFNA(IF(VLOOKUP($F7,'3.框架内物料'!$A:$E,2,0)=0,"请勿填写",VLOOKUP($F7,'3.框架内物料'!$A:$E,2,0)),"")</f>
        <v>M939882641945305089</v>
      </c>
      <c r="H7" s="41" t="str">
        <f>_xlfn.IFNA(VLOOKUP($F7,'3.框架内物料'!$A:$E,4,0),"")</f>
        <v>Onsite 人员-服务人员-项目助理-人员劳务费。不含住宿、交通、补贴等费用，每天不超过8小时</v>
      </c>
      <c r="I7" s="32" t="str">
        <f>_xlfn.IFNA(VLOOKUP($F7,'3.框架内物料'!$A:$E,5,0),"")</f>
        <v>人/天</v>
      </c>
      <c r="J7" s="47">
        <f>_xlfn.IFNA(VLOOKUP($F7,'3.框架内物料'!$A:$F,6,0),"")</f>
        <v>530</v>
      </c>
      <c r="K7" s="47">
        <f>_xlfn.IFNA(VLOOKUP($F7,'3.框架内物料'!$A:$F,6,0),"")</f>
        <v>530</v>
      </c>
      <c r="L7" s="48">
        <v>2</v>
      </c>
      <c r="M7" s="48"/>
      <c r="N7" s="48">
        <v>5</v>
      </c>
      <c r="O7" s="48"/>
      <c r="P7" s="53">
        <f t="shared" ref="P7" si="8">IFERROR(N7*L7*J7,0)</f>
        <v>5300</v>
      </c>
      <c r="Q7" s="53">
        <f t="shared" ref="Q7" si="9">IFERROR(O7*M7*K7,0)</f>
        <v>0</v>
      </c>
      <c r="R7" s="58">
        <f t="shared" ref="R7" si="10">Q7-P7</f>
        <v>-5300</v>
      </c>
      <c r="S7" s="59">
        <v>0.06</v>
      </c>
      <c r="T7" s="59">
        <v>0</v>
      </c>
      <c r="U7" s="68" t="s">
        <v>3017</v>
      </c>
      <c r="V7" s="65"/>
    </row>
    <row r="8" spans="1:25" s="20" customFormat="1" ht="17.399999999999999">
      <c r="A8" s="33"/>
      <c r="B8" s="34"/>
      <c r="C8" s="34"/>
      <c r="D8" s="34"/>
      <c r="E8" s="34"/>
      <c r="F8" s="42"/>
      <c r="G8" s="42"/>
      <c r="H8" s="42"/>
      <c r="I8" s="42"/>
      <c r="J8" s="49"/>
      <c r="K8" s="49"/>
      <c r="L8" s="42"/>
      <c r="M8" s="42"/>
      <c r="N8" s="42"/>
      <c r="O8" s="42"/>
      <c r="P8" s="234" t="s">
        <v>2304</v>
      </c>
      <c r="Q8" s="235"/>
      <c r="R8" s="236"/>
      <c r="S8" s="60"/>
      <c r="T8" s="60"/>
      <c r="U8" s="66"/>
      <c r="V8" s="66"/>
      <c r="Y8" s="70"/>
    </row>
    <row r="9" spans="1:25" s="20" customFormat="1" ht="17.399999999999999">
      <c r="A9" s="35"/>
      <c r="B9" s="36"/>
      <c r="C9" s="36"/>
      <c r="D9" s="36"/>
      <c r="E9" s="36"/>
      <c r="F9" s="43"/>
      <c r="G9" s="43"/>
      <c r="H9" s="43"/>
      <c r="I9" s="43"/>
      <c r="J9" s="50"/>
      <c r="K9" s="50"/>
      <c r="L9" s="43"/>
      <c r="M9" s="43"/>
      <c r="N9" s="43"/>
      <c r="O9" s="43"/>
      <c r="P9" s="54">
        <f>SUM(P5:P7)</f>
        <v>14840</v>
      </c>
      <c r="Q9" s="54">
        <f>SUM(Q5:Q7)</f>
        <v>0</v>
      </c>
      <c r="R9" s="54">
        <f>Q9-P9</f>
        <v>-14840</v>
      </c>
      <c r="S9" s="61"/>
      <c r="T9" s="62"/>
      <c r="U9" s="43"/>
      <c r="V9" s="67"/>
      <c r="Y9" s="70"/>
    </row>
    <row r="10" spans="1:25" s="19" customFormat="1">
      <c r="A10" s="31" t="s">
        <v>2305</v>
      </c>
      <c r="B10" s="32" t="s">
        <v>2986</v>
      </c>
      <c r="C10" s="32" t="s">
        <v>2975</v>
      </c>
      <c r="D10" s="202" t="s">
        <v>2939</v>
      </c>
      <c r="E10" s="32" t="s">
        <v>2290</v>
      </c>
      <c r="F10" s="40"/>
      <c r="G10" s="32" t="str">
        <f>_xlfn.IFNA(IF(VLOOKUP($F10,'3.框架内物料'!$A:$E,2,0)=0,"请勿填写",VLOOKUP($F10,'3.框架内物料'!$A:$E,2,0)),"")</f>
        <v/>
      </c>
      <c r="H10" s="41" t="s">
        <v>2980</v>
      </c>
      <c r="I10" s="202" t="s">
        <v>2940</v>
      </c>
      <c r="J10" s="240" t="s">
        <v>2981</v>
      </c>
      <c r="K10" s="47" t="str">
        <f>_xlfn.IFNA(VLOOKUP($F10,'3.框架内物料'!$A:$F,6,0),"")</f>
        <v/>
      </c>
      <c r="L10" s="48">
        <v>80</v>
      </c>
      <c r="M10" s="48"/>
      <c r="N10" s="48">
        <v>2</v>
      </c>
      <c r="O10" s="48"/>
      <c r="P10" s="53">
        <f t="shared" ref="P10" si="11">IFERROR(N10*L10*J10,0)</f>
        <v>192000</v>
      </c>
      <c r="Q10" s="53">
        <f t="shared" ref="Q10" si="12">IFERROR(O10*M10*K10,0)</f>
        <v>0</v>
      </c>
      <c r="R10" s="58">
        <f t="shared" si="4"/>
        <v>-192000</v>
      </c>
      <c r="S10" s="59">
        <v>0</v>
      </c>
      <c r="T10" s="59">
        <v>0</v>
      </c>
      <c r="U10" s="68"/>
      <c r="V10" s="65"/>
    </row>
    <row r="11" spans="1:25" s="19" customFormat="1">
      <c r="A11" s="31" t="s">
        <v>2305</v>
      </c>
      <c r="B11" s="32" t="s">
        <v>2986</v>
      </c>
      <c r="C11" s="32" t="s">
        <v>2975</v>
      </c>
      <c r="D11" s="202" t="s">
        <v>2939</v>
      </c>
      <c r="E11" s="32" t="s">
        <v>2290</v>
      </c>
      <c r="F11" s="40"/>
      <c r="G11" s="32" t="str">
        <f>_xlfn.IFNA(IF(VLOOKUP($F11,'3.框架内物料'!$A:$E,2,0)=0,"请勿填写",VLOOKUP($F11,'3.框架内物料'!$A:$E,2,0)),"")</f>
        <v/>
      </c>
      <c r="H11" s="41" t="s">
        <v>2982</v>
      </c>
      <c r="I11" s="202" t="s">
        <v>2940</v>
      </c>
      <c r="J11" s="240" t="s">
        <v>2981</v>
      </c>
      <c r="K11" s="47" t="str">
        <f>_xlfn.IFNA(VLOOKUP($F11,'3.框架内物料'!$A:$F,6,0),"")</f>
        <v/>
      </c>
      <c r="L11" s="48">
        <v>49</v>
      </c>
      <c r="M11" s="48"/>
      <c r="N11" s="48">
        <v>3</v>
      </c>
      <c r="O11" s="48"/>
      <c r="P11" s="53">
        <f t="shared" ref="P11" si="13">IFERROR(N11*L11*J11,0)</f>
        <v>176400</v>
      </c>
      <c r="Q11" s="53">
        <f t="shared" ref="Q11" si="14">IFERROR(O11*M11*K11,0)</f>
        <v>0</v>
      </c>
      <c r="R11" s="58">
        <f t="shared" ref="R11" si="15">Q11-P11</f>
        <v>-176400</v>
      </c>
      <c r="S11" s="59">
        <v>0</v>
      </c>
      <c r="T11" s="59">
        <v>0</v>
      </c>
      <c r="U11" s="68"/>
      <c r="V11" s="65"/>
    </row>
    <row r="12" spans="1:25" s="19" customFormat="1">
      <c r="A12" s="31" t="s">
        <v>2305</v>
      </c>
      <c r="B12" s="32" t="s">
        <v>2986</v>
      </c>
      <c r="C12" s="32" t="s">
        <v>2975</v>
      </c>
      <c r="D12" s="202" t="s">
        <v>2941</v>
      </c>
      <c r="E12" s="32" t="s">
        <v>2290</v>
      </c>
      <c r="F12" s="40"/>
      <c r="G12" s="32" t="str">
        <f>_xlfn.IFNA(IF(VLOOKUP($F12,'3.框架内物料'!$A:$E,2,0)=0,"请勿填写",VLOOKUP($F12,'3.框架内物料'!$A:$E,2,0)),"")</f>
        <v/>
      </c>
      <c r="H12" s="41" t="s">
        <v>2983</v>
      </c>
      <c r="I12" s="202" t="s">
        <v>2940</v>
      </c>
      <c r="J12" s="240" t="s">
        <v>2981</v>
      </c>
      <c r="K12" s="47" t="str">
        <f>_xlfn.IFNA(VLOOKUP($F12,'3.框架内物料'!$A:$F,6,0),"")</f>
        <v/>
      </c>
      <c r="L12" s="48">
        <v>20</v>
      </c>
      <c r="M12" s="48"/>
      <c r="N12" s="48">
        <v>4</v>
      </c>
      <c r="O12" s="48"/>
      <c r="P12" s="53">
        <f t="shared" ref="P12" si="16">IFERROR(N12*L12*J12,0)</f>
        <v>96000</v>
      </c>
      <c r="Q12" s="53">
        <f t="shared" ref="Q12" si="17">IFERROR(O12*M12*K12,0)</f>
        <v>0</v>
      </c>
      <c r="R12" s="58">
        <f t="shared" ref="R12" si="18">Q12-P12</f>
        <v>-96000</v>
      </c>
      <c r="S12" s="59">
        <v>0</v>
      </c>
      <c r="T12" s="59">
        <v>0</v>
      </c>
      <c r="U12" s="68"/>
      <c r="V12" s="65"/>
    </row>
    <row r="13" spans="1:25" s="19" customFormat="1">
      <c r="A13" s="31" t="s">
        <v>2305</v>
      </c>
      <c r="B13" s="32" t="s">
        <v>2986</v>
      </c>
      <c r="C13" s="32" t="s">
        <v>2975</v>
      </c>
      <c r="D13" s="202" t="s">
        <v>2942</v>
      </c>
      <c r="E13" s="32" t="s">
        <v>2290</v>
      </c>
      <c r="F13" s="40"/>
      <c r="G13" s="32" t="str">
        <f>_xlfn.IFNA(IF(VLOOKUP($F13,'3.框架内物料'!$A:$E,2,0)=0,"请勿填写",VLOOKUP($F13,'3.框架内物料'!$A:$E,2,0)),"")</f>
        <v/>
      </c>
      <c r="H13" s="41" t="s">
        <v>2984</v>
      </c>
      <c r="I13" s="202" t="s">
        <v>2940</v>
      </c>
      <c r="J13" s="240" t="s">
        <v>2985</v>
      </c>
      <c r="K13" s="47" t="str">
        <f>_xlfn.IFNA(VLOOKUP($F13,'3.框架内物料'!$A:$F,6,0),"")</f>
        <v/>
      </c>
      <c r="L13" s="48">
        <v>1</v>
      </c>
      <c r="M13" s="48"/>
      <c r="N13" s="48">
        <v>3</v>
      </c>
      <c r="O13" s="48"/>
      <c r="P13" s="53">
        <f t="shared" ref="P13:P14" si="19">IFERROR(N13*L13*J13,0)</f>
        <v>10800</v>
      </c>
      <c r="Q13" s="53">
        <f t="shared" ref="Q13:Q14" si="20">IFERROR(O13*M13*K13,0)</f>
        <v>0</v>
      </c>
      <c r="R13" s="58">
        <f t="shared" ref="R13:R14" si="21">Q13-P13</f>
        <v>-10800</v>
      </c>
      <c r="S13" s="59">
        <v>0</v>
      </c>
      <c r="T13" s="59">
        <v>0</v>
      </c>
      <c r="U13" s="68"/>
      <c r="V13" s="65"/>
    </row>
    <row r="14" spans="1:25" s="19" customFormat="1">
      <c r="A14" s="31" t="s">
        <v>2305</v>
      </c>
      <c r="B14" s="32" t="s">
        <v>2986</v>
      </c>
      <c r="C14" s="32" t="s">
        <v>2975</v>
      </c>
      <c r="D14" s="32" t="s">
        <v>2987</v>
      </c>
      <c r="E14" s="32" t="s">
        <v>2290</v>
      </c>
      <c r="F14" s="40"/>
      <c r="G14" s="32" t="str">
        <f>_xlfn.IFNA(IF(VLOOKUP($F14,'3.框架内物料'!$A:$E,2,0)=0,"请勿填写",VLOOKUP($F14,'3.框架内物料'!$A:$E,2,0)),"")</f>
        <v/>
      </c>
      <c r="H14" s="41" t="s">
        <v>2988</v>
      </c>
      <c r="I14" s="32" t="s">
        <v>2989</v>
      </c>
      <c r="J14" s="240" t="s">
        <v>2990</v>
      </c>
      <c r="K14" s="47" t="str">
        <f>_xlfn.IFNA(VLOOKUP($F14,'3.框架内物料'!$A:$F,6,0),"")</f>
        <v/>
      </c>
      <c r="L14" s="48">
        <v>150</v>
      </c>
      <c r="M14" s="48"/>
      <c r="N14" s="48">
        <v>1</v>
      </c>
      <c r="O14" s="48"/>
      <c r="P14" s="53">
        <f t="shared" si="19"/>
        <v>3180</v>
      </c>
      <c r="Q14" s="53">
        <f t="shared" si="20"/>
        <v>0</v>
      </c>
      <c r="R14" s="58">
        <f t="shared" si="21"/>
        <v>-3180</v>
      </c>
      <c r="S14" s="59">
        <v>0.06</v>
      </c>
      <c r="T14" s="59">
        <v>0</v>
      </c>
      <c r="U14" s="68"/>
      <c r="V14" s="65"/>
    </row>
    <row r="15" spans="1:25" s="19" customFormat="1">
      <c r="A15" s="31" t="s">
        <v>2305</v>
      </c>
      <c r="B15" s="32" t="s">
        <v>2986</v>
      </c>
      <c r="C15" s="32" t="s">
        <v>2975</v>
      </c>
      <c r="D15" s="202" t="s">
        <v>2950</v>
      </c>
      <c r="E15" s="32" t="s">
        <v>2290</v>
      </c>
      <c r="F15" s="40"/>
      <c r="G15" s="32" t="str">
        <f>_xlfn.IFNA(IF(VLOOKUP($F15,'3.框架内物料'!$A:$E,2,0)=0,"请勿填写",VLOOKUP($F15,'3.框架内物料'!$A:$E,2,0)),"")</f>
        <v/>
      </c>
      <c r="H15" s="41" t="s">
        <v>3003</v>
      </c>
      <c r="I15" s="32" t="s">
        <v>2967</v>
      </c>
      <c r="J15" s="241" t="s">
        <v>2963</v>
      </c>
      <c r="K15" s="47" t="str">
        <f>_xlfn.IFNA(VLOOKUP($F15,'3.框架内物料'!$A:$F,6,0),"")</f>
        <v/>
      </c>
      <c r="L15" s="48">
        <v>80</v>
      </c>
      <c r="M15" s="48"/>
      <c r="N15" s="48">
        <v>1</v>
      </c>
      <c r="O15" s="48"/>
      <c r="P15" s="53">
        <f t="shared" ref="P15" si="22">IFERROR(N15*L15*J15,0)</f>
        <v>8310.4</v>
      </c>
      <c r="Q15" s="53">
        <f t="shared" ref="Q15" si="23">IFERROR(O15*M15*K15,0)</f>
        <v>0</v>
      </c>
      <c r="R15" s="58">
        <f t="shared" ref="R15" si="24">Q15-P15</f>
        <v>-8310.4</v>
      </c>
      <c r="S15" s="59">
        <v>0.06</v>
      </c>
      <c r="T15" s="59">
        <v>0</v>
      </c>
      <c r="U15" s="68"/>
      <c r="V15" s="65"/>
    </row>
    <row r="16" spans="1:25" s="19" customFormat="1">
      <c r="A16" s="31" t="s">
        <v>2305</v>
      </c>
      <c r="B16" s="32" t="s">
        <v>2986</v>
      </c>
      <c r="C16" s="32" t="s">
        <v>2975</v>
      </c>
      <c r="D16" s="32" t="s">
        <v>2950</v>
      </c>
      <c r="E16" s="32" t="s">
        <v>2290</v>
      </c>
      <c r="F16" s="40"/>
      <c r="G16" s="32" t="str">
        <f>_xlfn.IFNA(IF(VLOOKUP($F16,'3.框架内物料'!$A:$E,2,0)=0,"请勿填写",VLOOKUP($F16,'3.框架内物料'!$A:$E,2,0)),"")</f>
        <v/>
      </c>
      <c r="H16" s="41" t="s">
        <v>3004</v>
      </c>
      <c r="I16" s="32" t="s">
        <v>2967</v>
      </c>
      <c r="J16" s="241" t="s">
        <v>2963</v>
      </c>
      <c r="K16" s="47" t="str">
        <f>_xlfn.IFNA(VLOOKUP($F16,'3.框架内物料'!$A:$F,6,0),"")</f>
        <v/>
      </c>
      <c r="L16" s="48">
        <v>25</v>
      </c>
      <c r="M16" s="48"/>
      <c r="N16" s="48">
        <v>2</v>
      </c>
      <c r="O16" s="48"/>
      <c r="P16" s="53">
        <f t="shared" ref="P16" si="25">IFERROR(N16*L16*J16,0)</f>
        <v>5194</v>
      </c>
      <c r="Q16" s="53">
        <f t="shared" ref="Q16" si="26">IFERROR(O16*M16*K16,0)</f>
        <v>0</v>
      </c>
      <c r="R16" s="58">
        <f t="shared" ref="R16" si="27">Q16-P16</f>
        <v>-5194</v>
      </c>
      <c r="S16" s="59">
        <v>0.06</v>
      </c>
      <c r="T16" s="59">
        <v>0</v>
      </c>
      <c r="U16" s="68"/>
      <c r="V16" s="65"/>
    </row>
    <row r="17" spans="1:22" s="19" customFormat="1">
      <c r="A17" s="31" t="s">
        <v>2305</v>
      </c>
      <c r="B17" s="32" t="s">
        <v>2986</v>
      </c>
      <c r="C17" s="32" t="s">
        <v>2975</v>
      </c>
      <c r="D17" s="202" t="s">
        <v>2951</v>
      </c>
      <c r="E17" s="32" t="s">
        <v>2290</v>
      </c>
      <c r="F17" s="40"/>
      <c r="G17" s="32" t="str">
        <f>_xlfn.IFNA(IF(VLOOKUP($F17,'3.框架内物料'!$A:$E,2,0)=0,"请勿填写",VLOOKUP($F17,'3.框架内物料'!$A:$E,2,0)),"")</f>
        <v/>
      </c>
      <c r="H17" s="41" t="s">
        <v>3001</v>
      </c>
      <c r="I17" s="32" t="s">
        <v>2967</v>
      </c>
      <c r="J17" s="240" t="s">
        <v>3002</v>
      </c>
      <c r="K17" s="47" t="str">
        <f>_xlfn.IFNA(VLOOKUP($F17,'3.框架内物料'!$A:$F,6,0),"")</f>
        <v/>
      </c>
      <c r="L17" s="48">
        <v>200</v>
      </c>
      <c r="M17" s="48"/>
      <c r="N17" s="48">
        <v>1</v>
      </c>
      <c r="O17" s="48"/>
      <c r="P17" s="53">
        <f t="shared" ref="P17" si="28">IFERROR(N17*L17*J17,0)</f>
        <v>52576</v>
      </c>
      <c r="Q17" s="53">
        <f t="shared" ref="Q17" si="29">IFERROR(O17*M17*K17,0)</f>
        <v>0</v>
      </c>
      <c r="R17" s="58">
        <f t="shared" ref="R17" si="30">Q17-P17</f>
        <v>-52576</v>
      </c>
      <c r="S17" s="59">
        <v>0.06</v>
      </c>
      <c r="T17" s="59">
        <v>0</v>
      </c>
      <c r="U17" s="68"/>
      <c r="V17" s="65"/>
    </row>
    <row r="18" spans="1:22" s="19" customFormat="1">
      <c r="A18" s="31" t="s">
        <v>2305</v>
      </c>
      <c r="B18" s="32" t="s">
        <v>2986</v>
      </c>
      <c r="C18" s="32" t="s">
        <v>2975</v>
      </c>
      <c r="D18" s="202" t="s">
        <v>2952</v>
      </c>
      <c r="E18" s="32" t="s">
        <v>2290</v>
      </c>
      <c r="F18" s="40"/>
      <c r="G18" s="32" t="str">
        <f>_xlfn.IFNA(IF(VLOOKUP($F18,'3.框架内物料'!$A:$E,2,0)=0,"请勿填写",VLOOKUP($F18,'3.框架内物料'!$A:$E,2,0)),"")</f>
        <v/>
      </c>
      <c r="H18" s="41" t="s">
        <v>2998</v>
      </c>
      <c r="I18" s="32" t="s">
        <v>2967</v>
      </c>
      <c r="J18" s="240" t="s">
        <v>2999</v>
      </c>
      <c r="K18" s="47" t="str">
        <f>_xlfn.IFNA(VLOOKUP($F18,'3.框架内物料'!$A:$F,6,0),"")</f>
        <v/>
      </c>
      <c r="L18" s="48">
        <v>22</v>
      </c>
      <c r="M18" s="48"/>
      <c r="N18" s="48">
        <v>1</v>
      </c>
      <c r="O18" s="48"/>
      <c r="P18" s="53">
        <f t="shared" ref="P18" si="31">IFERROR(N18*L18*J18,0)</f>
        <v>93280</v>
      </c>
      <c r="Q18" s="53">
        <f t="shared" ref="Q18" si="32">IFERROR(O18*M18*K18,0)</f>
        <v>0</v>
      </c>
      <c r="R18" s="58">
        <f t="shared" ref="R18" si="33">Q18-P18</f>
        <v>-93280</v>
      </c>
      <c r="S18" s="59">
        <v>0.06</v>
      </c>
      <c r="T18" s="59">
        <v>0</v>
      </c>
      <c r="U18" s="68"/>
      <c r="V18" s="65"/>
    </row>
    <row r="19" spans="1:22" s="19" customFormat="1">
      <c r="A19" s="31" t="s">
        <v>2305</v>
      </c>
      <c r="B19" s="32" t="s">
        <v>2986</v>
      </c>
      <c r="C19" s="32" t="s">
        <v>2975</v>
      </c>
      <c r="D19" s="202" t="s">
        <v>2953</v>
      </c>
      <c r="E19" s="32" t="s">
        <v>2290</v>
      </c>
      <c r="F19" s="40"/>
      <c r="G19" s="32" t="str">
        <f>_xlfn.IFNA(IF(VLOOKUP($F19,'3.框架内物料'!$A:$E,2,0)=0,"请勿填写",VLOOKUP($F19,'3.框架内物料'!$A:$E,2,0)),"")</f>
        <v/>
      </c>
      <c r="H19" s="41" t="s">
        <v>3006</v>
      </c>
      <c r="I19" s="32" t="s">
        <v>2967</v>
      </c>
      <c r="J19" s="240" t="s">
        <v>3005</v>
      </c>
      <c r="K19" s="47" t="str">
        <f>_xlfn.IFNA(VLOOKUP($F19,'3.框架内物料'!$A:$F,6,0),"")</f>
        <v/>
      </c>
      <c r="L19" s="48">
        <v>20</v>
      </c>
      <c r="M19" s="48"/>
      <c r="N19" s="48">
        <v>1</v>
      </c>
      <c r="O19" s="48"/>
      <c r="P19" s="53">
        <f t="shared" ref="P19" si="34">IFERROR(N19*L19*J19,0)</f>
        <v>14585.599999999999</v>
      </c>
      <c r="Q19" s="53">
        <f t="shared" ref="Q19" si="35">IFERROR(O19*M19*K19,0)</f>
        <v>0</v>
      </c>
      <c r="R19" s="58">
        <f t="shared" ref="R19" si="36">Q19-P19</f>
        <v>-14585.599999999999</v>
      </c>
      <c r="S19" s="59">
        <v>0.06</v>
      </c>
      <c r="T19" s="59">
        <v>0</v>
      </c>
      <c r="U19" s="68"/>
      <c r="V19" s="65"/>
    </row>
    <row r="20" spans="1:22" s="19" customFormat="1">
      <c r="A20" s="31" t="s">
        <v>2305</v>
      </c>
      <c r="B20" s="32" t="s">
        <v>2986</v>
      </c>
      <c r="C20" s="32" t="s">
        <v>2975</v>
      </c>
      <c r="D20" s="202" t="s">
        <v>2953</v>
      </c>
      <c r="E20" s="32" t="s">
        <v>2290</v>
      </c>
      <c r="F20" s="40"/>
      <c r="G20" s="32" t="str">
        <f>_xlfn.IFNA(IF(VLOOKUP($F20,'3.框架内物料'!$A:$E,2,0)=0,"请勿填写",VLOOKUP($F20,'3.框架内物料'!$A:$E,2,0)),"")</f>
        <v/>
      </c>
      <c r="H20" s="41" t="s">
        <v>3007</v>
      </c>
      <c r="I20" s="32" t="s">
        <v>2967</v>
      </c>
      <c r="J20" s="240" t="s">
        <v>3008</v>
      </c>
      <c r="K20" s="47" t="str">
        <f>_xlfn.IFNA(VLOOKUP($F20,'3.框架内物料'!$A:$F,6,0),"")</f>
        <v/>
      </c>
      <c r="L20" s="48">
        <v>50</v>
      </c>
      <c r="M20" s="48"/>
      <c r="N20" s="48">
        <v>1</v>
      </c>
      <c r="O20" s="48"/>
      <c r="P20" s="53">
        <f t="shared" ref="P20" si="37">IFERROR(N20*L20*J20,0)</f>
        <v>12614</v>
      </c>
      <c r="Q20" s="53">
        <f t="shared" ref="Q20" si="38">IFERROR(O20*M20*K20,0)</f>
        <v>0</v>
      </c>
      <c r="R20" s="58">
        <f t="shared" ref="R20" si="39">Q20-P20</f>
        <v>-12614</v>
      </c>
      <c r="S20" s="59">
        <v>0.06</v>
      </c>
      <c r="T20" s="59">
        <v>0</v>
      </c>
      <c r="U20" s="68"/>
      <c r="V20" s="65"/>
    </row>
    <row r="21" spans="1:22" s="19" customFormat="1">
      <c r="A21" s="31" t="s">
        <v>2305</v>
      </c>
      <c r="B21" s="32" t="s">
        <v>2986</v>
      </c>
      <c r="C21" s="32" t="s">
        <v>2975</v>
      </c>
      <c r="D21" s="32" t="s">
        <v>2952</v>
      </c>
      <c r="E21" s="32" t="s">
        <v>2290</v>
      </c>
      <c r="F21" s="40"/>
      <c r="G21" s="32" t="str">
        <f>_xlfn.IFNA(IF(VLOOKUP($F21,'3.框架内物料'!$A:$E,2,0)=0,"请勿填写",VLOOKUP($F21,'3.框架内物料'!$A:$E,2,0)),"")</f>
        <v/>
      </c>
      <c r="H21" s="41" t="s">
        <v>3009</v>
      </c>
      <c r="I21" s="32" t="s">
        <v>2967</v>
      </c>
      <c r="J21" s="240" t="s">
        <v>3005</v>
      </c>
      <c r="K21" s="47" t="str">
        <f>_xlfn.IFNA(VLOOKUP($F21,'3.框架内物料'!$A:$F,6,0),"")</f>
        <v/>
      </c>
      <c r="L21" s="48">
        <v>50</v>
      </c>
      <c r="M21" s="48"/>
      <c r="N21" s="48">
        <v>1</v>
      </c>
      <c r="O21" s="48"/>
      <c r="P21" s="53">
        <f t="shared" ref="P21" si="40">IFERROR(N21*L21*J21,0)</f>
        <v>36464</v>
      </c>
      <c r="Q21" s="53">
        <f t="shared" ref="Q21" si="41">IFERROR(O21*M21*K21,0)</f>
        <v>0</v>
      </c>
      <c r="R21" s="58">
        <f t="shared" ref="R21" si="42">Q21-P21</f>
        <v>-36464</v>
      </c>
      <c r="S21" s="59">
        <v>0.06</v>
      </c>
      <c r="T21" s="59">
        <v>0</v>
      </c>
      <c r="U21" s="68"/>
      <c r="V21" s="65"/>
    </row>
    <row r="22" spans="1:22" s="19" customFormat="1">
      <c r="A22" s="31" t="s">
        <v>2305</v>
      </c>
      <c r="B22" s="32" t="s">
        <v>2986</v>
      </c>
      <c r="C22" s="32" t="s">
        <v>2975</v>
      </c>
      <c r="D22" s="202" t="s">
        <v>2954</v>
      </c>
      <c r="E22" s="32" t="s">
        <v>2290</v>
      </c>
      <c r="F22" s="40"/>
      <c r="G22" s="32" t="str">
        <f>_xlfn.IFNA(IF(VLOOKUP($F22,'3.框架内物料'!$A:$E,2,0)=0,"请勿填写",VLOOKUP($F22,'3.框架内物料'!$A:$E,2,0)),"")</f>
        <v/>
      </c>
      <c r="H22" s="41" t="s">
        <v>3016</v>
      </c>
      <c r="I22" s="32" t="s">
        <v>2969</v>
      </c>
      <c r="J22" s="47" t="s">
        <v>3021</v>
      </c>
      <c r="K22" s="47" t="str">
        <f>_xlfn.IFNA(VLOOKUP($F22,'3.框架内物料'!$A:$F,6,0),"")</f>
        <v/>
      </c>
      <c r="L22" s="48">
        <v>30</v>
      </c>
      <c r="M22" s="48"/>
      <c r="N22" s="48">
        <v>4</v>
      </c>
      <c r="O22" s="48"/>
      <c r="P22" s="53">
        <f t="shared" ref="P22:P23" si="43">IFERROR(N22*L22*J22,0)</f>
        <v>22896</v>
      </c>
      <c r="Q22" s="53">
        <f t="shared" ref="Q22:Q23" si="44">IFERROR(O22*M22*K22,0)</f>
        <v>0</v>
      </c>
      <c r="R22" s="58">
        <f t="shared" ref="R22:R23" si="45">Q22-P22</f>
        <v>-22896</v>
      </c>
      <c r="S22" s="59">
        <v>0.06</v>
      </c>
      <c r="T22" s="59">
        <v>0</v>
      </c>
      <c r="U22" s="68"/>
      <c r="V22" s="65"/>
    </row>
    <row r="23" spans="1:22" s="19" customFormat="1">
      <c r="A23" s="31" t="s">
        <v>2305</v>
      </c>
      <c r="B23" s="32" t="s">
        <v>2986</v>
      </c>
      <c r="C23" s="32" t="s">
        <v>2975</v>
      </c>
      <c r="D23" s="32" t="s">
        <v>3018</v>
      </c>
      <c r="E23" s="32" t="s">
        <v>2290</v>
      </c>
      <c r="F23" s="40"/>
      <c r="G23" s="32" t="str">
        <f>_xlfn.IFNA(IF(VLOOKUP($F23,'3.框架内物料'!$A:$E,2,0)=0,"请勿填写",VLOOKUP($F23,'3.框架内物料'!$A:$E,2,0)),"")</f>
        <v/>
      </c>
      <c r="H23" s="41" t="s">
        <v>3023</v>
      </c>
      <c r="I23" s="32" t="s">
        <v>2968</v>
      </c>
      <c r="J23" s="240" t="s">
        <v>3022</v>
      </c>
      <c r="K23" s="47" t="str">
        <f>_xlfn.IFNA(VLOOKUP($F23,'3.框架内物料'!$A:$F,6,0),"")</f>
        <v/>
      </c>
      <c r="L23" s="48">
        <v>2</v>
      </c>
      <c r="M23" s="48"/>
      <c r="N23" s="48">
        <v>1</v>
      </c>
      <c r="O23" s="48"/>
      <c r="P23" s="53">
        <f t="shared" si="43"/>
        <v>16960</v>
      </c>
      <c r="Q23" s="53">
        <f t="shared" si="44"/>
        <v>0</v>
      </c>
      <c r="R23" s="58">
        <f t="shared" si="45"/>
        <v>-16960</v>
      </c>
      <c r="S23" s="59">
        <v>0.06</v>
      </c>
      <c r="T23" s="59">
        <v>0</v>
      </c>
      <c r="U23" s="68"/>
      <c r="V23" s="65"/>
    </row>
    <row r="24" spans="1:22" s="19" customFormat="1" ht="30">
      <c r="A24" s="31" t="s">
        <v>2305</v>
      </c>
      <c r="B24" s="32" t="s">
        <v>2986</v>
      </c>
      <c r="C24" s="32" t="s">
        <v>2975</v>
      </c>
      <c r="D24" s="202" t="s">
        <v>2949</v>
      </c>
      <c r="E24" s="32" t="s">
        <v>2290</v>
      </c>
      <c r="F24" s="40"/>
      <c r="G24" s="32" t="str">
        <f>_xlfn.IFNA(IF(VLOOKUP($F24,'3.框架内物料'!$A:$E,2,0)=0,"请勿填写",VLOOKUP($F24,'3.框架内物料'!$A:$E,2,0)),"")</f>
        <v/>
      </c>
      <c r="H24" s="41" t="s">
        <v>3011</v>
      </c>
      <c r="I24" s="32" t="s">
        <v>2968</v>
      </c>
      <c r="J24" s="240" t="s">
        <v>3024</v>
      </c>
      <c r="K24" s="47" t="str">
        <f>_xlfn.IFNA(VLOOKUP($F24,'3.框架内物料'!$A:$F,6,0),"")</f>
        <v/>
      </c>
      <c r="L24" s="48">
        <v>4</v>
      </c>
      <c r="M24" s="48"/>
      <c r="N24" s="48">
        <v>2</v>
      </c>
      <c r="O24" s="48"/>
      <c r="P24" s="53">
        <f t="shared" ref="P24:P25" si="46">IFERROR(N24*L24*J24,0)</f>
        <v>24592</v>
      </c>
      <c r="Q24" s="53">
        <f t="shared" ref="Q24:Q25" si="47">IFERROR(O24*M24*K24,0)</f>
        <v>0</v>
      </c>
      <c r="R24" s="58">
        <f t="shared" ref="R24:R25" si="48">Q24-P24</f>
        <v>-24592</v>
      </c>
      <c r="S24" s="59">
        <v>0.06</v>
      </c>
      <c r="T24" s="59">
        <v>0</v>
      </c>
      <c r="U24" s="68"/>
      <c r="V24" s="65"/>
    </row>
    <row r="25" spans="1:22" s="19" customFormat="1">
      <c r="A25" s="31" t="s">
        <v>2305</v>
      </c>
      <c r="B25" s="32" t="s">
        <v>2986</v>
      </c>
      <c r="C25" s="32" t="s">
        <v>2975</v>
      </c>
      <c r="D25" s="32" t="s">
        <v>2965</v>
      </c>
      <c r="E25" s="32" t="s">
        <v>2290</v>
      </c>
      <c r="F25" s="40"/>
      <c r="G25" s="32" t="str">
        <f>_xlfn.IFNA(IF(VLOOKUP($F25,'3.框架内物料'!$A:$E,2,0)=0,"请勿填写",VLOOKUP($F25,'3.框架内物料'!$A:$E,2,0)),"")</f>
        <v/>
      </c>
      <c r="H25" s="41" t="s">
        <v>3012</v>
      </c>
      <c r="I25" s="202" t="s">
        <v>2940</v>
      </c>
      <c r="J25" s="240" t="s">
        <v>2966</v>
      </c>
      <c r="K25" s="47" t="str">
        <f>_xlfn.IFNA(VLOOKUP($F25,'3.框架内物料'!$A:$F,6,0),"")</f>
        <v/>
      </c>
      <c r="L25" s="48">
        <v>4</v>
      </c>
      <c r="M25" s="48"/>
      <c r="N25" s="48">
        <v>2</v>
      </c>
      <c r="O25" s="48"/>
      <c r="P25" s="53">
        <f t="shared" si="46"/>
        <v>3200</v>
      </c>
      <c r="Q25" s="53">
        <f t="shared" si="47"/>
        <v>0</v>
      </c>
      <c r="R25" s="58">
        <f t="shared" si="48"/>
        <v>-3200</v>
      </c>
      <c r="S25" s="59">
        <v>0</v>
      </c>
      <c r="T25" s="59">
        <v>0</v>
      </c>
      <c r="U25" s="68"/>
      <c r="V25" s="65"/>
    </row>
    <row r="26" spans="1:22" s="19" customFormat="1">
      <c r="A26" s="31" t="s">
        <v>2305</v>
      </c>
      <c r="B26" s="32" t="s">
        <v>2986</v>
      </c>
      <c r="C26" s="32" t="s">
        <v>2975</v>
      </c>
      <c r="D26" s="32" t="s">
        <v>3015</v>
      </c>
      <c r="E26" s="32" t="s">
        <v>2290</v>
      </c>
      <c r="F26" s="40"/>
      <c r="G26" s="32" t="str">
        <f>_xlfn.IFNA(IF(VLOOKUP($F26,'3.框架内物料'!$A:$E,2,0)=0,"请勿填写",VLOOKUP($F26,'3.框架内物料'!$A:$E,2,0)),"")</f>
        <v/>
      </c>
      <c r="H26" s="41" t="s">
        <v>3014</v>
      </c>
      <c r="I26" s="32" t="s">
        <v>2969</v>
      </c>
      <c r="J26" s="204" t="s">
        <v>2964</v>
      </c>
      <c r="K26" s="47" t="str">
        <f>_xlfn.IFNA(VLOOKUP($F26,'3.框架内物料'!$A:$F,6,0),"")</f>
        <v/>
      </c>
      <c r="L26" s="48">
        <v>7</v>
      </c>
      <c r="M26" s="48"/>
      <c r="N26" s="48">
        <v>4</v>
      </c>
      <c r="O26" s="48"/>
      <c r="P26" s="53">
        <f t="shared" ref="P26" si="49">IFERROR(N26*L26*J26,0)</f>
        <v>2968</v>
      </c>
      <c r="Q26" s="53">
        <f t="shared" ref="Q26" si="50">IFERROR(O26*M26*K26,0)</f>
        <v>0</v>
      </c>
      <c r="R26" s="58">
        <f t="shared" ref="R26" si="51">Q26-P26</f>
        <v>-2968</v>
      </c>
      <c r="S26" s="59">
        <v>0.06</v>
      </c>
      <c r="T26" s="59">
        <v>0</v>
      </c>
      <c r="U26" s="68"/>
      <c r="V26" s="65"/>
    </row>
    <row r="27" spans="1:22" s="19" customFormat="1">
      <c r="A27" s="31" t="s">
        <v>2305</v>
      </c>
      <c r="B27" s="32" t="s">
        <v>2986</v>
      </c>
      <c r="C27" s="32" t="s">
        <v>2975</v>
      </c>
      <c r="D27" s="32" t="s">
        <v>2955</v>
      </c>
      <c r="E27" s="32" t="s">
        <v>2290</v>
      </c>
      <c r="F27" s="40"/>
      <c r="G27" s="32" t="str">
        <f>_xlfn.IFNA(IF(VLOOKUP($F27,'3.框架内物料'!$A:$E,2,0)=0,"请勿填写",VLOOKUP($F27,'3.框架内物料'!$A:$E,2,0)),"")</f>
        <v/>
      </c>
      <c r="H27" s="41" t="s">
        <v>3013</v>
      </c>
      <c r="I27" s="32" t="s">
        <v>2969</v>
      </c>
      <c r="J27" s="204" t="s">
        <v>2964</v>
      </c>
      <c r="K27" s="47" t="str">
        <f>_xlfn.IFNA(VLOOKUP($F27,'3.框架内物料'!$A:$F,6,0),"")</f>
        <v/>
      </c>
      <c r="L27" s="48">
        <v>7</v>
      </c>
      <c r="M27" s="48"/>
      <c r="N27" s="48">
        <v>4</v>
      </c>
      <c r="O27" s="48"/>
      <c r="P27" s="53">
        <f t="shared" ref="P27:P28" si="52">IFERROR(N27*L27*J27,0)</f>
        <v>2968</v>
      </c>
      <c r="Q27" s="53">
        <f t="shared" ref="Q27:Q28" si="53">IFERROR(O27*M27*K27,0)</f>
        <v>0</v>
      </c>
      <c r="R27" s="58">
        <f t="shared" ref="R27:R28" si="54">Q27-P27</f>
        <v>-2968</v>
      </c>
      <c r="S27" s="59">
        <v>0.06</v>
      </c>
      <c r="T27" s="59">
        <v>0</v>
      </c>
      <c r="U27" s="68"/>
      <c r="V27" s="65"/>
    </row>
    <row r="28" spans="1:22" s="19" customFormat="1" ht="30">
      <c r="A28" s="31" t="s">
        <v>2305</v>
      </c>
      <c r="B28" s="32" t="s">
        <v>2986</v>
      </c>
      <c r="C28" s="32" t="s">
        <v>2975</v>
      </c>
      <c r="D28" s="202" t="s">
        <v>2959</v>
      </c>
      <c r="E28" s="32" t="s">
        <v>2283</v>
      </c>
      <c r="F28" s="40" t="s">
        <v>2912</v>
      </c>
      <c r="G28" s="32" t="str">
        <f>_xlfn.IFNA(IF(VLOOKUP($F28,'3.框架内物料'!$A:$E,2,0)=0,"请勿填写",VLOOKUP($F28,'3.框架内物料'!$A:$E,2,0)),"")</f>
        <v>M939882596713930754</v>
      </c>
      <c r="H28" s="41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2" t="str">
        <f>_xlfn.IFNA(VLOOKUP($F28,'3.框架内物料'!$A:$E,5,0),"")</f>
        <v>辆/天</v>
      </c>
      <c r="J28" s="240">
        <f>_xlfn.IFNA(VLOOKUP($F28,'3.框架内物料'!$A:$F,6,0),"")</f>
        <v>1060</v>
      </c>
      <c r="K28" s="47">
        <f>_xlfn.IFNA(VLOOKUP($F28,'3.框架内物料'!$A:$F,6,0),"")</f>
        <v>1060</v>
      </c>
      <c r="L28" s="48">
        <v>3</v>
      </c>
      <c r="M28" s="48"/>
      <c r="N28" s="48">
        <v>2</v>
      </c>
      <c r="O28" s="48"/>
      <c r="P28" s="53">
        <f t="shared" si="52"/>
        <v>6360</v>
      </c>
      <c r="Q28" s="53">
        <f t="shared" si="53"/>
        <v>0</v>
      </c>
      <c r="R28" s="58">
        <f t="shared" si="54"/>
        <v>-6360</v>
      </c>
      <c r="S28" s="59">
        <v>0.06</v>
      </c>
      <c r="T28" s="59">
        <v>0</v>
      </c>
      <c r="U28" s="68" t="s">
        <v>3025</v>
      </c>
      <c r="V28" s="65"/>
    </row>
    <row r="29" spans="1:22" s="20" customFormat="1" ht="17.399999999999999">
      <c r="A29" s="33"/>
      <c r="B29" s="34"/>
      <c r="C29" s="34"/>
      <c r="D29" s="34"/>
      <c r="E29" s="34"/>
      <c r="F29" s="42"/>
      <c r="G29" s="42"/>
      <c r="H29" s="42"/>
      <c r="I29" s="42"/>
      <c r="J29" s="49"/>
      <c r="K29" s="49"/>
      <c r="L29" s="42"/>
      <c r="M29" s="42"/>
      <c r="N29" s="42"/>
      <c r="O29" s="42"/>
      <c r="P29" s="234" t="s">
        <v>2310</v>
      </c>
      <c r="Q29" s="235"/>
      <c r="R29" s="236"/>
      <c r="S29" s="60"/>
      <c r="T29" s="60"/>
      <c r="U29" s="66"/>
      <c r="V29" s="66"/>
    </row>
    <row r="30" spans="1:22" s="20" customFormat="1" ht="17.399999999999999">
      <c r="A30" s="35"/>
      <c r="B30" s="36"/>
      <c r="C30" s="36"/>
      <c r="D30" s="36"/>
      <c r="E30" s="36"/>
      <c r="F30" s="43"/>
      <c r="G30" s="43"/>
      <c r="H30" s="43"/>
      <c r="I30" s="43"/>
      <c r="J30" s="50"/>
      <c r="K30" s="50"/>
      <c r="L30" s="43"/>
      <c r="M30" s="43"/>
      <c r="N30" s="43"/>
      <c r="O30" s="43"/>
      <c r="P30" s="54">
        <f>SUM(P10:P28)</f>
        <v>781348</v>
      </c>
      <c r="Q30" s="54">
        <f>SUM(Q10:Q28)</f>
        <v>0</v>
      </c>
      <c r="R30" s="54">
        <f>Q30-P30</f>
        <v>-781348</v>
      </c>
      <c r="S30" s="61"/>
      <c r="T30" s="62"/>
      <c r="U30" s="43"/>
      <c r="V30" s="67"/>
    </row>
    <row r="31" spans="1:22" s="17" customFormat="1">
      <c r="A31" s="31" t="s">
        <v>2354</v>
      </c>
      <c r="B31" s="32" t="s">
        <v>2986</v>
      </c>
      <c r="C31" s="32" t="s">
        <v>2975</v>
      </c>
      <c r="D31" s="202" t="s">
        <v>2956</v>
      </c>
      <c r="E31" s="32" t="s">
        <v>2290</v>
      </c>
      <c r="F31" s="40"/>
      <c r="G31" s="32" t="str">
        <f>_xlfn.IFNA(IF(VLOOKUP($F31,'3.框架内物料'!$A:$E,2,0)=0,"请勿填写",VLOOKUP($F31,'3.框架内物料'!$A:$E,2,0)),"")</f>
        <v/>
      </c>
      <c r="H31" s="203" t="s">
        <v>2957</v>
      </c>
      <c r="I31" s="202" t="s">
        <v>2958</v>
      </c>
      <c r="J31" s="240" t="s">
        <v>3000</v>
      </c>
      <c r="K31" s="47" t="str">
        <f>_xlfn.IFNA(VLOOKUP($F31,'3.框架内物料'!$A:$F,6,0),"")</f>
        <v/>
      </c>
      <c r="L31" s="48">
        <v>22</v>
      </c>
      <c r="M31" s="48"/>
      <c r="N31" s="48">
        <v>1</v>
      </c>
      <c r="O31" s="48"/>
      <c r="P31" s="53">
        <f t="shared" ref="P31" si="55">IFERROR(N31*L31*J31,0)</f>
        <v>55968</v>
      </c>
      <c r="Q31" s="53">
        <f t="shared" ref="Q31" si="56">IFERROR(O31*M31*K31,0)</f>
        <v>0</v>
      </c>
      <c r="R31" s="58">
        <f t="shared" ref="R31" si="57">Q31-P31</f>
        <v>-55968</v>
      </c>
      <c r="S31" s="59">
        <v>0.06</v>
      </c>
      <c r="T31" s="59">
        <v>0</v>
      </c>
      <c r="U31" s="65"/>
      <c r="V31" s="65"/>
    </row>
    <row r="32" spans="1:22" s="17" customFormat="1">
      <c r="A32" s="31" t="s">
        <v>2354</v>
      </c>
      <c r="B32" s="32" t="s">
        <v>2986</v>
      </c>
      <c r="C32" s="32" t="s">
        <v>2975</v>
      </c>
      <c r="D32" s="202" t="s">
        <v>2960</v>
      </c>
      <c r="E32" s="32" t="s">
        <v>2290</v>
      </c>
      <c r="F32" s="40"/>
      <c r="G32" s="32" t="str">
        <f>_xlfn.IFNA(IF(VLOOKUP($F32,'3.框架内物料'!$A:$E,2,0)=0,"请勿填写",VLOOKUP($F32,'3.框架内物料'!$A:$E,2,0)),"")</f>
        <v/>
      </c>
      <c r="H32" s="203" t="s">
        <v>2961</v>
      </c>
      <c r="I32" s="202" t="s">
        <v>2962</v>
      </c>
      <c r="J32" s="240" t="s">
        <v>3010</v>
      </c>
      <c r="K32" s="47" t="str">
        <f>_xlfn.IFNA(VLOOKUP($F32,'3.框架内物料'!$A:$F,6,0),"")</f>
        <v/>
      </c>
      <c r="L32" s="48">
        <v>1</v>
      </c>
      <c r="M32" s="48"/>
      <c r="N32" s="48">
        <v>1</v>
      </c>
      <c r="O32" s="48"/>
      <c r="P32" s="53">
        <f t="shared" ref="P32" si="58">IFERROR(N32*L32*J32,0)</f>
        <v>3180</v>
      </c>
      <c r="Q32" s="53">
        <f t="shared" ref="Q32" si="59">IFERROR(O32*M32*K32,0)</f>
        <v>0</v>
      </c>
      <c r="R32" s="58">
        <f t="shared" ref="R32" si="60">Q32-P32</f>
        <v>-3180</v>
      </c>
      <c r="S32" s="59">
        <v>0.06</v>
      </c>
      <c r="T32" s="59">
        <v>0</v>
      </c>
      <c r="U32" s="65"/>
      <c r="V32" s="65"/>
    </row>
    <row r="33" spans="1:25" s="20" customFormat="1" ht="17.399999999999999">
      <c r="A33" s="33"/>
      <c r="B33" s="34"/>
      <c r="C33" s="34"/>
      <c r="D33" s="34"/>
      <c r="E33" s="34"/>
      <c r="F33" s="42"/>
      <c r="G33" s="42"/>
      <c r="H33" s="42"/>
      <c r="I33" s="42"/>
      <c r="J33" s="49"/>
      <c r="K33" s="49"/>
      <c r="L33" s="42"/>
      <c r="M33" s="42"/>
      <c r="N33" s="42"/>
      <c r="O33" s="42"/>
      <c r="P33" s="234" t="s">
        <v>2311</v>
      </c>
      <c r="Q33" s="235"/>
      <c r="R33" s="236"/>
      <c r="S33" s="60"/>
      <c r="T33" s="60"/>
      <c r="U33" s="66"/>
      <c r="V33" s="66"/>
    </row>
    <row r="34" spans="1:25" s="20" customFormat="1" ht="17.399999999999999">
      <c r="A34" s="35"/>
      <c r="B34" s="36"/>
      <c r="C34" s="36"/>
      <c r="D34" s="36"/>
      <c r="E34" s="36"/>
      <c r="F34" s="43"/>
      <c r="G34" s="43"/>
      <c r="H34" s="43"/>
      <c r="I34" s="43"/>
      <c r="J34" s="50"/>
      <c r="K34" s="50"/>
      <c r="L34" s="43"/>
      <c r="M34" s="43"/>
      <c r="N34" s="43"/>
      <c r="O34" s="43"/>
      <c r="P34" s="54">
        <f>SUM(P31:P32)</f>
        <v>59148</v>
      </c>
      <c r="Q34" s="54">
        <f>SUM(Q31:Q32)</f>
        <v>0</v>
      </c>
      <c r="R34" s="54">
        <f>SUM(R31:R32)</f>
        <v>-59148</v>
      </c>
      <c r="S34" s="61"/>
      <c r="T34" s="62"/>
      <c r="U34" s="43"/>
      <c r="V34" s="67"/>
    </row>
    <row r="35" spans="1:25" s="17" customFormat="1" ht="15.6">
      <c r="A35" s="31" t="s">
        <v>2312</v>
      </c>
      <c r="B35" s="32" t="s">
        <v>2986</v>
      </c>
      <c r="C35" s="32" t="s">
        <v>2975</v>
      </c>
      <c r="D35" s="205" t="s">
        <v>2943</v>
      </c>
      <c r="E35" s="32" t="s">
        <v>2290</v>
      </c>
      <c r="F35" s="40"/>
      <c r="G35" s="32" t="str">
        <f>_xlfn.IFNA(IF(VLOOKUP($F35,'3.框架内物料'!$A:$E,2,0)=0,"请勿填写",VLOOKUP($F35,'3.框架内物料'!$A:$E,2,0)),"")</f>
        <v/>
      </c>
      <c r="H35" s="206" t="s">
        <v>2991</v>
      </c>
      <c r="I35" s="202" t="s">
        <v>2944</v>
      </c>
      <c r="J35" s="47" t="s">
        <v>2992</v>
      </c>
      <c r="K35" s="47" t="str">
        <f>_xlfn.IFNA(VLOOKUP($F35,'3.框架内物料'!$A:$F,6,0),"")</f>
        <v/>
      </c>
      <c r="L35" s="48">
        <v>1</v>
      </c>
      <c r="M35" s="48"/>
      <c r="N35" s="48">
        <v>2</v>
      </c>
      <c r="O35" s="48"/>
      <c r="P35" s="53">
        <f t="shared" ref="P35" si="61">IFERROR(N35*L35*J35,0)</f>
        <v>140000</v>
      </c>
      <c r="Q35" s="53">
        <f t="shared" ref="Q35" si="62">IFERROR(O35*M35*K35,0)</f>
        <v>0</v>
      </c>
      <c r="R35" s="58">
        <f t="shared" si="4"/>
        <v>-140000</v>
      </c>
      <c r="S35" s="59">
        <v>0</v>
      </c>
      <c r="T35" s="59">
        <v>0</v>
      </c>
      <c r="U35" s="65"/>
      <c r="V35" s="65"/>
    </row>
    <row r="36" spans="1:25" s="17" customFormat="1" ht="15.6">
      <c r="A36" s="31" t="s">
        <v>2312</v>
      </c>
      <c r="B36" s="32" t="s">
        <v>2986</v>
      </c>
      <c r="C36" s="32" t="s">
        <v>2975</v>
      </c>
      <c r="D36" s="205" t="s">
        <v>2943</v>
      </c>
      <c r="E36" s="32" t="s">
        <v>2290</v>
      </c>
      <c r="F36" s="40"/>
      <c r="G36" s="32" t="str">
        <f>_xlfn.IFNA(IF(VLOOKUP($F36,'3.框架内物料'!$A:$E,2,0)=0,"请勿填写",VLOOKUP($F36,'3.框架内物料'!$A:$E,2,0)),"")</f>
        <v/>
      </c>
      <c r="H36" s="206" t="s">
        <v>2993</v>
      </c>
      <c r="I36" s="202" t="s">
        <v>2944</v>
      </c>
      <c r="J36" s="47" t="s">
        <v>2994</v>
      </c>
      <c r="K36" s="47" t="str">
        <f>_xlfn.IFNA(VLOOKUP($F36,'3.框架内物料'!$A:$F,6,0),"")</f>
        <v/>
      </c>
      <c r="L36" s="48">
        <v>1</v>
      </c>
      <c r="M36" s="48"/>
      <c r="N36" s="48">
        <v>1</v>
      </c>
      <c r="O36" s="48"/>
      <c r="P36" s="53">
        <f t="shared" ref="P36" si="63">IFERROR(N36*L36*J36,0)</f>
        <v>60000</v>
      </c>
      <c r="Q36" s="53">
        <f t="shared" ref="Q36" si="64">IFERROR(O36*M36*K36,0)</f>
        <v>0</v>
      </c>
      <c r="R36" s="58">
        <f t="shared" ref="R36" si="65">Q36-P36</f>
        <v>-60000</v>
      </c>
      <c r="S36" s="59">
        <v>0</v>
      </c>
      <c r="T36" s="59">
        <v>0</v>
      </c>
      <c r="U36" s="65"/>
      <c r="V36" s="65"/>
    </row>
    <row r="37" spans="1:25" s="19" customFormat="1">
      <c r="A37" s="31" t="s">
        <v>2312</v>
      </c>
      <c r="B37" s="32" t="s">
        <v>2986</v>
      </c>
      <c r="C37" s="32" t="s">
        <v>2975</v>
      </c>
      <c r="D37" s="202" t="s">
        <v>2946</v>
      </c>
      <c r="E37" s="32" t="s">
        <v>2290</v>
      </c>
      <c r="F37" s="40"/>
      <c r="G37" s="32" t="str">
        <f>_xlfn.IFNA(IF(VLOOKUP($F37,'3.框架内物料'!$A:$E,2,0)=0,"请勿填写",VLOOKUP($F37,'3.框架内物料'!$A:$E,2,0)),"")</f>
        <v/>
      </c>
      <c r="H37" s="41" t="s">
        <v>2995</v>
      </c>
      <c r="I37" s="202" t="s">
        <v>2944</v>
      </c>
      <c r="J37" s="47" t="s">
        <v>2945</v>
      </c>
      <c r="K37" s="47" t="str">
        <f>_xlfn.IFNA(VLOOKUP($F37,'3.框架内物料'!$A:$F,6,0),"")</f>
        <v/>
      </c>
      <c r="L37" s="48">
        <v>1</v>
      </c>
      <c r="M37" s="48"/>
      <c r="N37" s="48">
        <v>2</v>
      </c>
      <c r="O37" s="48"/>
      <c r="P37" s="53">
        <f t="shared" ref="P37:P38" si="66">IFERROR(N37*L37*J37,0)</f>
        <v>60000</v>
      </c>
      <c r="Q37" s="53">
        <f t="shared" ref="Q37:Q38" si="67">IFERROR(O37*M37*K37,0)</f>
        <v>0</v>
      </c>
      <c r="R37" s="58">
        <f t="shared" si="4"/>
        <v>-60000</v>
      </c>
      <c r="S37" s="59">
        <v>0</v>
      </c>
      <c r="T37" s="59">
        <v>0</v>
      </c>
      <c r="U37" s="68"/>
      <c r="V37" s="65"/>
    </row>
    <row r="38" spans="1:25" s="19" customFormat="1">
      <c r="A38" s="31" t="s">
        <v>2312</v>
      </c>
      <c r="B38" s="32" t="s">
        <v>2986</v>
      </c>
      <c r="C38" s="32" t="s">
        <v>2975</v>
      </c>
      <c r="D38" s="202" t="s">
        <v>2946</v>
      </c>
      <c r="E38" s="32" t="s">
        <v>2290</v>
      </c>
      <c r="F38" s="40"/>
      <c r="G38" s="32" t="str">
        <f>_xlfn.IFNA(IF(VLOOKUP($F38,'3.框架内物料'!$A:$E,2,0)=0,"请勿填写",VLOOKUP($F38,'3.框架内物料'!$A:$E,2,0)),"")</f>
        <v/>
      </c>
      <c r="H38" s="41" t="s">
        <v>2997</v>
      </c>
      <c r="I38" s="202" t="s">
        <v>2944</v>
      </c>
      <c r="J38" s="47" t="s">
        <v>2996</v>
      </c>
      <c r="K38" s="47" t="str">
        <f>_xlfn.IFNA(VLOOKUP($F38,'3.框架内物料'!$A:$F,6,0),"")</f>
        <v/>
      </c>
      <c r="L38" s="48">
        <v>1</v>
      </c>
      <c r="M38" s="48"/>
      <c r="N38" s="48">
        <v>2</v>
      </c>
      <c r="O38" s="48"/>
      <c r="P38" s="53">
        <f t="shared" si="66"/>
        <v>10000</v>
      </c>
      <c r="Q38" s="53">
        <f t="shared" si="67"/>
        <v>0</v>
      </c>
      <c r="R38" s="58">
        <f t="shared" si="4"/>
        <v>-10000</v>
      </c>
      <c r="S38" s="59">
        <v>0</v>
      </c>
      <c r="T38" s="59">
        <v>0</v>
      </c>
      <c r="U38" s="68"/>
      <c r="V38" s="65"/>
      <c r="Y38" s="69"/>
    </row>
    <row r="39" spans="1:25" s="20" customFormat="1" ht="17.399999999999999">
      <c r="A39" s="33"/>
      <c r="B39" s="34"/>
      <c r="C39" s="34"/>
      <c r="D39" s="34"/>
      <c r="E39" s="34"/>
      <c r="F39" s="42"/>
      <c r="G39" s="42"/>
      <c r="H39" s="42"/>
      <c r="I39" s="42"/>
      <c r="J39" s="49"/>
      <c r="K39" s="49"/>
      <c r="L39" s="42"/>
      <c r="M39" s="42"/>
      <c r="N39" s="42"/>
      <c r="O39" s="42"/>
      <c r="P39" s="234" t="s">
        <v>2313</v>
      </c>
      <c r="Q39" s="235"/>
      <c r="R39" s="236"/>
      <c r="S39" s="60"/>
      <c r="T39" s="60"/>
      <c r="U39" s="66"/>
      <c r="V39" s="66"/>
    </row>
    <row r="40" spans="1:25" s="20" customFormat="1" ht="17.399999999999999">
      <c r="A40" s="35"/>
      <c r="B40" s="36"/>
      <c r="C40" s="36"/>
      <c r="D40" s="36"/>
      <c r="E40" s="36"/>
      <c r="F40" s="43"/>
      <c r="G40" s="43"/>
      <c r="H40" s="43"/>
      <c r="I40" s="43"/>
      <c r="J40" s="50"/>
      <c r="K40" s="50"/>
      <c r="L40" s="43"/>
      <c r="M40" s="43"/>
      <c r="N40" s="43"/>
      <c r="O40" s="43"/>
      <c r="P40" s="54">
        <f>SUM(P35:P38)</f>
        <v>270000</v>
      </c>
      <c r="Q40" s="71">
        <f>SUM(Q35:Q38)</f>
        <v>0</v>
      </c>
      <c r="R40" s="71">
        <f>Q40-P40</f>
        <v>-270000</v>
      </c>
      <c r="S40" s="61"/>
      <c r="T40" s="62"/>
      <c r="U40" s="43"/>
      <c r="V40" s="67"/>
    </row>
    <row r="41" spans="1:25" s="19" customFormat="1" ht="30">
      <c r="A41" s="72" t="s">
        <v>2927</v>
      </c>
      <c r="B41" s="72" t="s">
        <v>2927</v>
      </c>
      <c r="C41" s="72" t="s">
        <v>2927</v>
      </c>
      <c r="D41" s="72" t="s">
        <v>2927</v>
      </c>
      <c r="E41" s="32" t="s">
        <v>2283</v>
      </c>
      <c r="F41" s="40" t="s">
        <v>2930</v>
      </c>
      <c r="G41" s="32" t="str">
        <f>_xlfn.IFNA(IF(VLOOKUP($F41,'3.框架内物料'!$A:$E,2,0)=0,"请勿填写",VLOOKUP($F41,'3.框架内物料'!$A:$E,2,0)),"")</f>
        <v>M939882581652185090</v>
      </c>
      <c r="H41" s="41" t="str">
        <f>_xlfn.IFNA(VLOOKUP($F41,'3.框架内物料'!$A:$E,4,0),"")</f>
        <v>服务费税费-项目服务费-项目服务费-制作搭建、AVL设备、第三方人员服务费-服务费比例</v>
      </c>
      <c r="I41" s="32" t="str">
        <f>_xlfn.IFNA(VLOOKUP($F41,'3.框架内物料'!$A:$E,5,0),"")</f>
        <v>项</v>
      </c>
      <c r="J41" s="47">
        <f>_xlfn.IFNA(VLOOKUP($F41,'3.框架内物料'!$A:$F,6,0),"")</f>
        <v>0.1</v>
      </c>
      <c r="K41" s="47">
        <f>_xlfn.IFNA(VLOOKUP($F41,'3.框架内物料'!$A:$F,6,0),"")</f>
        <v>0.1</v>
      </c>
      <c r="L41" s="48">
        <f>P4</f>
        <v>1590</v>
      </c>
      <c r="M41" s="48">
        <f>SUM(Q40,Q34,Q30,Q9,Q4)</f>
        <v>0</v>
      </c>
      <c r="N41" s="48">
        <v>1</v>
      </c>
      <c r="O41" s="48">
        <v>1</v>
      </c>
      <c r="P41" s="53">
        <f t="shared" ref="P41" si="68">IFERROR(N41*L41*J41,0)</f>
        <v>159</v>
      </c>
      <c r="Q41" s="53">
        <f t="shared" ref="Q41" si="69">IFERROR(O41*M41*K41,0)</f>
        <v>0</v>
      </c>
      <c r="R41" s="94">
        <f t="shared" ref="R41" si="70">Q41-P41</f>
        <v>-159</v>
      </c>
      <c r="S41" s="59">
        <v>0.06</v>
      </c>
      <c r="T41" s="59">
        <v>0</v>
      </c>
      <c r="U41" s="68"/>
      <c r="V41" s="65"/>
    </row>
    <row r="42" spans="1:25" s="19" customFormat="1" ht="30">
      <c r="A42" s="72" t="s">
        <v>2927</v>
      </c>
      <c r="B42" s="72" t="s">
        <v>2927</v>
      </c>
      <c r="C42" s="72" t="s">
        <v>2927</v>
      </c>
      <c r="D42" s="72" t="s">
        <v>2927</v>
      </c>
      <c r="E42" s="32" t="s">
        <v>2283</v>
      </c>
      <c r="F42" s="40" t="s">
        <v>2929</v>
      </c>
      <c r="G42" s="32" t="str">
        <f>_xlfn.IFNA(IF(VLOOKUP($F42,'3.框架内物料'!$A:$E,2,0)=0,"请勿填写",VLOOKUP($F42,'3.框架内物料'!$A:$E,2,0)),"")</f>
        <v>M939882610784714754</v>
      </c>
      <c r="H42" s="41" t="str">
        <f>_xlfn.IFNA(VLOOKUP($F42,'3.框架内物料'!$A:$E,4,0),"")</f>
        <v>服务费税费-项目服务费-项目服务费-机票、用车、用餐等第三方资源-服务费比例</v>
      </c>
      <c r="I42" s="32" t="str">
        <f>_xlfn.IFNA(VLOOKUP($F42,'3.框架内物料'!$A:$E,5,0),"")</f>
        <v>项</v>
      </c>
      <c r="J42" s="47">
        <f>_xlfn.IFNA(VLOOKUP($F42,'3.框架内物料'!$A:$F,6,0),"")</f>
        <v>0.06</v>
      </c>
      <c r="K42" s="47">
        <f>_xlfn.IFNA(VLOOKUP($F42,'3.框架内物料'!$A:$F,6,0),"")</f>
        <v>0.06</v>
      </c>
      <c r="L42" s="48">
        <f>SUM(P30+P34-P10-P11-P12-P13-P25)</f>
        <v>362096</v>
      </c>
      <c r="M42" s="48">
        <f>SUM(Q41,Q35,Q31,Q10,Q5)</f>
        <v>0</v>
      </c>
      <c r="N42" s="48">
        <v>1</v>
      </c>
      <c r="O42" s="48">
        <v>1</v>
      </c>
      <c r="P42" s="53">
        <f t="shared" ref="P42:P43" si="71">IFERROR(N42*L42*J42,0)</f>
        <v>21725.759999999998</v>
      </c>
      <c r="Q42" s="53">
        <f t="shared" ref="Q42:Q43" si="72">IFERROR(O42*M42*K42,0)</f>
        <v>0</v>
      </c>
      <c r="R42" s="94">
        <f t="shared" ref="R42:R43" si="73">Q42-P42</f>
        <v>-21725.759999999998</v>
      </c>
      <c r="S42" s="59">
        <v>0.06</v>
      </c>
      <c r="T42" s="59">
        <v>0</v>
      </c>
      <c r="U42" s="68" t="s">
        <v>3019</v>
      </c>
      <c r="V42" s="65"/>
    </row>
    <row r="43" spans="1:25" s="19" customFormat="1" ht="30">
      <c r="A43" s="72" t="s">
        <v>2927</v>
      </c>
      <c r="B43" s="72" t="s">
        <v>2927</v>
      </c>
      <c r="C43" s="72" t="s">
        <v>2927</v>
      </c>
      <c r="D43" s="72" t="s">
        <v>2927</v>
      </c>
      <c r="E43" s="32" t="s">
        <v>2283</v>
      </c>
      <c r="F43" s="40" t="s">
        <v>2929</v>
      </c>
      <c r="G43" s="32" t="str">
        <f>_xlfn.IFNA(IF(VLOOKUP($F43,'3.框架内物料'!$A:$E,2,0)=0,"请勿填写",VLOOKUP($F43,'3.框架内物料'!$A:$E,2,0)),"")</f>
        <v>M939882610784714754</v>
      </c>
      <c r="H43" s="41" t="str">
        <f>_xlfn.IFNA(VLOOKUP($F43,'3.框架内物料'!$A:$E,4,0),"")</f>
        <v>服务费税费-项目服务费-项目服务费-机票、用车、用餐等第三方资源-服务费比例</v>
      </c>
      <c r="I43" s="32" t="str">
        <f>_xlfn.IFNA(VLOOKUP($F43,'3.框架内物料'!$A:$E,5,0),"")</f>
        <v>项</v>
      </c>
      <c r="J43" s="47">
        <f>_xlfn.IFNA(VLOOKUP($F43,'3.框架内物料'!$A:$F,6,0),"")</f>
        <v>0.06</v>
      </c>
      <c r="K43" s="47">
        <f>_xlfn.IFNA(VLOOKUP($F43,'3.框架内物料'!$A:$F,6,0),"")</f>
        <v>0.06</v>
      </c>
      <c r="L43" s="48">
        <f>P40+P10+P11+P12+P13+P25</f>
        <v>748400</v>
      </c>
      <c r="M43" s="48">
        <f>SUM(Q42,Q36,Q32,Q11,Q6)</f>
        <v>0</v>
      </c>
      <c r="N43" s="48">
        <v>1</v>
      </c>
      <c r="O43" s="48">
        <v>1</v>
      </c>
      <c r="P43" s="53">
        <f t="shared" si="71"/>
        <v>44904</v>
      </c>
      <c r="Q43" s="53">
        <f t="shared" si="72"/>
        <v>0</v>
      </c>
      <c r="R43" s="94">
        <f t="shared" si="73"/>
        <v>-44904</v>
      </c>
      <c r="S43" s="59">
        <v>0.06</v>
      </c>
      <c r="T43" s="59">
        <v>0</v>
      </c>
      <c r="U43" s="68" t="s">
        <v>3020</v>
      </c>
      <c r="V43" s="65"/>
    </row>
    <row r="44" spans="1:25" s="19" customFormat="1" ht="30">
      <c r="A44" s="72" t="s">
        <v>2927</v>
      </c>
      <c r="B44" s="72" t="s">
        <v>2927</v>
      </c>
      <c r="C44" s="72" t="s">
        <v>2927</v>
      </c>
      <c r="D44" s="72" t="s">
        <v>2927</v>
      </c>
      <c r="E44" s="32" t="s">
        <v>2283</v>
      </c>
      <c r="F44" s="40" t="s">
        <v>2933</v>
      </c>
      <c r="G44" s="32" t="str">
        <f>_xlfn.IFNA(IF(VLOOKUP($F44,'3.框架内物料'!$A:$E,2,0)=0,"请勿填写",VLOOKUP($F44,'3.框架内物料'!$A:$E,2,0)),"")</f>
        <v>M939882723582132226</v>
      </c>
      <c r="H44" s="41" t="str">
        <f>_xlfn.IFNA(VLOOKUP($F44,'3.框架内物料'!$A:$E,4,0),"")</f>
        <v>服务费税费-项目税费-项目税费-机票、用车、用餐等第三方资源-增值税比例</v>
      </c>
      <c r="I44" s="32" t="str">
        <f>_xlfn.IFNA(VLOOKUP($F44,'3.框架内物料'!$A:$E,5,0),"")</f>
        <v>项</v>
      </c>
      <c r="J44" s="47">
        <f>_xlfn.IFNA(VLOOKUP($F44,'3.框架内物料'!$A:$F,6,0),"")</f>
        <v>0.06</v>
      </c>
      <c r="K44" s="47">
        <f>_xlfn.IFNA(VLOOKUP($F44,'3.框架内物料'!$A:$F,6,0),"")</f>
        <v>0.06</v>
      </c>
      <c r="L44" s="48">
        <f>P43</f>
        <v>44904</v>
      </c>
      <c r="M44" s="48">
        <f>SUM(Q42,Q36,Q32,Q11,Q6)</f>
        <v>0</v>
      </c>
      <c r="N44" s="48">
        <v>1</v>
      </c>
      <c r="O44" s="48">
        <v>1</v>
      </c>
      <c r="P44" s="53">
        <f t="shared" ref="P44" si="74">IFERROR(N44*L44*J44,0)</f>
        <v>2694.24</v>
      </c>
      <c r="Q44" s="53">
        <f t="shared" ref="Q44" si="75">IFERROR(O44*M44*K44,0)</f>
        <v>0</v>
      </c>
      <c r="R44" s="94">
        <f t="shared" ref="R44" si="76">Q44-P44</f>
        <v>-2694.24</v>
      </c>
      <c r="S44" s="59">
        <v>0.06</v>
      </c>
      <c r="T44" s="59">
        <v>0</v>
      </c>
      <c r="U44" s="68"/>
      <c r="V44" s="65"/>
    </row>
    <row r="45" spans="1:25" s="20" customFormat="1" ht="17.399999999999999">
      <c r="A45" s="31"/>
      <c r="B45" s="32"/>
      <c r="C45" s="32"/>
      <c r="D45" s="34"/>
      <c r="E45" s="34"/>
      <c r="F45" s="42"/>
      <c r="G45" s="42"/>
      <c r="H45" s="42"/>
      <c r="I45" s="42"/>
      <c r="J45" s="49"/>
      <c r="K45" s="49"/>
      <c r="L45" s="42"/>
      <c r="M45" s="42"/>
      <c r="N45" s="42"/>
      <c r="O45" s="42"/>
      <c r="P45" s="234" t="s">
        <v>2324</v>
      </c>
      <c r="Q45" s="235"/>
      <c r="R45" s="236"/>
      <c r="S45" s="60"/>
      <c r="T45" s="60"/>
      <c r="U45" s="66"/>
      <c r="V45" s="100" t="s">
        <v>2378</v>
      </c>
    </row>
    <row r="46" spans="1:25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50"/>
      <c r="K46" s="50"/>
      <c r="L46" s="43"/>
      <c r="M46" s="43"/>
      <c r="N46" s="43"/>
      <c r="O46" s="43"/>
      <c r="P46" s="54">
        <f>SUM(P41:P44)</f>
        <v>69483</v>
      </c>
      <c r="Q46" s="54">
        <f>SUM(Q41:Q41)</f>
        <v>0</v>
      </c>
      <c r="R46" s="54">
        <f>Q46-P46</f>
        <v>-69483</v>
      </c>
      <c r="S46" s="61"/>
      <c r="T46" s="62"/>
      <c r="U46" s="43"/>
      <c r="V46" s="67"/>
    </row>
    <row r="47" spans="1:25" s="20" customFormat="1" ht="17.399999999999999">
      <c r="A47" s="73"/>
      <c r="B47" s="74"/>
      <c r="C47" s="74"/>
      <c r="D47" s="74"/>
      <c r="E47" s="74"/>
      <c r="F47" s="80"/>
      <c r="G47" s="74"/>
      <c r="H47" s="81"/>
      <c r="I47" s="74"/>
      <c r="J47" s="84"/>
      <c r="K47" s="85"/>
      <c r="L47" s="86"/>
      <c r="M47" s="86"/>
      <c r="N47" s="86"/>
      <c r="O47" s="86"/>
      <c r="P47" s="237" t="s">
        <v>2379</v>
      </c>
      <c r="Q47" s="237"/>
      <c r="R47" s="238"/>
      <c r="S47" s="95"/>
      <c r="T47" s="95"/>
      <c r="U47" s="101"/>
      <c r="V47" s="101"/>
    </row>
    <row r="48" spans="1:25" ht="17.399999999999999">
      <c r="A48" s="75"/>
      <c r="B48" s="76"/>
      <c r="C48" s="76"/>
      <c r="D48" s="76"/>
      <c r="E48" s="76"/>
      <c r="F48" s="82"/>
      <c r="G48" s="82"/>
      <c r="H48" s="82"/>
      <c r="I48" s="82"/>
      <c r="J48" s="87"/>
      <c r="K48" s="87"/>
      <c r="L48" s="82"/>
      <c r="M48" s="82"/>
      <c r="N48" s="82"/>
      <c r="O48" s="82"/>
      <c r="P48" s="92">
        <f>SUM(P46,P40,P34,P30,P9,P4)</f>
        <v>1196409</v>
      </c>
      <c r="Q48" s="92">
        <f>SUM(Q46,Q40,Q34,Q30,Q9,Q4)</f>
        <v>0</v>
      </c>
      <c r="R48" s="92">
        <f>Q48-P48</f>
        <v>-1196409</v>
      </c>
      <c r="S48" s="96"/>
      <c r="T48" s="97"/>
      <c r="U48" s="102"/>
      <c r="V48" s="103"/>
    </row>
    <row r="49" spans="1:22" s="19" customFormat="1" ht="74.400000000000006" customHeight="1">
      <c r="A49" s="31" t="s">
        <v>2325</v>
      </c>
      <c r="B49" s="77"/>
      <c r="C49" s="77"/>
      <c r="D49" s="77"/>
      <c r="E49" s="31" t="s">
        <v>2325</v>
      </c>
      <c r="F49" s="77"/>
      <c r="G49" s="77"/>
      <c r="H49" s="83" t="s">
        <v>2326</v>
      </c>
      <c r="I49" s="32" t="s">
        <v>49</v>
      </c>
      <c r="J49" s="207" t="s">
        <v>2947</v>
      </c>
      <c r="K49" s="207" t="s">
        <v>2947</v>
      </c>
      <c r="L49" s="88">
        <v>1</v>
      </c>
      <c r="M49" s="88">
        <v>1</v>
      </c>
      <c r="N49" s="88">
        <v>1</v>
      </c>
      <c r="O49" s="88">
        <v>1</v>
      </c>
      <c r="P49" s="53">
        <f>J49*L49*N49</f>
        <v>0</v>
      </c>
      <c r="Q49" s="58">
        <f>K49*M49*O49</f>
        <v>0</v>
      </c>
      <c r="R49" s="58">
        <f>Q49-P49</f>
        <v>0</v>
      </c>
      <c r="S49" s="59">
        <v>0.06</v>
      </c>
      <c r="T49" s="59">
        <v>0</v>
      </c>
      <c r="U49" s="68"/>
      <c r="V49" s="68"/>
    </row>
    <row r="50" spans="1:22" s="20" customFormat="1" ht="17.399999999999999">
      <c r="A50" s="73"/>
      <c r="B50" s="74"/>
      <c r="C50" s="74"/>
      <c r="D50" s="74"/>
      <c r="E50" s="74"/>
      <c r="F50" s="80"/>
      <c r="G50" s="74"/>
      <c r="H50" s="81"/>
      <c r="I50" s="74"/>
      <c r="J50" s="84"/>
      <c r="K50" s="85"/>
      <c r="L50" s="86"/>
      <c r="M50" s="86"/>
      <c r="N50" s="86"/>
      <c r="O50" s="86"/>
      <c r="P50" s="237" t="s">
        <v>2327</v>
      </c>
      <c r="Q50" s="237"/>
      <c r="R50" s="238"/>
      <c r="S50" s="95"/>
      <c r="T50" s="95"/>
      <c r="U50" s="101"/>
      <c r="V50" s="101"/>
    </row>
    <row r="51" spans="1:22" ht="17.399999999999999">
      <c r="A51" s="75"/>
      <c r="B51" s="76"/>
      <c r="C51" s="76"/>
      <c r="D51" s="76"/>
      <c r="E51" s="76"/>
      <c r="F51" s="82"/>
      <c r="G51" s="82"/>
      <c r="H51" s="82"/>
      <c r="I51" s="82"/>
      <c r="J51" s="87"/>
      <c r="K51" s="87"/>
      <c r="L51" s="82"/>
      <c r="M51" s="82"/>
      <c r="N51" s="82"/>
      <c r="O51" s="82"/>
      <c r="P51" s="92">
        <f>SUM(P48,P49)</f>
        <v>1196409</v>
      </c>
      <c r="Q51" s="92">
        <f>SUM(Q48,Q49)</f>
        <v>0</v>
      </c>
      <c r="R51" s="92">
        <f>Q51-P51</f>
        <v>-1196409</v>
      </c>
      <c r="S51" s="96"/>
      <c r="T51" s="97"/>
      <c r="U51" s="102"/>
      <c r="V51" s="103"/>
    </row>
    <row r="52" spans="1:22" ht="54" customHeight="1">
      <c r="A52" s="78"/>
      <c r="C52" s="79"/>
      <c r="D52" s="79"/>
      <c r="E52" s="79"/>
      <c r="F52" s="78"/>
      <c r="G52" s="78"/>
      <c r="H52" s="78"/>
      <c r="I52" s="78"/>
      <c r="J52" s="89"/>
      <c r="K52" s="216"/>
      <c r="L52" s="216"/>
      <c r="M52" s="216"/>
      <c r="N52" s="216"/>
      <c r="P52" s="93">
        <f>SUMIF(E1:E48,"框架内",P1:P48)/(P51-P49)</f>
        <v>7.7124963118799669E-2</v>
      </c>
      <c r="Q52" s="93" t="e">
        <f>SUMIF(E1:E48,"框架内",Q1:Q48)/(Q51-Q49)</f>
        <v>#DIV/0!</v>
      </c>
      <c r="R52" s="98" t="s">
        <v>2328</v>
      </c>
      <c r="S52" s="99"/>
      <c r="T52" s="99"/>
    </row>
    <row r="53" spans="1:22" ht="54" customHeight="1">
      <c r="A53" s="78"/>
      <c r="C53" s="79"/>
      <c r="D53" s="79"/>
      <c r="E53" s="79"/>
      <c r="F53" s="78"/>
      <c r="G53" s="78"/>
      <c r="H53" s="78"/>
      <c r="I53" s="78"/>
      <c r="J53" s="89"/>
      <c r="K53" s="216"/>
      <c r="L53" s="216"/>
      <c r="M53" s="216"/>
      <c r="N53" s="216"/>
      <c r="P53" s="93">
        <f ca="1">SUMIF(E1:E49,"框架外",P1:P48)/(P51-P49)</f>
        <v>0</v>
      </c>
      <c r="Q53" s="93" t="e">
        <f ca="1">SUMIF(E1:E49,"框架外",Q1:Q48)/(Q51-Q49)</f>
        <v>#DIV/0!</v>
      </c>
      <c r="R53" s="98" t="s">
        <v>2329</v>
      </c>
      <c r="S53" s="99"/>
      <c r="T53" s="99"/>
    </row>
    <row r="54" spans="1:22" ht="54" customHeight="1">
      <c r="A54" s="78"/>
      <c r="C54" s="79"/>
      <c r="D54" s="79"/>
      <c r="E54" s="79"/>
      <c r="F54" s="78"/>
      <c r="G54" s="78"/>
      <c r="H54" s="78"/>
      <c r="I54" s="78"/>
      <c r="J54" s="89"/>
      <c r="P54" s="93">
        <f ca="1">SUMIF(E1:E49,"据实结算",P1:P48)/(P51-P49)</f>
        <v>0.92287503688120032</v>
      </c>
      <c r="Q54" s="93" t="e">
        <f ca="1">SUMIF(E1:E49,"据实结算",Q1:Q48)/(Q51-Q49)</f>
        <v>#DIV/0!</v>
      </c>
      <c r="R54" s="98" t="s">
        <v>2330</v>
      </c>
      <c r="S54" s="99"/>
      <c r="T54" s="99"/>
    </row>
    <row r="55" spans="1:22">
      <c r="K55" s="90"/>
      <c r="L55" s="91"/>
      <c r="M55" s="91"/>
      <c r="N55" s="91"/>
    </row>
  </sheetData>
  <sheetProtection formatCells="0" formatColumns="0" formatRows="0" insertRows="0" insertHyperlinks="0" deleteRows="0" autoFilter="0"/>
  <mergeCells count="10">
    <mergeCell ref="P3:R3"/>
    <mergeCell ref="P8:R8"/>
    <mergeCell ref="P29:R29"/>
    <mergeCell ref="P47:R47"/>
    <mergeCell ref="P50:R50"/>
    <mergeCell ref="K52:N52"/>
    <mergeCell ref="K53:N53"/>
    <mergeCell ref="P33:R33"/>
    <mergeCell ref="P39:R39"/>
    <mergeCell ref="P45:R45"/>
  </mergeCells>
  <phoneticPr fontId="37" type="noConversion"/>
  <conditionalFormatting sqref="B41:D41 A45:A47 A2:A41 A42:D44">
    <cfRule type="containsText" dxfId="2" priority="1" operator="containsText" text="填写">
      <formula>NOT(ISERROR(SEARCH("填写",A2)))</formula>
    </cfRule>
  </conditionalFormatting>
  <conditionalFormatting sqref="A49:A50">
    <cfRule type="containsText" dxfId="1" priority="2" operator="containsText" text="填写">
      <formula>NOT(ISERROR(SEARCH("填写",A49)))</formula>
    </cfRule>
  </conditionalFormatting>
  <conditionalFormatting sqref="E49">
    <cfRule type="containsText" dxfId="0" priority="3" operator="containsText" text="填写">
      <formula>NOT(ISERROR(SEARCH("填写",E49)))</formula>
    </cfRule>
  </conditionalFormatting>
  <dataValidations count="7">
    <dataValidation type="list" allowBlank="1" showInputMessage="1" showErrorMessage="1" sqref="K51" xr:uid="{00000000-0002-0000-0400-000001000000}">
      <formula1>"0%,1%,3%,6%,13%"</formula1>
    </dataValidation>
    <dataValidation type="list" allowBlank="1" showInputMessage="1" showErrorMessage="1" sqref="H51" xr:uid="{00000000-0002-0000-0400-000002000000}">
      <formula1>"是,否"</formula1>
    </dataValidation>
    <dataValidation type="list" allowBlank="1" showInputMessage="1" showErrorMessage="1" sqref="D51" xr:uid="{00000000-0002-0000-0400-000003000000}">
      <formula1>"CNY, USD, JPY , HKD"</formula1>
    </dataValidation>
    <dataValidation type="list" allowBlank="1" showInputMessage="1" showErrorMessage="1" sqref="A50:A1048576 B41:D44 A2:A48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9 E2:E1048576" xr:uid="{00000000-0002-0000-0400-000005000000}">
      <formula1>"框架内,框架外,据实结算"</formula1>
    </dataValidation>
    <dataValidation type="list" allowBlank="1" showInputMessage="1" showErrorMessage="1" sqref="S31:S32 S49 S2 S5:S7 S10:S28 S35:S38 S41:S44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F31:F32 F47 F50 F2 F5:F7 F10:F28 F35:F38 F41:F44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498" activePane="bottomLeft" state="frozen"/>
      <selection pane="bottomLeft" activeCell="D546" sqref="D546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税费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2025-02-17T02:27:44Z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