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E94DF253-7CEF-8C40-A743-1DC45DA89A49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4" l="1"/>
  <c r="M43" i="14"/>
  <c r="M40" i="14"/>
  <c r="M41" i="14"/>
  <c r="K36" i="14"/>
  <c r="Q35" i="14"/>
  <c r="K30" i="14"/>
  <c r="K25" i="14"/>
  <c r="K15" i="14"/>
  <c r="K14" i="14"/>
  <c r="Q9" i="14"/>
  <c r="Q31" i="14"/>
  <c r="R31" i="14" s="1"/>
  <c r="K31" i="14"/>
  <c r="K18" i="14"/>
  <c r="Q18" i="14" s="1"/>
  <c r="R18" i="14" s="1"/>
  <c r="Q17" i="14"/>
  <c r="R17" i="14" s="1"/>
  <c r="Q30" i="14"/>
  <c r="R30" i="14" s="1"/>
  <c r="P32" i="14"/>
  <c r="R32" i="14" s="1"/>
  <c r="Q32" i="14"/>
  <c r="G3" i="14" l="1"/>
  <c r="H3" i="14"/>
  <c r="I3" i="14"/>
  <c r="J3" i="14"/>
  <c r="K3" i="14"/>
  <c r="Q3" i="14" s="1"/>
  <c r="R3" i="14" s="1"/>
  <c r="K7" i="14"/>
  <c r="Q7" i="14" s="1"/>
  <c r="R7" i="14" s="1"/>
  <c r="K6" i="14"/>
  <c r="Q6" i="14" s="1"/>
  <c r="R6" i="14" s="1"/>
  <c r="K27" i="14" l="1"/>
  <c r="K37" i="14"/>
  <c r="Q37" i="14" s="1"/>
  <c r="R37" i="14" s="1"/>
  <c r="K26" i="14"/>
  <c r="K24" i="14"/>
  <c r="K23" i="14"/>
  <c r="K22" i="14"/>
  <c r="K21" i="14"/>
  <c r="K20" i="14"/>
  <c r="K42" i="14" l="1"/>
  <c r="J42" i="14"/>
  <c r="P42" i="14" s="1"/>
  <c r="I42" i="14"/>
  <c r="H42" i="14"/>
  <c r="G42" i="14"/>
  <c r="Q16" i="14"/>
  <c r="Q36" i="14"/>
  <c r="P39" i="14"/>
  <c r="P26" i="14"/>
  <c r="Q26" i="14"/>
  <c r="P24" i="14"/>
  <c r="Q24" i="14"/>
  <c r="Q25" i="14"/>
  <c r="Q21" i="14"/>
  <c r="K5" i="14"/>
  <c r="K4" i="14"/>
  <c r="Q4" i="14" s="1"/>
  <c r="J2" i="14"/>
  <c r="P2" i="14" s="1"/>
  <c r="K2" i="14"/>
  <c r="Q2" i="14" s="1"/>
  <c r="Q20" i="14"/>
  <c r="P4" i="14"/>
  <c r="P5" i="14"/>
  <c r="J11" i="14"/>
  <c r="P11" i="14" s="1"/>
  <c r="J40" i="14"/>
  <c r="P14" i="14"/>
  <c r="P15" i="14"/>
  <c r="P16" i="14"/>
  <c r="J19" i="14"/>
  <c r="P19" i="14" s="1"/>
  <c r="P20" i="14"/>
  <c r="P21" i="14"/>
  <c r="P23" i="14"/>
  <c r="P22" i="14"/>
  <c r="P25" i="14"/>
  <c r="P27" i="14"/>
  <c r="P28" i="14"/>
  <c r="P29" i="14"/>
  <c r="P33" i="14"/>
  <c r="J41" i="14"/>
  <c r="J43" i="14"/>
  <c r="J44" i="14"/>
  <c r="J10" i="14"/>
  <c r="P10" i="14" s="1"/>
  <c r="Q15" i="14"/>
  <c r="G15" i="14"/>
  <c r="G21" i="14"/>
  <c r="G25" i="14"/>
  <c r="Q22" i="14"/>
  <c r="G22" i="14"/>
  <c r="Q27" i="14"/>
  <c r="G4" i="14"/>
  <c r="H11" i="14"/>
  <c r="Q33" i="14"/>
  <c r="Q29" i="14"/>
  <c r="Q28" i="14"/>
  <c r="K10" i="14"/>
  <c r="Q10" i="14" s="1"/>
  <c r="I10" i="14"/>
  <c r="H10" i="14"/>
  <c r="G10" i="14"/>
  <c r="K40" i="14"/>
  <c r="I40" i="14"/>
  <c r="H40" i="14"/>
  <c r="G40" i="14"/>
  <c r="K44" i="14"/>
  <c r="I44" i="14"/>
  <c r="H44" i="14"/>
  <c r="G44" i="14"/>
  <c r="K43" i="14"/>
  <c r="I43" i="14"/>
  <c r="H43" i="14"/>
  <c r="G43" i="14"/>
  <c r="C13" i="15"/>
  <c r="K41" i="14"/>
  <c r="I41" i="14"/>
  <c r="H41" i="14"/>
  <c r="G41" i="14"/>
  <c r="Q23" i="14"/>
  <c r="G23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I2" i="14"/>
  <c r="E20" i="15"/>
  <c r="C20" i="15"/>
  <c r="G5" i="14"/>
  <c r="Q5" i="14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K19" i="14"/>
  <c r="Q19" i="14" s="1"/>
  <c r="H19" i="14"/>
  <c r="Q49" i="14"/>
  <c r="P49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H2" i="14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20" i="14"/>
  <c r="I19" i="14"/>
  <c r="G19" i="14"/>
  <c r="G16" i="14"/>
  <c r="Q14" i="14"/>
  <c r="G14" i="14"/>
  <c r="K11" i="14"/>
  <c r="Q11" i="14" s="1"/>
  <c r="I11" i="14"/>
  <c r="G11" i="14"/>
  <c r="Q86" i="23"/>
  <c r="Q85" i="23"/>
  <c r="Q84" i="23"/>
  <c r="C16" i="15"/>
  <c r="C15" i="15"/>
  <c r="E16" i="15"/>
  <c r="G16" i="15" s="1"/>
  <c r="E15" i="15"/>
  <c r="E13" i="15"/>
  <c r="C11" i="15"/>
  <c r="E11" i="15"/>
  <c r="E17" i="15"/>
  <c r="C17" i="15"/>
  <c r="G2" i="14"/>
  <c r="E18" i="15"/>
  <c r="C18" i="15"/>
  <c r="L43" i="14" l="1"/>
  <c r="R5" i="14"/>
  <c r="Q43" i="14"/>
  <c r="M44" i="14" s="1"/>
  <c r="R14" i="14"/>
  <c r="Q13" i="14"/>
  <c r="R33" i="14"/>
  <c r="R4" i="14"/>
  <c r="R16" i="14"/>
  <c r="R29" i="14"/>
  <c r="R26" i="14"/>
  <c r="R15" i="14"/>
  <c r="G17" i="15"/>
  <c r="R28" i="14"/>
  <c r="G18" i="15"/>
  <c r="R24" i="14"/>
  <c r="R36" i="14"/>
  <c r="R23" i="14"/>
  <c r="P13" i="14"/>
  <c r="C12" i="15" s="1"/>
  <c r="R49" i="14"/>
  <c r="G20" i="15"/>
  <c r="G11" i="15"/>
  <c r="R22" i="14"/>
  <c r="P43" i="14"/>
  <c r="L44" i="14" s="1"/>
  <c r="P44" i="14" s="1"/>
  <c r="G13" i="15"/>
  <c r="G15" i="15"/>
  <c r="R19" i="14"/>
  <c r="R10" i="14"/>
  <c r="P35" i="14"/>
  <c r="L41" i="14" s="1"/>
  <c r="P41" i="14" s="1"/>
  <c r="R11" i="14"/>
  <c r="P9" i="14"/>
  <c r="R25" i="14"/>
  <c r="R27" i="14"/>
  <c r="R21" i="14"/>
  <c r="R2" i="14"/>
  <c r="R20" i="14"/>
  <c r="M42" i="14" l="1"/>
  <c r="Q42" i="14" s="1"/>
  <c r="R42" i="14" s="1"/>
  <c r="R39" i="14"/>
  <c r="Q44" i="14"/>
  <c r="R44" i="14" s="1"/>
  <c r="Q40" i="14"/>
  <c r="Q41" i="14"/>
  <c r="C10" i="15"/>
  <c r="L40" i="14"/>
  <c r="P40" i="14" s="1"/>
  <c r="R43" i="14"/>
  <c r="C14" i="15"/>
  <c r="E12" i="15"/>
  <c r="G12" i="15" s="1"/>
  <c r="R13" i="14"/>
  <c r="E14" i="15"/>
  <c r="R35" i="14"/>
  <c r="E10" i="15"/>
  <c r="R9" i="14"/>
  <c r="Q46" i="14" l="1"/>
  <c r="Q48" i="14" s="1"/>
  <c r="G10" i="15"/>
  <c r="R41" i="14"/>
  <c r="G14" i="15"/>
  <c r="R40" i="14"/>
  <c r="P46" i="14"/>
  <c r="Q51" i="14" l="1"/>
  <c r="P48" i="14"/>
  <c r="R46" i="14"/>
  <c r="E21" i="15" l="1"/>
  <c r="F13" i="15" s="1"/>
  <c r="Q52" i="14"/>
  <c r="Q53" i="14"/>
  <c r="Q54" i="14"/>
  <c r="E22" i="15"/>
  <c r="F20" i="15" s="1"/>
  <c r="F11" i="15"/>
  <c r="F10" i="15"/>
  <c r="F15" i="15"/>
  <c r="F17" i="15"/>
  <c r="P51" i="14"/>
  <c r="R48" i="14"/>
  <c r="F21" i="15" l="1"/>
  <c r="F16" i="15"/>
  <c r="F14" i="15"/>
  <c r="F12" i="15"/>
  <c r="F18" i="15"/>
  <c r="P53" i="14"/>
  <c r="C21" i="15"/>
  <c r="C22" i="15"/>
  <c r="P54" i="14"/>
  <c r="P52" i="14"/>
  <c r="R51" i="14"/>
  <c r="G22" i="15" l="1"/>
  <c r="D20" i="15"/>
  <c r="D15" i="15"/>
  <c r="D21" i="15"/>
  <c r="D17" i="15"/>
  <c r="D16" i="15"/>
  <c r="D14" i="15"/>
  <c r="G21" i="15"/>
  <c r="D12" i="15"/>
  <c r="D18" i="15"/>
  <c r="D13" i="15"/>
  <c r="D11" i="15"/>
  <c r="D10" i="15"/>
</calcChain>
</file>

<file path=xl/sharedStrings.xml><?xml version="1.0" encoding="utf-8"?>
<sst xmlns="http://schemas.openxmlformats.org/spreadsheetml/2006/main" count="8200" uniqueCount="3064">
  <si>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</si>
  <si>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</si>
  <si>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</si>
  <si>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</si>
  <si>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</si>
  <si>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</si>
  <si>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</si>
  <si>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</si>
  <si>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</si>
  <si>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</si>
  <si>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</si>
  <si>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</si>
  <si>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</si>
  <si>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</si>
  <si>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</si>
  <si>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</si>
  <si>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</si>
  <si>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</si>
  <si>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</si>
  <si>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</si>
  <si>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</si>
  <si>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</si>
  <si>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</si>
  <si>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</si>
  <si>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</si>
  <si>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</si>
  <si>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</si>
  <si>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</si>
  <si>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</si>
  <si>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</si>
  <si>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</si>
  <si>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</si>
  <si>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</si>
  <si>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</si>
  <si>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</si>
  <si>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</si>
  <si>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</si>
  <si>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</si>
  <si>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</si>
  <si>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</si>
  <si>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</si>
  <si>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</si>
  <si>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</si>
  <si>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</si>
  <si>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</si>
  <si>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</si>
  <si>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</si>
  <si>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</si>
  <si>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</si>
  <si>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</si>
  <si>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</si>
  <si>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</si>
  <si>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</si>
  <si>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</si>
  <si>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</si>
  <si>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</si>
  <si>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</si>
  <si>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</si>
  <si>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</si>
  <si>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</si>
  <si>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</si>
  <si>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</si>
  <si>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</si>
  <si>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</si>
  <si>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</si>
  <si>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</si>
  <si>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</si>
  <si>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</si>
  <si>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</si>
  <si>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</si>
  <si>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</si>
  <si>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</si>
  <si>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</si>
  <si>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</si>
  <si>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</si>
  <si>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</si>
  <si>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</si>
  <si>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</si>
  <si>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</si>
  <si>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</si>
  <si>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</si>
  <si>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</si>
  <si>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</si>
  <si>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</si>
  <si>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</si>
  <si>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</si>
  <si>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</si>
  <si>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</si>
  <si>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</si>
  <si>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</si>
  <si>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</si>
  <si>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</si>
  <si>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</si>
  <si>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</si>
  <si>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</si>
  <si>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</si>
  <si>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</si>
  <si>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</si>
  <si>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</si>
  <si>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</si>
  <si>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</si>
  <si>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</si>
  <si>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</si>
  <si>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</si>
  <si>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</si>
  <si>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</si>
  <si>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</si>
  <si>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</si>
  <si>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</si>
  <si>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</si>
  <si>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</si>
  <si>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</si>
  <si>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</si>
  <si>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</si>
  <si>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</si>
  <si>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</si>
  <si>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</si>
  <si>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</si>
  <si>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</si>
  <si>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</si>
  <si>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</si>
  <si>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</si>
  <si>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</si>
  <si>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</si>
  <si>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</si>
  <si>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</si>
  <si>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</si>
  <si>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</si>
  <si>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</si>
  <si>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</si>
  <si>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</si>
  <si>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</si>
  <si>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</si>
  <si>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</si>
  <si>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</si>
  <si>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</si>
  <si>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</si>
  <si>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</si>
  <si>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</si>
  <si>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</si>
  <si>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</si>
  <si>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</si>
  <si>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</si>
  <si>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</si>
  <si>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</si>
  <si>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</si>
  <si>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</si>
  <si>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</si>
  <si>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</si>
  <si>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</si>
  <si>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</si>
  <si>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</si>
  <si>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</si>
  <si>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</si>
  <si>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</si>
  <si>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</si>
  <si>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</si>
  <si>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</si>
  <si>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</si>
  <si>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</si>
  <si>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</si>
  <si>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</si>
  <si>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</si>
  <si>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</si>
  <si>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</si>
  <si>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</si>
  <si>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</si>
  <si>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</si>
  <si>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</si>
  <si>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</si>
  <si>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</si>
  <si>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</si>
  <si>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</si>
  <si>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</si>
  <si>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</si>
  <si>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</si>
  <si>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</si>
  <si>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</si>
  <si>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</si>
  <si>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</si>
  <si>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</si>
  <si>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</si>
  <si>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</si>
  <si>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</si>
  <si>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</si>
  <si>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</si>
  <si>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</si>
  <si>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</si>
  <si>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</si>
  <si>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</si>
  <si>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</si>
  <si>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</si>
  <si>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</si>
  <si>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</si>
  <si>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</si>
  <si>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</si>
  <si>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</si>
  <si>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</si>
  <si>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</si>
  <si>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</si>
  <si>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</si>
  <si>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</si>
  <si>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</si>
  <si>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</si>
  <si>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</si>
  <si>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</si>
  <si>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</si>
  <si>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</si>
  <si>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</si>
  <si>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</si>
  <si>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</si>
  <si>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</si>
  <si>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</si>
  <si>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</si>
  <si>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</si>
  <si>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</si>
  <si>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</si>
  <si>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</si>
  <si>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</si>
  <si>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</si>
  <si>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</si>
  <si>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</si>
  <si>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</si>
  <si>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</si>
  <si>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</si>
  <si>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</si>
  <si>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</si>
  <si>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</si>
  <si>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</si>
  <si>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</si>
  <si>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</si>
  <si>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</si>
  <si>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</si>
  <si>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</si>
  <si>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</si>
  <si>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</si>
  <si>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</si>
  <si>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</si>
  <si>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</si>
  <si>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</si>
  <si>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</si>
  <si>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</si>
  <si>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</si>
  <si>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</si>
  <si>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</si>
  <si>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</si>
  <si>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</si>
  <si>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</si>
  <si>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</si>
  <si>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</si>
  <si>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</si>
  <si>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</si>
  <si>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</si>
  <si>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</si>
  <si>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</si>
  <si>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</si>
  <si>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</si>
  <si>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</si>
  <si>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</si>
  <si>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</si>
  <si>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</si>
  <si>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</si>
  <si>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</si>
  <si>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</si>
  <si>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</si>
  <si>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</si>
  <si>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</si>
  <si>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</si>
  <si>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</si>
  <si>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</si>
  <si>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</si>
  <si>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</si>
  <si>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</si>
  <si>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</si>
  <si>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</si>
  <si>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</si>
  <si>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</si>
  <si>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</si>
  <si>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</si>
  <si>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</si>
  <si>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</si>
  <si>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</si>
  <si>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</si>
  <si>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</si>
  <si>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</si>
  <si>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</si>
  <si>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</si>
  <si>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</si>
  <si>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</si>
  <si>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</si>
  <si>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</si>
  <si>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</si>
  <si>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</si>
  <si>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</si>
  <si>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</si>
  <si>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</si>
  <si>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</si>
  <si>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</si>
  <si>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</si>
  <si>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</si>
  <si>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</si>
  <si>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</si>
  <si>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</si>
  <si>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</si>
  <si>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</si>
  <si>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</si>
  <si>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</si>
  <si>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</si>
  <si>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</si>
  <si>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</si>
  <si>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</si>
  <si>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</si>
  <si>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</si>
  <si>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</si>
  <si>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</si>
  <si>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</si>
  <si>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</si>
  <si>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</si>
  <si>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</si>
  <si>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</si>
  <si>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</si>
  <si>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</si>
  <si>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</si>
  <si>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</si>
  <si>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</si>
  <si>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</si>
  <si>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</si>
  <si>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</si>
  <si>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</si>
  <si>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</si>
  <si>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</si>
  <si>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</si>
  <si>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</si>
  <si>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</si>
  <si>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</si>
  <si>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</si>
  <si>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</si>
  <si>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</si>
  <si>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</si>
  <si>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</si>
  <si>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</si>
  <si>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</si>
  <si>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</si>
  <si>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</si>
  <si>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</si>
  <si>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</si>
  <si>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</si>
  <si>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</si>
  <si>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</si>
  <si>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</si>
  <si>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</si>
  <si>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</si>
  <si>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</si>
  <si>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</si>
  <si>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</si>
  <si>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</si>
  <si>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</si>
  <si>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</si>
  <si>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</si>
  <si>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</si>
  <si>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</si>
  <si>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</si>
  <si>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</si>
  <si>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</si>
  <si>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</si>
  <si>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</si>
  <si>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</si>
  <si>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</si>
  <si>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</si>
  <si>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</si>
  <si>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</si>
  <si>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</si>
  <si>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</si>
  <si>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</si>
  <si>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</si>
  <si>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</si>
  <si>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</si>
  <si>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</si>
  <si>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</si>
  <si>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</si>
  <si>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</si>
  <si>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</si>
  <si>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</si>
  <si>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</si>
  <si>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</si>
  <si>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</si>
  <si>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</si>
  <si>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</si>
  <si>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</si>
  <si>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</si>
  <si>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</si>
  <si>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</si>
  <si>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</si>
  <si>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</si>
  <si>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</si>
  <si>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</si>
  <si>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</si>
  <si>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</si>
  <si>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</si>
  <si>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</si>
  <si>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</si>
  <si>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</si>
  <si>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</si>
  <si>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</si>
  <si>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</si>
  <si>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</si>
  <si>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</si>
  <si>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</si>
  <si>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</si>
  <si>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</si>
  <si>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</si>
  <si>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</si>
  <si>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</si>
  <si>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</si>
  <si>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</si>
  <si>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</si>
  <si>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</si>
  <si>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</si>
  <si>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</si>
  <si>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</si>
  <si>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</si>
  <si>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</si>
  <si>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</si>
  <si>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</si>
  <si>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</si>
  <si>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</si>
  <si>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</si>
  <si>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</si>
  <si>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</si>
  <si>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</si>
  <si>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</si>
  <si>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</si>
  <si>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</si>
  <si>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</si>
  <si>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</si>
  <si>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</si>
  <si>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</si>
  <si>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</si>
  <si>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</si>
  <si>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</si>
  <si>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</si>
  <si>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</si>
  <si>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</si>
  <si>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</si>
  <si>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</si>
  <si>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</si>
  <si>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</si>
  <si>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</si>
  <si>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</si>
  <si>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</si>
  <si>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</si>
  <si>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</si>
  <si>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</si>
  <si>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</si>
  <si>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</si>
  <si>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</si>
  <si>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</si>
  <si>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</si>
  <si>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</si>
  <si>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</si>
  <si>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</si>
  <si>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</si>
  <si>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</si>
  <si>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</si>
  <si>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</si>
  <si>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</si>
  <si>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</si>
  <si>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</si>
  <si>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</si>
  <si>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</si>
  <si>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</si>
  <si>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</si>
  <si>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</si>
  <si>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</si>
  <si>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</si>
  <si>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</si>
  <si>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</si>
  <si>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</si>
  <si>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</si>
  <si>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</si>
  <si>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</si>
  <si>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</si>
  <si>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</si>
  <si>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</si>
  <si>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</si>
  <si>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</si>
  <si>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</si>
  <si>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</si>
  <si>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</si>
  <si>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</si>
  <si>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</si>
  <si>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</si>
  <si>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</si>
  <si>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</si>
  <si>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</si>
  <si>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</si>
  <si>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</si>
  <si>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</si>
  <si>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</si>
  <si>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</si>
  <si>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</si>
  <si>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</si>
  <si>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</si>
  <si>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</si>
  <si>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</si>
  <si>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</si>
  <si>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</si>
  <si>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</si>
  <si>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</si>
  <si>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</si>
  <si>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</si>
  <si>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</si>
  <si>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</si>
  <si>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</si>
  <si>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</si>
  <si>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</si>
  <si>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</si>
  <si>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</si>
  <si>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</si>
  <si>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</si>
  <si>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</si>
  <si>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</si>
  <si>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</si>
  <si>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</si>
  <si>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</si>
  <si>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</si>
  <si>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</si>
  <si>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</si>
  <si>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</si>
  <si>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</si>
  <si>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</si>
  <si>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</si>
  <si>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</si>
  <si>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</si>
  <si>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</si>
  <si>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</si>
  <si>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</si>
  <si>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</si>
  <si>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</si>
  <si>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</si>
  <si>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</si>
  <si>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</si>
  <si>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</si>
  <si>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</si>
  <si>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</si>
  <si>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</si>
  <si>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</si>
  <si>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</si>
  <si>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</si>
  <si>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</si>
  <si>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</si>
  <si>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</si>
  <si>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</si>
  <si>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</si>
  <si>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</si>
  <si>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</si>
  <si>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</si>
  <si>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</si>
  <si>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</si>
  <si>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</si>
  <si>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</si>
  <si>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</si>
  <si>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</si>
  <si>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</si>
  <si>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</si>
  <si>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</si>
  <si>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</si>
  <si>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</si>
  <si>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</si>
  <si>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</si>
  <si>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</si>
  <si>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</si>
  <si>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</si>
  <si>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</si>
  <si>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</si>
  <si>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</si>
  <si>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</si>
  <si>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</si>
  <si>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</si>
  <si>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</si>
  <si>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</si>
  <si>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</si>
  <si>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</si>
  <si>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</si>
  <si>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</si>
  <si>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</si>
  <si>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</si>
  <si>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</si>
  <si>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</si>
  <si>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</si>
  <si>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</si>
  <si>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</si>
  <si>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</si>
  <si>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</si>
  <si>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</si>
  <si>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</si>
  <si>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</si>
  <si>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</si>
  <si>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</si>
  <si>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</si>
  <si>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</si>
  <si>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</si>
  <si>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</si>
  <si>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</si>
  <si>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</si>
  <si>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</si>
  <si>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</si>
  <si>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</si>
  <si>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</si>
  <si>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</si>
  <si>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</si>
  <si>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</si>
  <si>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</si>
  <si>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</si>
  <si>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</si>
  <si>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</si>
  <si>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</si>
  <si>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</si>
  <si>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</si>
  <si>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</si>
  <si>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</si>
  <si>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</si>
  <si>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</si>
  <si>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</si>
  <si>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</si>
  <si>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</si>
  <si>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</si>
  <si>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</si>
  <si>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</si>
  <si>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</si>
  <si>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</si>
  <si>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</si>
  <si>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</si>
  <si>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</si>
  <si>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</si>
  <si>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</si>
  <si>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</si>
  <si>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</si>
  <si>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</si>
  <si>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</si>
  <si>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</si>
  <si>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</si>
  <si>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</si>
  <si>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</si>
  <si>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</si>
  <si>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</si>
  <si>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</si>
  <si>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</si>
  <si>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</si>
  <si>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</si>
  <si>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</si>
  <si>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</si>
  <si>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</si>
  <si>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</si>
  <si>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</si>
  <si>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</si>
  <si>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</si>
  <si>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</si>
  <si>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</si>
  <si>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</si>
  <si>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</si>
  <si>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</si>
  <si>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</si>
  <si>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</si>
  <si>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</si>
  <si>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</si>
  <si>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</si>
  <si>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</si>
  <si>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</si>
  <si>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</si>
  <si>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</si>
  <si>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</si>
  <si>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</si>
  <si>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</si>
  <si>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</si>
  <si>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</si>
  <si>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</si>
  <si>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</si>
  <si>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</si>
  <si>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</si>
  <si>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</si>
  <si>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</si>
  <si>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</si>
  <si>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</si>
  <si>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</si>
  <si>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</si>
  <si>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</si>
  <si>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</si>
  <si>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</si>
  <si>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</si>
  <si>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</si>
  <si>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</si>
  <si>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</si>
  <si>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</si>
  <si>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</si>
  <si>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</si>
  <si>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</si>
  <si>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</si>
  <si>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</si>
  <si>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</si>
  <si>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</si>
  <si>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</si>
  <si>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</si>
  <si>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</si>
  <si>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</si>
  <si>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</si>
  <si>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</si>
  <si>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</si>
  <si>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</si>
  <si>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</si>
  <si>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</si>
  <si>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</si>
  <si>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</si>
  <si>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</si>
  <si>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</si>
  <si>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</si>
  <si>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</si>
  <si>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</si>
  <si>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</si>
  <si>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</si>
  <si>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</si>
  <si>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</si>
  <si>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</si>
  <si>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</si>
  <si>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</si>
  <si>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</si>
  <si>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</si>
  <si>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</si>
  <si>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</si>
  <si>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</si>
  <si>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</si>
  <si>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</si>
  <si>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</si>
  <si>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</si>
  <si>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</si>
  <si>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</si>
  <si>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</si>
  <si>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</si>
  <si>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</si>
  <si>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</si>
  <si>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</si>
  <si>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</si>
  <si>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</si>
  <si>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</si>
  <si>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</si>
  <si>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</si>
  <si>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</si>
  <si>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</si>
  <si>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</si>
  <si>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</si>
  <si>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</si>
  <si>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</si>
  <si>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</si>
  <si>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</si>
  <si>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</si>
  <si>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</si>
  <si>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</si>
  <si>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</si>
  <si>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</si>
  <si>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</si>
  <si>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</si>
  <si>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</si>
  <si>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</si>
  <si>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</si>
  <si>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</si>
  <si>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</si>
  <si>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</si>
  <si>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</si>
  <si>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</si>
  <si>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</si>
  <si>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</si>
  <si>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</si>
  <si>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</si>
  <si>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</si>
  <si>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</si>
  <si>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</si>
  <si>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</si>
  <si>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</si>
  <si>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</si>
  <si>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</si>
  <si>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</si>
  <si>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</si>
  <si>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</si>
  <si>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</si>
  <si>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</si>
  <si>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</si>
  <si>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</si>
  <si>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</si>
  <si>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</si>
  <si>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</si>
  <si>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</si>
  <si>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</si>
  <si>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</si>
  <si>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</si>
  <si>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</si>
  <si>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</si>
  <si>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</si>
  <si>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</si>
  <si>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</si>
  <si>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</si>
  <si>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</si>
  <si>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</si>
  <si>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</si>
  <si>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</si>
  <si>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</si>
  <si>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</si>
  <si>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</si>
  <si>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</si>
  <si>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</si>
  <si>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</si>
  <si>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</si>
  <si>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</si>
  <si>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</si>
  <si>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</si>
  <si>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</si>
  <si>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</si>
  <si>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</si>
  <si>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</si>
  <si>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</si>
  <si>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</si>
  <si>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</si>
  <si>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</si>
  <si>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</si>
  <si>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</si>
  <si>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</si>
  <si>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</si>
  <si>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</si>
  <si>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</si>
  <si>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</si>
  <si>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</si>
  <si>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</si>
  <si>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</si>
  <si>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</si>
  <si>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</si>
  <si>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</si>
  <si>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</si>
  <si>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</si>
  <si>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</si>
  <si>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</si>
  <si>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</si>
  <si>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</si>
  <si>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</si>
  <si>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</si>
  <si>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</si>
  <si>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</si>
  <si>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</si>
  <si>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</si>
  <si>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</si>
  <si>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</si>
  <si>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</si>
  <si>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</si>
  <si>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</si>
  <si>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</si>
  <si>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</si>
  <si>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</si>
  <si>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</si>
  <si>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</si>
  <si>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</si>
  <si>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</si>
  <si>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</si>
  <si>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</si>
  <si>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</si>
  <si>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</si>
  <si>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</si>
  <si>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</si>
  <si>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</si>
  <si>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</si>
  <si>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</si>
  <si>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</si>
  <si>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</si>
  <si>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</si>
  <si>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</si>
  <si>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</si>
  <si>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</si>
  <si>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</si>
  <si>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</si>
  <si>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</si>
  <si>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</si>
  <si>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</si>
  <si>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</si>
  <si>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</si>
  <si>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</si>
  <si>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</si>
  <si>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</si>
  <si>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</si>
  <si>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</si>
  <si>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</si>
  <si>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</si>
  <si>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</si>
  <si>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</si>
  <si>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</si>
  <si>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</si>
  <si>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</si>
  <si>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</si>
  <si>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</si>
  <si>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</si>
  <si>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</si>
  <si>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</si>
  <si>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</si>
  <si>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</si>
  <si>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</si>
  <si>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</si>
  <si>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</si>
  <si>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</si>
  <si>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</si>
  <si>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</si>
  <si>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</si>
  <si>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</si>
  <si>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</si>
  <si>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</si>
  <si>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</si>
  <si>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</si>
  <si>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</si>
  <si>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</si>
  <si>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</si>
  <si>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</si>
  <si>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</si>
  <si>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</si>
  <si>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</si>
  <si>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</si>
  <si>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</si>
  <si>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</si>
  <si>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</si>
  <si>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</si>
  <si>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</si>
  <si>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</si>
  <si>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</si>
  <si>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</si>
  <si>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</si>
  <si>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</si>
  <si>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</si>
  <si>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</si>
  <si>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</si>
  <si>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</si>
  <si>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</si>
  <si>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</si>
  <si>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</si>
  <si>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</si>
  <si>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</si>
  <si>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</si>
  <si>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</si>
  <si>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</si>
  <si>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</si>
  <si>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</si>
  <si>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</si>
  <si>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</si>
  <si>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</si>
  <si>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</si>
  <si>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</si>
  <si>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</si>
  <si>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</si>
  <si>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</si>
  <si>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</si>
  <si>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</si>
  <si>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</si>
  <si>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</si>
  <si>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</si>
  <si>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</si>
  <si>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</si>
  <si>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</si>
  <si>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</si>
  <si>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</si>
  <si>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</si>
  <si>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</si>
  <si>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</si>
  <si>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</si>
  <si>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</si>
  <si>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</si>
  <si>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</si>
  <si>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</si>
  <si>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</si>
  <si>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</si>
  <si>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</si>
  <si>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</si>
  <si>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</si>
  <si>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</si>
  <si>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</si>
  <si>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</si>
  <si>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</si>
  <si>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</si>
  <si>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</si>
  <si>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</si>
  <si>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</si>
  <si>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</si>
  <si>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</si>
  <si>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</si>
  <si>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</si>
  <si>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</si>
  <si>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</si>
  <si>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</si>
  <si>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</si>
  <si>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</si>
  <si>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</si>
  <si>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</si>
  <si>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</si>
  <si>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</si>
  <si>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</si>
  <si>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</si>
  <si>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</si>
  <si>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</si>
  <si>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</si>
  <si>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</si>
  <si>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</si>
  <si>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</si>
  <si>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</si>
  <si>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</si>
  <si>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</si>
  <si>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</si>
  <si>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</si>
  <si>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</si>
  <si>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</si>
  <si>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</si>
  <si>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</si>
  <si>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</si>
  <si>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</si>
  <si>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</si>
  <si>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</si>
  <si>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</si>
  <si>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</si>
  <si>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</si>
  <si>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</si>
  <si>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</si>
  <si>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</si>
  <si>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</si>
  <si>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</si>
  <si>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</si>
  <si>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</si>
  <si>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</si>
  <si>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</si>
  <si>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</si>
  <si>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</si>
  <si>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</si>
  <si>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</si>
  <si>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</si>
  <si>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</si>
  <si>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</si>
  <si>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</si>
  <si>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</si>
  <si>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</si>
  <si>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</si>
  <si>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</si>
  <si>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</si>
  <si>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</si>
  <si>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</si>
  <si>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</si>
  <si>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</si>
  <si>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</si>
  <si>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</si>
  <si>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</si>
  <si>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</si>
  <si>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</si>
  <si>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</si>
  <si>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</si>
  <si>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</si>
  <si>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</si>
  <si>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</si>
  <si>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</si>
  <si>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</si>
  <si>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</si>
  <si>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</si>
  <si>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</si>
  <si>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</si>
  <si>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</si>
  <si>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</si>
  <si>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</si>
  <si>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</si>
  <si>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</si>
  <si>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</si>
  <si>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</si>
  <si>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</si>
  <si>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</si>
  <si>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</si>
  <si>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</si>
  <si>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</si>
  <si>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</si>
  <si>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</si>
  <si>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</si>
  <si>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</si>
  <si>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</si>
  <si>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</si>
  <si>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</si>
  <si>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</si>
  <si>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</si>
  <si>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</si>
  <si>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</si>
  <si>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</si>
  <si>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</si>
  <si>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</si>
  <si>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</si>
  <si>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</si>
  <si>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</si>
  <si>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</si>
  <si>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</si>
  <si>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</si>
  <si>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</si>
  <si>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</si>
  <si>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</si>
  <si>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</si>
  <si>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</si>
  <si>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</si>
  <si>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</si>
  <si>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</si>
  <si>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</si>
  <si>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</si>
  <si>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</si>
  <si>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</si>
  <si>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</si>
  <si>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</si>
  <si>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</si>
  <si>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</si>
  <si>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</si>
  <si>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</si>
  <si>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</si>
  <si>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</si>
  <si>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</si>
  <si>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</si>
  <si>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</si>
  <si>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</si>
  <si>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</si>
  <si>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</si>
  <si>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</si>
  <si>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</si>
  <si>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</si>
  <si>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</si>
  <si>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</si>
  <si>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</si>
  <si>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</si>
  <si>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</si>
  <si>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</si>
  <si>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</si>
  <si>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</si>
  <si>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</si>
  <si>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</si>
  <si>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</si>
  <si>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</si>
  <si>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</si>
  <si>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</si>
  <si>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</si>
  <si>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</si>
  <si>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</si>
  <si>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</si>
  <si>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</si>
  <si>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</si>
  <si>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</si>
  <si>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</si>
  <si>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</si>
  <si>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</si>
  <si>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</si>
  <si>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</si>
  <si>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</si>
  <si>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</si>
  <si>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</si>
  <si>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</si>
  <si>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</si>
  <si>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</si>
  <si>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</si>
  <si>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</si>
  <si>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</si>
  <si>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</si>
  <si>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</si>
  <si>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</si>
  <si>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</si>
  <si>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</si>
  <si>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</si>
  <si>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</si>
  <si>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</si>
  <si>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</si>
  <si>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</si>
  <si>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</si>
  <si>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</si>
  <si>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</si>
  <si>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</si>
  <si>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</si>
  <si>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</si>
  <si>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</si>
  <si>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</si>
  <si>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</si>
  <si>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</si>
  <si>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</si>
  <si>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</si>
  <si>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</si>
  <si>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</si>
  <si>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</si>
  <si>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</si>
  <si>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</si>
  <si>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</si>
  <si>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</si>
  <si>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</si>
  <si>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</si>
  <si>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</si>
  <si>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</si>
  <si>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</si>
  <si>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</si>
  <si>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</si>
  <si>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</si>
  <si>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</si>
  <si>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</si>
  <si>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</si>
  <si>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</si>
  <si>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</si>
  <si>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</si>
  <si>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</si>
  <si>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</si>
  <si>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</si>
  <si>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</si>
  <si>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</si>
  <si>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</si>
  <si>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</si>
  <si>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</si>
  <si>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</si>
  <si>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</si>
  <si>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</si>
  <si>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</si>
  <si>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</si>
  <si>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</si>
  <si>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</si>
  <si>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</si>
  <si>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</si>
  <si>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</si>
  <si>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</si>
  <si>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</si>
  <si>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</si>
  <si>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</si>
  <si>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</si>
  <si>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</si>
  <si>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</si>
  <si>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</si>
  <si>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</si>
  <si>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</si>
  <si>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</si>
  <si>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</si>
  <si>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</si>
  <si>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</si>
  <si>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</si>
  <si>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</si>
  <si>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</si>
  <si>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</si>
  <si>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</si>
  <si>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</si>
  <si>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</si>
  <si>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</si>
  <si>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</si>
  <si>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</si>
  <si>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</si>
  <si>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</si>
  <si>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</si>
  <si>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</si>
  <si>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</si>
  <si>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</si>
  <si>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</si>
  <si>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</si>
  <si>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</si>
  <si>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</si>
  <si>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</si>
  <si>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</si>
  <si>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</si>
  <si>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</si>
  <si>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</si>
  <si>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</si>
  <si>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</si>
  <si>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</si>
  <si>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</si>
  <si>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</si>
  <si>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</si>
  <si>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</si>
  <si>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</si>
  <si>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</si>
  <si>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</si>
  <si>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</si>
  <si>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</si>
  <si>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</si>
  <si>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</si>
  <si>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</si>
  <si>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</si>
  <si>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</si>
  <si>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</si>
  <si>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</si>
  <si>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</si>
  <si>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</si>
  <si>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</si>
  <si>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</si>
  <si>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</si>
  <si>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</si>
  <si>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</si>
  <si>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</si>
  <si>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</si>
  <si>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</si>
  <si>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</si>
  <si>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</si>
  <si>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</si>
  <si>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</si>
  <si>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</si>
  <si>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</si>
  <si>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</si>
  <si>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</si>
  <si>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</si>
  <si>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</si>
  <si>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</si>
  <si>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</si>
  <si>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</si>
  <si>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</si>
  <si>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</si>
  <si>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</si>
  <si>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</si>
  <si>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</si>
  <si>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</si>
  <si>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</si>
  <si>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</si>
  <si>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</si>
  <si>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</si>
  <si>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</si>
  <si>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</si>
  <si>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</si>
  <si>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</si>
  <si>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</si>
  <si>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</si>
  <si>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</si>
  <si>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</si>
  <si>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</si>
  <si>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</si>
  <si>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</si>
  <si>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</si>
  <si>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</si>
  <si>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</si>
  <si>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</si>
  <si>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</si>
  <si>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</si>
  <si>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</si>
  <si>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</si>
  <si>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</si>
  <si>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</si>
  <si>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</si>
  <si>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</si>
  <si>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</si>
  <si>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</si>
  <si>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</si>
  <si>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</si>
  <si>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</si>
  <si>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</si>
  <si>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</si>
  <si>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</si>
  <si>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</si>
  <si>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</si>
  <si>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</si>
  <si>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</si>
  <si>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</si>
  <si>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</si>
  <si>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</si>
  <si>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</si>
  <si>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</si>
  <si>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</si>
  <si>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</si>
  <si>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</si>
  <si>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</si>
  <si>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</si>
  <si>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</si>
  <si>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</si>
  <si>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</si>
  <si>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</si>
  <si>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</si>
  <si>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</si>
  <si>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</si>
  <si>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</si>
  <si>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</si>
  <si>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</si>
  <si>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</si>
  <si>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</si>
  <si>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</si>
  <si>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</si>
  <si>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</si>
  <si>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</si>
  <si>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</si>
  <si>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</si>
  <si>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</si>
  <si>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</si>
  <si>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</si>
  <si>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</si>
  <si>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</si>
  <si>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</si>
  <si>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</si>
  <si>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</si>
  <si>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</si>
  <si>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</si>
  <si>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</si>
  <si>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</si>
  <si>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</si>
  <si>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</si>
  <si>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</si>
  <si>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</si>
  <si>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</si>
  <si>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</si>
  <si>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</si>
  <si>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</si>
  <si>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</si>
  <si>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</si>
  <si>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</si>
  <si>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</si>
  <si>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</si>
  <si>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</si>
  <si>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</si>
  <si>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</si>
  <si>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</si>
  <si>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</si>
  <si>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</si>
  <si>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</si>
  <si>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</si>
  <si>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</si>
  <si>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</si>
  <si>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</si>
  <si>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</si>
  <si>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</si>
  <si>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</si>
  <si>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</si>
  <si>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</si>
  <si>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</si>
  <si>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</si>
  <si>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</si>
  <si>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</si>
  <si>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</si>
  <si>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</si>
  <si>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</si>
  <si>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</si>
  <si>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</si>
  <si>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</si>
  <si>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</si>
  <si>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</si>
  <si>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</si>
  <si>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</si>
  <si>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</si>
  <si>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</si>
  <si>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</si>
  <si>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</si>
  <si>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</si>
  <si>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</si>
  <si>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</si>
  <si>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</si>
  <si>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</si>
  <si>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</si>
  <si>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</si>
  <si>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</si>
  <si>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</si>
  <si>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</si>
  <si>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</si>
  <si>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</si>
  <si>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</si>
  <si>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</si>
  <si>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</si>
  <si>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</si>
  <si>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</si>
  <si>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</si>
  <si>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</si>
  <si>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</si>
  <si>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</si>
  <si>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</si>
  <si>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</si>
  <si>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</si>
  <si>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</si>
  <si>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</si>
  <si>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</si>
  <si>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</si>
  <si>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</si>
  <si>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</si>
  <si>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</si>
  <si>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</si>
  <si>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</si>
  <si>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</si>
  <si>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</si>
  <si>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</si>
  <si>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</si>
  <si>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</si>
  <si>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</si>
  <si>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</si>
  <si>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</si>
  <si>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</si>
  <si>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</si>
  <si>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</si>
  <si>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</si>
  <si>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</si>
  <si>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</si>
  <si>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</si>
  <si>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</si>
  <si>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</si>
  <si>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</si>
  <si>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</si>
  <si>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</si>
  <si>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</si>
  <si>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</si>
  <si>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</si>
  <si>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</si>
  <si>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</si>
  <si>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</si>
  <si>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</si>
  <si>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</si>
  <si>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</si>
  <si>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</si>
  <si>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</si>
  <si>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</si>
  <si>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</si>
  <si>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</si>
  <si>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</si>
  <si>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</si>
  <si>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</si>
  <si>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</si>
  <si>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</si>
  <si>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</si>
  <si>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</si>
  <si>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</si>
  <si>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</si>
  <si>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</si>
  <si>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</si>
  <si>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</si>
  <si>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</si>
  <si>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</si>
  <si>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</si>
  <si>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</si>
  <si>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</si>
  <si>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</si>
  <si>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</si>
  <si>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</si>
  <si>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</si>
  <si>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</si>
  <si>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</si>
  <si>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</si>
  <si>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</si>
  <si>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</si>
  <si>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</si>
  <si>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</si>
  <si>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</si>
  <si>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</si>
  <si>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</si>
  <si>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</si>
  <si>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</si>
  <si>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</si>
  <si>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</si>
  <si>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</si>
  <si>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</si>
  <si>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</si>
  <si>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</si>
  <si>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</si>
  <si>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</si>
  <si>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</si>
  <si>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</si>
  <si>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</si>
  <si>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</si>
  <si>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</si>
  <si>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</si>
  <si>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</si>
  <si>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</si>
  <si>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</si>
  <si>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</si>
  <si>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</si>
  <si>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</si>
  <si>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</si>
  <si>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</si>
  <si>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</si>
  <si>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</si>
  <si>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</si>
  <si>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</si>
  <si>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</si>
  <si>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</si>
  <si>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</si>
  <si>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</si>
  <si>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</si>
  <si>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</si>
  <si>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</si>
  <si>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</si>
  <si>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</si>
  <si>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</si>
  <si>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</si>
  <si>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</si>
  <si>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</si>
  <si>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</si>
  <si>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</si>
  <si>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</si>
  <si>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</si>
  <si>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</si>
  <si>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</si>
  <si>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</si>
  <si>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</si>
  <si>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</si>
  <si>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</si>
  <si>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</si>
  <si>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</si>
  <si>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</si>
  <si>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</si>
  <si>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</si>
  <si>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</si>
  <si>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</si>
  <si>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</si>
  <si>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</si>
  <si>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</si>
  <si>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</si>
  <si>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</si>
  <si>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</si>
  <si>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</si>
  <si>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</si>
  <si>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</si>
  <si>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</si>
  <si>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</si>
  <si>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</si>
  <si>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</si>
  <si>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</si>
  <si>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</si>
  <si>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</si>
  <si>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</si>
  <si>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</si>
  <si>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</si>
  <si>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</si>
  <si>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</si>
  <si>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</si>
  <si>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</si>
  <si>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</si>
  <si>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</si>
  <si>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</si>
  <si>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</si>
  <si>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</si>
  <si>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</si>
  <si>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</si>
  <si>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</si>
  <si>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</si>
  <si>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</si>
  <si>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</si>
  <si>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</si>
  <si>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</si>
  <si>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</si>
  <si>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</si>
  <si>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</si>
  <si>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</si>
  <si>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</si>
  <si>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</si>
  <si>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</si>
  <si>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</si>
  <si>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</si>
  <si>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</si>
  <si>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</si>
  <si>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</si>
  <si>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</si>
  <si>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</si>
  <si>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</si>
  <si>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</si>
  <si>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</si>
  <si>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</si>
  <si>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</si>
  <si>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</si>
  <si>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</si>
  <si>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</si>
  <si>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</si>
  <si>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</si>
  <si>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</si>
  <si>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</si>
  <si>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</si>
  <si>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</si>
  <si>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</si>
  <si>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</si>
  <si>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</si>
  <si>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</si>
  <si>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</si>
  <si>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</si>
  <si>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</si>
  <si>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</si>
  <si>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</si>
  <si>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</si>
  <si>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</si>
  <si>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</si>
  <si>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</si>
  <si>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</si>
  <si>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</si>
  <si>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</si>
  <si>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</si>
  <si>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</si>
  <si>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</si>
  <si>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</si>
  <si>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</si>
  <si>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</si>
  <si>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</si>
  <si>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</si>
  <si>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</si>
  <si>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</si>
  <si>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</si>
  <si>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</si>
  <si>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</si>
  <si>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</si>
  <si>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</si>
  <si>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</si>
  <si>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</si>
  <si>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</si>
  <si>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</si>
  <si>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</si>
  <si>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</si>
  <si>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</si>
  <si>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</si>
  <si>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</si>
  <si>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</si>
  <si>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</si>
  <si>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</si>
  <si>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</si>
  <si>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</si>
  <si>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</si>
  <si>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</si>
  <si>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</si>
  <si>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</si>
  <si>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</si>
  <si>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</si>
  <si>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</si>
  <si>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</si>
  <si>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</si>
  <si>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</si>
  <si>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</si>
  <si>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</si>
  <si>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</si>
  <si>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</si>
  <si>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</si>
  <si>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</si>
  <si>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</si>
  <si>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</si>
  <si>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</si>
  <si>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</si>
  <si>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</si>
  <si>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</si>
  <si>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</si>
  <si>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</si>
  <si>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</si>
  <si>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</si>
  <si>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</si>
  <si>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</si>
  <si>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</si>
  <si>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</si>
  <si>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</si>
  <si>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</si>
  <si>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</si>
  <si>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</si>
  <si>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</si>
  <si>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</si>
  <si>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</si>
  <si>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</si>
  <si>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</si>
  <si>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</si>
  <si>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</si>
  <si>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</si>
  <si>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</si>
  <si>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</si>
  <si>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</si>
  <si>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</si>
  <si>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</si>
  <si>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</si>
  <si>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</si>
  <si>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</si>
  <si>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</si>
  <si>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</si>
  <si>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</si>
  <si>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</si>
  <si>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</si>
  <si>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</si>
  <si>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</si>
  <si>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</si>
  <si>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</si>
  <si>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</si>
  <si>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</si>
  <si>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</si>
  <si>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</si>
  <si>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</si>
  <si>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</si>
  <si>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</si>
  <si>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</si>
  <si>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</si>
  <si>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</si>
  <si>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</si>
  <si>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</si>
  <si>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</si>
  <si>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</si>
  <si>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</si>
  <si>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</si>
  <si>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</si>
  <si>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</si>
  <si>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</si>
  <si>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</si>
  <si>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</si>
  <si>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</si>
  <si>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</si>
  <si>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</si>
  <si>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</si>
  <si>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</si>
  <si>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</si>
  <si>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</si>
  <si>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</si>
  <si>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</si>
  <si>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</si>
  <si>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</si>
  <si>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</si>
  <si>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</si>
  <si>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</si>
  <si>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</si>
  <si>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</si>
  <si>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</si>
  <si>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</si>
  <si>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</si>
  <si>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</si>
  <si>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</si>
  <si>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</si>
  <si>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</si>
  <si>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</si>
  <si>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</si>
  <si>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</si>
  <si>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</si>
  <si>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</si>
  <si>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</si>
  <si>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</si>
  <si>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</si>
  <si>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</si>
  <si>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</si>
  <si>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</si>
  <si>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</si>
  <si>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</si>
  <si>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</si>
  <si>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</si>
  <si>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</si>
  <si>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</si>
  <si>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</si>
  <si>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</si>
  <si>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</si>
  <si>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</si>
  <si>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</si>
  <si>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</si>
  <si>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</si>
  <si>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</si>
  <si>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</si>
  <si>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</si>
  <si>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</si>
  <si>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</si>
  <si>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</si>
  <si>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</si>
  <si>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</si>
  <si>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</si>
  <si>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</si>
  <si>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</si>
  <si>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</si>
  <si>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</si>
  <si>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</si>
  <si>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</si>
  <si>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</si>
  <si>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</si>
  <si>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</si>
  <si>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</si>
  <si>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</si>
  <si>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</si>
  <si>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</si>
  <si>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</si>
  <si>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</si>
  <si>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</si>
  <si>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</si>
  <si>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</si>
  <si>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</si>
  <si>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</si>
  <si>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</si>
  <si>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</si>
  <si>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</si>
  <si>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</si>
  <si>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</si>
  <si>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</si>
  <si>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</si>
  <si>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</si>
  <si>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</si>
  <si>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</si>
  <si>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</si>
  <si>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</si>
  <si>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</si>
  <si>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</si>
  <si>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</si>
  <si>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</si>
  <si>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</si>
  <si>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</si>
  <si>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</si>
  <si>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</si>
  <si>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</si>
  <si>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</si>
  <si>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</si>
  <si>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</si>
  <si>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</si>
  <si>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</si>
  <si>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</si>
  <si>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</si>
  <si>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</si>
  <si>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</si>
  <si>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</si>
  <si>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</si>
  <si>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</si>
  <si>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</si>
  <si>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</si>
  <si>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</si>
  <si>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</si>
  <si>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</si>
  <si>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</si>
  <si>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</si>
  <si>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</si>
  <si>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</si>
  <si>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</si>
  <si>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</si>
  <si>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</si>
  <si>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</si>
  <si>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</si>
  <si>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</si>
  <si>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</si>
  <si>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</si>
  <si>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</si>
  <si>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</si>
  <si>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</si>
  <si>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</si>
  <si>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</si>
  <si>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</si>
  <si>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</si>
  <si>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</si>
  <si>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</si>
  <si>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</si>
  <si>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</si>
  <si>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</si>
  <si>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</si>
  <si>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</si>
  <si>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</si>
  <si>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</si>
  <si>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</si>
  <si>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</si>
  <si>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</si>
  <si>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</si>
  <si>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</si>
  <si>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</si>
  <si>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</si>
  <si>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</si>
  <si>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</si>
  <si>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</si>
  <si>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</si>
  <si>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</si>
  <si>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</si>
  <si>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</si>
  <si>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</si>
  <si>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</si>
  <si>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</si>
  <si>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</si>
  <si>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</si>
  <si>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</si>
  <si>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</si>
  <si>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</si>
  <si>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</si>
  <si>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</si>
  <si>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</si>
  <si>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</si>
  <si>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</si>
  <si>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</si>
  <si>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</si>
  <si>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</si>
  <si>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</si>
  <si>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</si>
  <si>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</si>
  <si>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</si>
  <si>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</si>
  <si>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</si>
  <si>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</si>
  <si>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</si>
  <si>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</si>
  <si>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</si>
  <si>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</si>
  <si>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</si>
  <si>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</si>
  <si>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</si>
  <si>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</si>
  <si>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</si>
  <si>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</si>
  <si>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</si>
  <si>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</si>
  <si>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</si>
  <si>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</si>
  <si>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</si>
  <si>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</si>
  <si>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</si>
  <si>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</si>
  <si>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</si>
  <si>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</si>
  <si>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</si>
  <si>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</si>
  <si>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</si>
  <si>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</si>
  <si>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</si>
  <si>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</si>
  <si>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</si>
  <si>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</si>
  <si>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</si>
  <si>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</si>
  <si>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</si>
  <si>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</si>
  <si>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</si>
  <si>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</si>
  <si>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</si>
  <si>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</si>
  <si>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</si>
  <si>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</si>
  <si>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</si>
  <si>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</si>
  <si>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</si>
  <si>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</si>
  <si>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</si>
  <si>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</si>
  <si>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</si>
  <si>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</si>
  <si>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</si>
  <si>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</si>
  <si>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</si>
  <si>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</si>
  <si>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</si>
  <si>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</si>
  <si>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</si>
  <si>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</si>
  <si>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</si>
  <si>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</si>
  <si>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</si>
  <si>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</si>
  <si>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</si>
  <si>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</si>
  <si>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</si>
  <si>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</si>
  <si>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</si>
  <si>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</si>
  <si>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</si>
  <si>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</si>
  <si>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</si>
  <si>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</si>
  <si>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</si>
  <si>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</si>
  <si>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</si>
  <si>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</si>
  <si>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</si>
  <si>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</si>
  <si>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</si>
  <si>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</si>
  <si>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</si>
  <si>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</si>
  <si>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</si>
  <si>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</si>
  <si>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</si>
  <si>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</si>
  <si>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</si>
  <si>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</si>
  <si>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</si>
  <si>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</si>
  <si>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</si>
  <si>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</si>
  <si>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</si>
  <si>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</si>
  <si>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</si>
  <si>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</si>
  <si>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</si>
  <si>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</si>
  <si>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</si>
  <si>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</si>
  <si>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</si>
  <si>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</si>
  <si>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</si>
  <si>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</si>
  <si>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</si>
  <si>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</si>
  <si>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</si>
  <si>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</si>
  <si>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</si>
  <si>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</si>
  <si>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</si>
  <si>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</si>
  <si>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</si>
  <si>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</si>
  <si>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</si>
  <si>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</si>
  <si>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</si>
  <si>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</si>
  <si>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</si>
  <si>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</si>
  <si>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</si>
  <si>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</si>
  <si>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</si>
  <si>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</si>
  <si>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</si>
  <si>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</si>
  <si>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</si>
  <si>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</si>
  <si>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</si>
  <si>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</si>
  <si>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</si>
  <si>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</si>
  <si>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</si>
  <si>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</si>
  <si>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</si>
  <si>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</si>
  <si>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</si>
  <si>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</si>
  <si>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</si>
  <si>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</si>
  <si>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</si>
  <si>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</si>
  <si>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</si>
  <si>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</si>
  <si>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</si>
  <si>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</si>
  <si>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</si>
  <si>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</si>
  <si>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</si>
  <si>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</si>
  <si>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</si>
  <si>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</si>
  <si>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</si>
  <si>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</si>
  <si>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</si>
  <si>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</si>
  <si>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</si>
  <si>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</si>
  <si>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</si>
  <si>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</si>
  <si>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</si>
  <si>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</si>
  <si>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</si>
  <si>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</si>
  <si>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</si>
  <si>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</si>
  <si>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</si>
  <si>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</si>
  <si>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</si>
  <si>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</si>
  <si>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</si>
  <si>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</si>
  <si>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</si>
  <si>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</si>
  <si>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</si>
  <si>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</si>
  <si>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</si>
  <si>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</si>
  <si>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</si>
  <si>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</si>
  <si>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</si>
  <si>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</si>
  <si>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</si>
  <si>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</si>
  <si>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</si>
  <si>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</si>
  <si>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</si>
  <si>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</si>
  <si>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</si>
  <si>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</si>
  <si>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</si>
  <si>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</si>
  <si>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</si>
  <si>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</si>
  <si>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</si>
  <si>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</si>
  <si>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</si>
  <si>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</si>
  <si>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</si>
  <si>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</si>
  <si>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</si>
  <si>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</si>
  <si>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</si>
  <si>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</si>
  <si>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</si>
  <si>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</si>
  <si>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</si>
  <si>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</si>
  <si>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</si>
  <si>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</si>
  <si>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</si>
  <si>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</si>
  <si>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</si>
  <si>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</si>
  <si>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</si>
  <si>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</si>
  <si>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</si>
  <si>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</si>
  <si>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</si>
  <si>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</si>
  <si>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</si>
  <si>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</si>
  <si>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</si>
  <si>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</si>
  <si>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</si>
  <si>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</si>
  <si>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</si>
  <si>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</si>
  <si>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</si>
  <si>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</si>
  <si>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</si>
  <si>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</si>
  <si>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</si>
  <si>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</si>
  <si>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</si>
  <si>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</si>
  <si>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</si>
  <si>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</si>
  <si>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</si>
  <si>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</si>
  <si>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</si>
  <si>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</si>
  <si>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</si>
  <si>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</si>
  <si>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</si>
  <si>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</si>
  <si>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</si>
  <si>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</si>
  <si>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</si>
  <si>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</si>
  <si>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</si>
  <si>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</si>
  <si>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</si>
  <si>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</si>
  <si>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</si>
  <si>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</si>
  <si>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</si>
  <si>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</si>
  <si>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</si>
  <si>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</si>
  <si>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</si>
  <si>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</si>
  <si>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</si>
  <si>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</si>
  <si>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</si>
  <si>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</si>
  <si>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</si>
  <si>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</si>
  <si>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</si>
  <si>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</si>
  <si>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</si>
  <si>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</si>
  <si>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</si>
  <si>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</si>
  <si>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</si>
  <si>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</si>
  <si>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</si>
  <si>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</si>
  <si>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</si>
  <si>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</si>
  <si>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</si>
  <si>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</si>
  <si>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</si>
  <si>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</si>
  <si>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</si>
  <si>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</si>
  <si>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</si>
  <si>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</si>
  <si>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</si>
  <si>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</si>
  <si>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</si>
  <si>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</si>
  <si>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</si>
  <si>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</si>
  <si>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</si>
  <si>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</si>
  <si>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</si>
  <si>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</si>
  <si>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</si>
  <si>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</si>
  <si>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</si>
  <si>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</si>
  <si>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</si>
  <si>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</si>
  <si>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</si>
  <si>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</si>
  <si>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</si>
  <si>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</si>
  <si>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</si>
  <si>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</si>
  <si>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</si>
  <si>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</si>
  <si>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</si>
  <si>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</si>
  <si>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</si>
  <si>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</si>
  <si>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</si>
  <si>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</si>
  <si>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</si>
  <si>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</si>
  <si>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</si>
  <si>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</si>
  <si>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</si>
  <si>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</si>
  <si>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</si>
  <si>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</si>
  <si>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</si>
  <si>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</si>
  <si>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</si>
  <si>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</si>
  <si>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</si>
  <si>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</si>
  <si>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</si>
  <si>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</si>
  <si>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</si>
  <si>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</si>
  <si>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</si>
  <si>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</si>
  <si>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</si>
  <si>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</si>
  <si>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</si>
  <si>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</si>
  <si>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</si>
  <si>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</si>
  <si>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</si>
  <si>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</si>
  <si>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</si>
  <si>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</si>
  <si>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</si>
  <si>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</si>
  <si>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</si>
  <si>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</si>
  <si>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</si>
  <si>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</si>
  <si>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</si>
  <si>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</si>
  <si>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</si>
  <si>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</si>
  <si>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</si>
  <si>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</si>
  <si>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</si>
  <si>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</si>
  <si>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</si>
  <si>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</si>
  <si>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</si>
  <si>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</si>
  <si>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</si>
  <si>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</si>
  <si>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</si>
  <si>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</si>
  <si>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</si>
  <si>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</si>
  <si>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</si>
  <si>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</si>
  <si>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</si>
  <si>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</si>
  <si>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</si>
  <si>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</si>
  <si>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</si>
  <si>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</si>
  <si>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</si>
  <si>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</si>
  <si>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</si>
  <si>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</si>
  <si>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</si>
  <si>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</si>
  <si>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</si>
  <si>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</si>
  <si>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</si>
  <si>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</si>
  <si>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</si>
  <si>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</si>
  <si>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</si>
  <si>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</si>
  <si>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</si>
  <si>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</si>
  <si>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</si>
  <si>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</si>
  <si>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</si>
  <si>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</si>
  <si>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</si>
  <si>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</si>
  <si>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</si>
  <si>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</si>
  <si>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</si>
  <si>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</si>
  <si>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</si>
  <si>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</si>
  <si>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</si>
  <si>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</si>
  <si>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</si>
  <si>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</si>
  <si>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</si>
  <si>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</si>
  <si>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</si>
  <si>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</si>
  <si>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</si>
  <si>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</si>
  <si>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</si>
  <si>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</si>
  <si>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</si>
  <si>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</si>
  <si>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</si>
  <si>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</si>
  <si>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</si>
  <si>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</si>
  <si>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</si>
  <si>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</si>
  <si>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</si>
  <si>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</si>
  <si>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</si>
  <si>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</si>
  <si>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</si>
  <si>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</si>
  <si>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</si>
  <si>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</si>
  <si>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</si>
  <si>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</si>
  <si>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</si>
  <si>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</si>
  <si>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</si>
  <si>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</si>
  <si>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</si>
  <si>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</si>
  <si>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</si>
  <si>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</si>
  <si>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</si>
  <si>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</si>
  <si>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</si>
  <si>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</si>
  <si>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</si>
  <si>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</si>
  <si>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</si>
  <si>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</si>
  <si>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</si>
  <si>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</si>
  <si>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</si>
  <si>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</si>
  <si>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</si>
  <si>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</si>
  <si>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</si>
  <si>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</si>
  <si>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</si>
  <si>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</si>
  <si>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</si>
  <si>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</si>
  <si>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</si>
  <si>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</si>
  <si>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</si>
  <si>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</si>
  <si>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</si>
  <si>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</si>
  <si>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</si>
  <si>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</si>
  <si>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</si>
  <si>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</si>
  <si>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</si>
  <si>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</si>
  <si>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</si>
  <si>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</si>
  <si>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</si>
  <si>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</si>
  <si>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</si>
  <si>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</si>
  <si>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</si>
  <si>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</si>
  <si>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</si>
  <si>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</si>
  <si>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</si>
  <si>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</si>
  <si>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</si>
  <si>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</si>
  <si>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</si>
  <si>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</si>
  <si>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</si>
  <si>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</si>
  <si>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</si>
  <si>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</si>
  <si>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</si>
  <si>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</si>
  <si>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</si>
  <si>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</si>
  <si>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</si>
  <si>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</si>
  <si>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</si>
  <si>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</si>
  <si>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</si>
  <si>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</si>
  <si>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</si>
  <si>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</si>
  <si>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</si>
  <si>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</si>
  <si>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</si>
  <si>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</si>
  <si>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</si>
  <si>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</si>
  <si>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</si>
  <si>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</si>
  <si>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</si>
  <si>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</si>
  <si>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</si>
  <si>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</si>
  <si>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</si>
  <si>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</si>
  <si>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</si>
  <si>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</si>
  <si>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</si>
  <si>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</si>
  <si>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</si>
  <si>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</si>
  <si>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</si>
  <si>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</si>
  <si>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</si>
  <si>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</si>
  <si>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</si>
  <si>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</si>
  <si>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</si>
  <si>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</si>
  <si>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</si>
  <si>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</si>
  <si>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</si>
  <si>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</si>
  <si>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</si>
  <si>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</si>
  <si>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</si>
  <si>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</si>
  <si>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</si>
  <si>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</si>
  <si>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</si>
  <si>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</si>
  <si>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</si>
  <si>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</si>
  <si>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</si>
  <si>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</si>
  <si>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</si>
  <si>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</si>
  <si>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</si>
  <si>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</si>
  <si>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</si>
  <si>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</si>
  <si>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</si>
  <si>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</si>
  <si>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</si>
  <si>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</si>
  <si>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</si>
  <si>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</si>
  <si>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</si>
  <si>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</si>
  <si>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</si>
  <si>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</si>
  <si>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</si>
  <si>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</si>
  <si>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</si>
  <si>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</si>
  <si>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</si>
  <si>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</si>
  <si>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</si>
  <si>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</si>
  <si>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</si>
  <si>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</si>
  <si>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</si>
  <si>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</si>
  <si>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</si>
  <si>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</si>
  <si>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</si>
  <si>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</si>
  <si>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</si>
  <si>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</si>
  <si>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</si>
  <si>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</si>
  <si>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</si>
  <si>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</si>
  <si>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</si>
  <si>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</si>
  <si>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</si>
  <si>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</si>
  <si>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</si>
  <si>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</si>
  <si>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</si>
  <si>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</si>
  <si>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</si>
  <si>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</si>
  <si>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</si>
  <si>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</si>
  <si>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</si>
  <si>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</si>
  <si>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</si>
  <si>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</si>
  <si>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</si>
  <si>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</si>
  <si>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</si>
  <si>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</si>
  <si>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</si>
  <si>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</si>
  <si>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</si>
  <si>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</si>
  <si>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</si>
  <si>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</si>
  <si>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</si>
  <si>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</si>
  <si>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</si>
  <si>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</si>
  <si>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</si>
  <si>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</si>
  <si>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</si>
  <si>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</si>
  <si>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</si>
  <si>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</si>
  <si>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</si>
  <si>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</si>
  <si>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</si>
  <si>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</si>
  <si>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</si>
  <si>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</si>
  <si>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</si>
  <si>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</si>
  <si>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</si>
  <si>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</si>
  <si>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</si>
  <si>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</si>
  <si>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</si>
  <si>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</si>
  <si>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</si>
  <si>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</si>
  <si>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</si>
  <si>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</si>
  <si>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</si>
  <si>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</si>
  <si>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</si>
  <si>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</si>
  <si>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</si>
  <si>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</si>
  <si>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</si>
  <si>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</si>
  <si>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</si>
  <si>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</si>
  <si>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</si>
  <si>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</si>
  <si>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</si>
  <si>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</si>
  <si>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</si>
  <si>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</si>
  <si>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</si>
  <si>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</si>
  <si>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</si>
  <si>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</si>
  <si>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</si>
  <si>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</si>
  <si>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</si>
  <si>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</si>
  <si>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</si>
  <si>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</si>
  <si>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</si>
  <si>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</si>
  <si>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</si>
  <si>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</si>
  <si>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</si>
  <si>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</si>
  <si>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</si>
  <si>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</si>
  <si>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</si>
  <si>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</si>
  <si>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</si>
  <si>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</si>
  <si>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</si>
  <si>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</si>
  <si>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</si>
  <si>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</si>
  <si>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</si>
  <si>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</si>
  <si>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</si>
  <si>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</si>
  <si>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</si>
  <si>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</si>
  <si>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</si>
  <si>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</si>
  <si>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</si>
  <si>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</si>
  <si>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</si>
  <si>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</si>
  <si>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</si>
  <si>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</si>
  <si>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</si>
  <si>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</si>
  <si>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</si>
  <si>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</si>
  <si>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</si>
  <si>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</si>
  <si>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</si>
  <si>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</si>
  <si>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</si>
  <si>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</si>
  <si>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</si>
  <si>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</si>
  <si>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</si>
  <si>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</si>
  <si>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</si>
  <si>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</si>
  <si>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</si>
  <si>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</si>
  <si>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</si>
  <si>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</si>
  <si>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</si>
  <si>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</si>
  <si>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</si>
  <si>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</si>
  <si>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</si>
  <si>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</si>
  <si>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</si>
  <si>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</si>
  <si>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</si>
  <si>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</si>
  <si>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</si>
  <si>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</si>
  <si>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</si>
  <si>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</si>
  <si>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</si>
  <si>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</si>
  <si>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</si>
  <si>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</si>
  <si>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</si>
  <si>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</si>
  <si>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</si>
  <si>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</si>
  <si>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</si>
  <si>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</si>
  <si>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</si>
  <si>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</si>
  <si>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</si>
  <si>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</si>
  <si>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</si>
  <si>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</si>
  <si>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</si>
  <si>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</si>
  <si>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</si>
  <si>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</si>
  <si>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</si>
  <si>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</si>
  <si>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</si>
  <si>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</si>
  <si>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</si>
  <si>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</si>
  <si>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</si>
  <si>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</si>
  <si>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</si>
  <si>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</si>
  <si>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</si>
  <si>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</si>
  <si>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</si>
  <si>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</si>
  <si>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</si>
  <si>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</si>
  <si>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</si>
  <si>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</si>
  <si>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</si>
  <si>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</si>
  <si>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</si>
  <si>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</si>
  <si>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</si>
  <si>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</si>
  <si>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</si>
  <si>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</si>
  <si>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</si>
  <si>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</si>
  <si>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</si>
  <si>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</si>
  <si>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</si>
  <si>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</si>
  <si>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</si>
  <si>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</si>
  <si>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</si>
  <si>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</si>
  <si>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</si>
  <si>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</si>
  <si>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</si>
  <si>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</si>
  <si>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</si>
  <si>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</si>
  <si>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</si>
  <si>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</si>
  <si>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</si>
  <si>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</si>
  <si>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</si>
  <si>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</si>
  <si>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</si>
  <si>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</si>
  <si>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</si>
  <si>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</si>
  <si>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</si>
  <si>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</si>
  <si>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</si>
  <si>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</si>
  <si>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</si>
  <si>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</si>
  <si>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</si>
  <si>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</si>
  <si>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</si>
  <si>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</si>
  <si>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</si>
  <si>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</si>
  <si>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</si>
  <si>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</si>
  <si>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</si>
  <si>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</si>
  <si>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</si>
  <si>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</si>
  <si>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</si>
  <si>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</si>
  <si>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</si>
  <si>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</si>
  <si>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</si>
  <si>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</si>
  <si>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</si>
  <si>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</si>
  <si>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</si>
  <si>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</si>
  <si>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</si>
  <si>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</si>
  <si>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</si>
  <si>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</si>
  <si>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</si>
  <si>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</si>
  <si>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</si>
  <si>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</si>
  <si>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</si>
  <si>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</si>
  <si>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</si>
  <si>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</si>
  <si>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</si>
  <si>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</si>
  <si>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</si>
  <si>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</si>
  <si>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</si>
  <si>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</si>
  <si>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</si>
  <si>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</si>
  <si>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</si>
  <si>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</si>
  <si>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</si>
  <si>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</si>
  <si>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</si>
  <si>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</si>
  <si>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</si>
  <si>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</si>
  <si>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</si>
  <si>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</si>
  <si>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</si>
  <si>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</si>
  <si>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</si>
  <si>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</si>
  <si>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</si>
  <si>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</si>
  <si>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</si>
  <si>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</si>
  <si>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</si>
  <si>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</si>
  <si>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</si>
  <si>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</si>
  <si>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</si>
  <si>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</si>
  <si>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</si>
  <si>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</si>
  <si>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</si>
  <si>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</si>
  <si>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</si>
  <si>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</si>
  <si>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</si>
  <si>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</si>
  <si>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</si>
  <si>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</si>
  <si>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</si>
  <si>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</si>
  <si>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</si>
  <si>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</si>
  <si>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</si>
  <si>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</si>
  <si>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</si>
  <si>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</si>
  <si>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</si>
  <si>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</si>
  <si>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</si>
  <si>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</si>
  <si>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</si>
  <si>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</si>
  <si>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</si>
  <si>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</si>
  <si>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</si>
  <si>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</si>
  <si>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</si>
  <si>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</si>
  <si>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</si>
  <si>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</si>
  <si>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</si>
  <si>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</si>
  <si>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</si>
  <si>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</si>
  <si>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</si>
  <si>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</si>
  <si>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</si>
  <si>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</si>
  <si>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</si>
  <si>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</si>
  <si>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</si>
  <si>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</si>
  <si>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</si>
  <si>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</si>
  <si>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</si>
  <si>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</si>
  <si>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</si>
  <si>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</si>
  <si>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</si>
  <si>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</si>
  <si>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</si>
  <si>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</si>
  <si>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</si>
  <si>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</si>
  <si>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</si>
  <si>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</si>
  <si>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</si>
  <si>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</si>
  <si>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</si>
  <si>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</si>
  <si>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</si>
  <si>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</si>
  <si>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</si>
  <si>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</si>
  <si>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</si>
  <si>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</si>
  <si>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</si>
  <si>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</si>
  <si>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</si>
  <si>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</si>
  <si>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</si>
  <si>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</si>
  <si>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</si>
  <si>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</si>
  <si>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</si>
  <si>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</si>
  <si>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</si>
  <si>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</si>
  <si>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</si>
  <si>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</si>
  <si>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</si>
  <si>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</si>
  <si>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</si>
  <si>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</si>
  <si>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</si>
  <si>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</si>
  <si>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</si>
  <si>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</si>
  <si>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</si>
  <si>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</si>
  <si>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</si>
  <si>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</si>
  <si>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</si>
  <si>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</si>
  <si>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</si>
  <si>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</si>
  <si>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</si>
  <si>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</si>
  <si>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</si>
  <si>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</si>
  <si>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</si>
  <si>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</si>
  <si>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</si>
  <si>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</si>
  <si>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</si>
  <si>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</si>
  <si>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</si>
  <si>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</si>
  <si>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</si>
  <si>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</si>
  <si>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</si>
  <si>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</si>
  <si>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</si>
  <si>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</si>
  <si>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</si>
  <si>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</si>
  <si>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</si>
  <si>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</si>
  <si>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</si>
  <si>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</si>
  <si>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车头牌</t>
    <phoneticPr fontId="8" type="noConversion"/>
  </si>
  <si>
    <t>张</t>
    <phoneticPr fontId="8" type="noConversion"/>
  </si>
  <si>
    <t>8.48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</si>
  <si>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</si>
  <si>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</si>
  <si>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</si>
  <si>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运营人员</t>
    <phoneticPr fontId="8" type="noConversion"/>
  </si>
  <si>
    <t>兼职人员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</si>
  <si>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</si>
  <si>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</si>
  <si>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</si>
  <si>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</si>
  <si>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车辆</t>
    <phoneticPr fontId="8" type="noConversion"/>
  </si>
  <si>
    <t>接送机</t>
    <phoneticPr fontId="8" type="noConversion"/>
  </si>
  <si>
    <t>餐饮</t>
    <phoneticPr fontId="8" type="noConversion"/>
  </si>
  <si>
    <t>桌</t>
    <phoneticPr fontId="8" type="noConversion"/>
  </si>
  <si>
    <t>3180</t>
    <phoneticPr fontId="8" type="noConversion"/>
  </si>
  <si>
    <t>康辉工作人员</t>
    <phoneticPr fontId="8" type="noConversion"/>
  </si>
  <si>
    <t>项目助理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</si>
  <si>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</si>
  <si>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</si>
  <si>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</si>
  <si>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</si>
  <si>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</si>
  <si>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</si>
  <si>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</si>
  <si>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</si>
  <si>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</si>
  <si>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</si>
  <si>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</si>
  <si>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</si>
  <si>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</si>
  <si>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包间宴请</t>
    <phoneticPr fontId="8" type="noConversion"/>
  </si>
  <si>
    <t>自助餐</t>
    <phoneticPr fontId="8" type="noConversion"/>
  </si>
  <si>
    <t>9.19、20、21、22；1间4晚</t>
    <phoneticPr fontId="8" type="noConversion"/>
  </si>
  <si>
    <t>350</t>
    <phoneticPr fontId="8" type="noConversion"/>
  </si>
  <si>
    <t>9.19-23；1人；接待服务</t>
    <phoneticPr fontId="8" type="noConversion"/>
  </si>
  <si>
    <t>2025抖音创作者大会
抖音-社交与互动-游戏玩法</t>
    <phoneticPr fontId="8" type="noConversion"/>
  </si>
  <si>
    <t>2025.9.19-23</t>
    <phoneticPr fontId="8" type="noConversion"/>
  </si>
  <si>
    <t>卢荟婉</t>
    <phoneticPr fontId="8" type="noConversion"/>
  </si>
  <si>
    <t>李肖</t>
    <phoneticPr fontId="8" type="noConversion"/>
  </si>
  <si>
    <t>lixiao.aimmyli@bytedance.com</t>
    <phoneticPr fontId="8" type="noConversion"/>
  </si>
  <si>
    <t>1.06</t>
    <phoneticPr fontId="8" type="noConversion"/>
  </si>
  <si>
    <t>差旅大交通</t>
    <phoneticPr fontId="8" type="noConversion"/>
  </si>
  <si>
    <t>工作人员高铁</t>
    <phoneticPr fontId="8" type="noConversion"/>
  </si>
  <si>
    <t>单程</t>
    <phoneticPr fontId="8" type="noConversion"/>
  </si>
  <si>
    <t>714.44</t>
    <phoneticPr fontId="8" type="noConversion"/>
  </si>
  <si>
    <t>机场接机人员</t>
    <phoneticPr fontId="8" type="noConversion"/>
  </si>
  <si>
    <t>3人；gl8</t>
    <phoneticPr fontId="8" type="noConversion"/>
  </si>
  <si>
    <t>自助午/晚餐</t>
    <phoneticPr fontId="8" type="noConversion"/>
  </si>
  <si>
    <t>接机人员+接待服务人员（酒店签到、餐饮服务、车辆安排等）</t>
    <phoneticPr fontId="8" type="noConversion"/>
  </si>
  <si>
    <t>高铁二等座</t>
    <phoneticPr fontId="8" type="noConversion"/>
  </si>
  <si>
    <t>接待服务人员（酒店签到、餐饮服务、车辆安排等）</t>
    <phoneticPr fontId="8" type="noConversion"/>
  </si>
  <si>
    <t>铜版纸塑封；A3；6个</t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</si>
  <si>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</si>
  <si>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</si>
  <si>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</si>
  <si>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</si>
  <si>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工作餐</t>
    <phoneticPr fontId="8" type="noConversion"/>
  </si>
  <si>
    <t>47.7</t>
    <phoneticPr fontId="8" type="noConversion"/>
  </si>
  <si>
    <t>450</t>
    <phoneticPr fontId="8" type="noConversion"/>
  </si>
  <si>
    <t>嘉宾高铁</t>
    <phoneticPr fontId="8" type="noConversion"/>
  </si>
  <si>
    <t>往返二等座</t>
    <phoneticPr fontId="8" type="noConversion"/>
  </si>
  <si>
    <t>1400</t>
    <phoneticPr fontId="8" type="noConversion"/>
  </si>
  <si>
    <t>张瑾秋</t>
    <phoneticPr fontId="8" type="noConversion"/>
  </si>
  <si>
    <t>zhangjinqiu@cct.cn</t>
    <phoneticPr fontId="8" type="noConversion"/>
  </si>
  <si>
    <t>45人</t>
    <phoneticPr fontId="8" type="noConversion"/>
  </si>
  <si>
    <t>luhuiwan@bytedance.com</t>
    <phoneticPr fontId="8" type="noConversion"/>
  </si>
  <si>
    <t>9.20午/晚餐，9.21午/晚餐，9.22午/晚餐；100元/餐代金券</t>
    <phoneticPr fontId="8" type="noConversion"/>
  </si>
  <si>
    <t>9.20午餐，10人/桌</t>
    <phoneticPr fontId="8" type="noConversion"/>
  </si>
  <si>
    <t>9.22午餐，10人/桌</t>
    <phoneticPr fontId="8" type="noConversion"/>
  </si>
  <si>
    <t>物资采买类</t>
  </si>
  <si>
    <t>晚宴酒水</t>
    <phoneticPr fontId="8" type="noConversion"/>
  </si>
  <si>
    <t>瓶</t>
    <phoneticPr fontId="8" type="noConversion"/>
  </si>
  <si>
    <t>物资采买单项合计</t>
    <phoneticPr fontId="8" type="noConversion"/>
  </si>
  <si>
    <t>间夜</t>
    <phoneticPr fontId="8" type="noConversion"/>
  </si>
  <si>
    <t>雷迪森度假酒店</t>
    <phoneticPr fontId="8" type="noConversion"/>
  </si>
  <si>
    <t>大交通-机票-经济舱</t>
    <phoneticPr fontId="8" type="noConversion"/>
  </si>
  <si>
    <t>大交通-火车票-二等座</t>
    <phoneticPr fontId="8" type="noConversion"/>
  </si>
  <si>
    <t>海宁钱塘明月雷迪森度假酒店，共94间夜</t>
    <phoneticPr fontId="8" type="noConversion"/>
  </si>
  <si>
    <t>餐</t>
    <phoneticPr fontId="8" type="noConversion"/>
  </si>
  <si>
    <t>9.20-22；工作餐；45元/份；共205份</t>
    <phoneticPr fontId="8" type="noConversion"/>
  </si>
  <si>
    <t>项</t>
    <phoneticPr fontId="8" type="noConversion"/>
  </si>
  <si>
    <t>份</t>
    <phoneticPr fontId="8" type="noConversion"/>
  </si>
  <si>
    <t>9.20晚宴：10人/桌，5桌</t>
    <phoneticPr fontId="8" type="noConversion"/>
  </si>
  <si>
    <t>9.21晚餐，10人/桌，5桌</t>
    <phoneticPr fontId="8" type="noConversion"/>
  </si>
  <si>
    <t>9.22晚餐，10人/桌，8桌</t>
    <phoneticPr fontId="8" type="noConversion"/>
  </si>
  <si>
    <t>箱</t>
    <phoneticPr fontId="8" type="noConversion"/>
  </si>
  <si>
    <t>晚宴酒水采买-五粮液八代，2箱</t>
    <phoneticPr fontId="8" type="noConversion"/>
  </si>
  <si>
    <t>晚宴酒水采买-五粮液八代，2瓶</t>
    <phoneticPr fontId="8" type="noConversion"/>
  </si>
  <si>
    <t>北京-杭州往返</t>
    <phoneticPr fontId="8" type="noConversion"/>
  </si>
  <si>
    <t>9.19-23；1人5天</t>
    <phoneticPr fontId="8" type="noConversion"/>
  </si>
  <si>
    <t>尺寸：13.5cm*6cm；材质：250g铜版纸；工期：2天</t>
    <phoneticPr fontId="8" type="noConversion"/>
  </si>
  <si>
    <t>餐饮代金券</t>
    <phoneticPr fontId="8" type="noConversion"/>
  </si>
  <si>
    <t>椅背贴</t>
    <phoneticPr fontId="8" type="noConversion"/>
  </si>
  <si>
    <t>尺寸：210*99mm；材质：不干胶、覆膜、切半透；工期：2天</t>
    <phoneticPr fontId="8" type="noConversion"/>
  </si>
  <si>
    <t>主视觉KT板</t>
    <phoneticPr fontId="8" type="noConversion"/>
  </si>
  <si>
    <t>人名单页</t>
    <phoneticPr fontId="8" type="noConversion"/>
  </si>
  <si>
    <t>尺寸：210*148mm；材质：200g铜版纸；工期：1天</t>
    <phoneticPr fontId="8" type="noConversion"/>
  </si>
  <si>
    <t>主视觉画架</t>
    <phoneticPr fontId="8" type="noConversion"/>
  </si>
  <si>
    <t>工作人员餐费、小交通补助</t>
    <phoneticPr fontId="8" type="noConversion"/>
  </si>
  <si>
    <t>酒店接待工作人员餐费、小交通补助</t>
    <phoneticPr fontId="8" type="noConversion"/>
  </si>
  <si>
    <t>酒水快递费</t>
    <phoneticPr fontId="8" type="noConversion"/>
  </si>
  <si>
    <t>宣德门酒店，共29间夜</t>
    <phoneticPr fontId="8" type="noConversion"/>
  </si>
  <si>
    <t>景区内自助餐</t>
    <phoneticPr fontId="8" type="noConversion"/>
  </si>
  <si>
    <t>人/餐</t>
    <phoneticPr fontId="8" type="noConversion"/>
  </si>
  <si>
    <t>宣德门酒店</t>
    <phoneticPr fontId="8" type="noConversion"/>
  </si>
  <si>
    <t>人名立牌</t>
    <phoneticPr fontId="8" type="noConversion"/>
  </si>
  <si>
    <t>晚宴人名立牌</t>
    <phoneticPr fontId="8" type="noConversion"/>
  </si>
  <si>
    <t>2025抖音创作者大会 抖音-社交与互动-游戏玩法会务接待结算单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</si>
</sst>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68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26" fillId="3" borderId="1" xfId="19" applyNumberFormat="1" applyFont="1" applyFill="1" applyBorder="1" applyAlignment="1" applyProtection="1">
      <alignment horizontal="center" vertical="center" wrapText="1"/>
    </xf>
    <xf numFmtId="0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0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8" applyNumberFormat="1" applyFont="1" applyBorder="1" applyAlignment="1" applyProtection="1">
      <alignment vertical="center"/>
      <protection locked="0"/>
    </xf>
    <xf numFmtId="0" fontId="23" fillId="24" borderId="1" xfId="0" applyFont="1" applyFill="1" applyBorder="1" applyAlignment="1" applyProtection="1">
      <alignment horizontal="center" vertical="center"/>
      <protection locked="0"/>
    </xf>
    <xf numFmtId="0" fontId="27" fillId="24" borderId="1" xfId="17" applyFont="1" applyFill="1" applyBorder="1" applyAlignment="1" applyProtection="1">
      <alignment horizontal="center" vertical="center" wrapText="1"/>
      <protection locked="0"/>
    </xf>
    <xf numFmtId="0" fontId="26" fillId="24" borderId="1" xfId="17" applyFont="1" applyFill="1" applyBorder="1" applyAlignment="1" applyProtection="1">
      <alignment horizontal="center" vertical="center" wrapText="1"/>
      <protection locked="0"/>
    </xf>
    <xf numFmtId="179" fontId="26" fillId="24" borderId="1" xfId="3" applyNumberFormat="1" applyFont="1" applyFill="1" applyBorder="1" applyAlignment="1" applyProtection="1">
      <alignment horizontal="center" vertical="center" wrapText="1"/>
      <protection locked="0"/>
    </xf>
    <xf numFmtId="0" fontId="26" fillId="24" borderId="1" xfId="17" applyFont="1" applyFill="1" applyBorder="1" applyAlignment="1" applyProtection="1">
      <alignment horizontal="left" vertical="center" wrapText="1"/>
      <protection locked="0"/>
    </xf>
    <xf numFmtId="0" fontId="26" fillId="24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24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24" borderId="1" xfId="31" applyNumberFormat="1" applyFont="1" applyFill="1" applyBorder="1" applyAlignment="1" applyProtection="1">
      <alignment horizontal="center" vertical="center" wrapText="1"/>
    </xf>
    <xf numFmtId="180" fontId="26" fillId="24" borderId="1" xfId="31" applyNumberFormat="1" applyFont="1" applyFill="1" applyBorder="1" applyAlignment="1" applyProtection="1">
      <alignment horizontal="center" vertical="center"/>
    </xf>
    <xf numFmtId="9" fontId="27" fillId="24" borderId="1" xfId="19" applyFont="1" applyFill="1" applyBorder="1" applyAlignment="1" applyProtection="1">
      <alignment horizontal="center" vertical="center" wrapText="1"/>
      <protection locked="0"/>
    </xf>
    <xf numFmtId="0" fontId="26" fillId="24" borderId="1" xfId="0" applyFont="1" applyFill="1" applyBorder="1" applyAlignment="1" applyProtection="1">
      <alignment vertical="center"/>
      <protection locked="0"/>
    </xf>
    <xf numFmtId="0" fontId="26" fillId="24" borderId="1" xfId="0" applyFont="1" applyFill="1" applyBorder="1" applyAlignment="1" applyProtection="1">
      <alignment horizontal="center" vertical="center"/>
      <protection locked="0"/>
    </xf>
    <xf numFmtId="0" fontId="26" fillId="24" borderId="0" xfId="0" applyFont="1" applyFill="1" applyAlignment="1" applyProtection="1">
      <alignment vertical="center"/>
      <protection locked="0"/>
    </xf>
    <xf numFmtId="0" fontId="27" fillId="24" borderId="1" xfId="0" applyFont="1" applyFill="1" applyBorder="1" applyAlignment="1" applyProtection="1">
      <alignment horizontal="center" vertical="center"/>
      <protection locked="0"/>
    </xf>
    <xf numFmtId="179" fontId="27" fillId="24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24" borderId="1" xfId="17" applyFont="1" applyFill="1" applyBorder="1" applyAlignment="1" applyProtection="1">
      <alignment horizontal="left" vertical="center" wrapText="1"/>
      <protection locked="0"/>
    </xf>
    <xf numFmtId="0" fontId="27" fillId="24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24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24" borderId="1" xfId="31" applyNumberFormat="1" applyFont="1" applyFill="1" applyBorder="1" applyAlignment="1" applyProtection="1">
      <alignment horizontal="center" vertical="center" wrapText="1"/>
    </xf>
    <xf numFmtId="180" fontId="27" fillId="24" borderId="1" xfId="31" applyNumberFormat="1" applyFont="1" applyFill="1" applyBorder="1" applyAlignment="1" applyProtection="1">
      <alignment horizontal="center" vertical="center"/>
    </xf>
    <xf numFmtId="0" fontId="27" fillId="24" borderId="1" xfId="0" applyFont="1" applyFill="1" applyBorder="1" applyAlignment="1" applyProtection="1">
      <alignment vertical="center"/>
      <protection locked="0"/>
    </xf>
    <xf numFmtId="0" fontId="27" fillId="24" borderId="0" xfId="0" applyFont="1" applyFill="1" applyAlignment="1" applyProtection="1">
      <alignment vertical="center"/>
      <protection locked="0"/>
    </xf>
    <xf numFmtId="178" fontId="27" fillId="24" borderId="0" xfId="0" applyNumberFormat="1" applyFont="1" applyFill="1" applyAlignment="1" applyProtection="1">
      <alignment vertical="center"/>
      <protection locked="0"/>
    </xf>
    <xf numFmtId="0" fontId="26" fillId="24" borderId="0" xfId="0" applyFont="1" applyFill="1" applyAlignment="1" applyProtection="1">
      <alignment horizontal="center" vertical="center"/>
      <protection locked="0"/>
    </xf>
    <xf numFmtId="0" fontId="27" fillId="24" borderId="0" xfId="0" applyFont="1" applyFill="1" applyAlignment="1" applyProtection="1">
      <alignment horizontal="center" vertical="center"/>
      <protection locked="0"/>
    </xf>
    <xf numFmtId="0" fontId="26" fillId="24" borderId="5" xfId="17" applyFont="1" applyFill="1" applyBorder="1" applyAlignment="1" applyProtection="1">
      <alignment horizontal="center" vertical="center" wrapText="1"/>
      <protection locked="0"/>
    </xf>
    <xf numFmtId="0" fontId="27" fillId="24" borderId="1" xfId="0" applyFont="1" applyFill="1" applyBorder="1" applyAlignment="1" applyProtection="1">
      <alignment horizontal="left" vertical="center"/>
      <protection locked="0"/>
    </xf>
    <xf numFmtId="179" fontId="27" fillId="24" borderId="1" xfId="18" applyNumberFormat="1" applyFont="1" applyFill="1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uhuiwan@bytedance.com" TargetMode="External"/><Relationship Id="rId2" Type="http://schemas.openxmlformats.org/officeDocument/2006/relationships/hyperlink" Target="mailto:zhangjinqiu@cct.cn" TargetMode="External"/><Relationship Id="rId1" Type="http://schemas.openxmlformats.org/officeDocument/2006/relationships/hyperlink" Target="mailto:lixiao.aimmyli@bytedance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38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38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38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39" t="s">
        <v>140</v>
      </c>
      <c r="B6" s="153" t="s">
        <v>141</v>
      </c>
      <c r="C6" s="154"/>
    </row>
    <row r="7" spans="1:21" s="149" customFormat="1">
      <c r="A7" s="239"/>
      <c r="B7" s="153" t="s">
        <v>142</v>
      </c>
      <c r="C7" s="154"/>
    </row>
    <row r="8" spans="1:21" s="149" customFormat="1">
      <c r="A8" s="239"/>
      <c r="B8" s="154" t="s">
        <v>143</v>
      </c>
      <c r="C8" s="154"/>
    </row>
    <row r="9" spans="1:21" s="149" customFormat="1" ht="19" customHeight="1">
      <c r="A9" s="239"/>
      <c r="B9" s="153" t="s">
        <v>144</v>
      </c>
      <c r="C9" s="154"/>
    </row>
    <row r="10" spans="1:21" s="149" customFormat="1" ht="19" customHeight="1">
      <c r="A10" s="239"/>
      <c r="B10" s="153" t="s">
        <v>145</v>
      </c>
      <c r="C10" s="154"/>
    </row>
    <row r="11" spans="1:21" s="149" customFormat="1" ht="19" customHeight="1">
      <c r="A11" s="239" t="s">
        <v>146</v>
      </c>
      <c r="B11" s="153" t="s">
        <v>147</v>
      </c>
      <c r="C11" s="153"/>
    </row>
    <row r="12" spans="1:21" s="149" customFormat="1">
      <c r="A12" s="239"/>
      <c r="B12" s="153" t="s">
        <v>148</v>
      </c>
      <c r="C12" s="153"/>
    </row>
    <row r="13" spans="1:21" s="149" customFormat="1">
      <c r="A13" s="239"/>
      <c r="B13" s="153" t="s">
        <v>149</v>
      </c>
      <c r="C13" s="153"/>
    </row>
    <row r="14" spans="1:21" s="149" customFormat="1">
      <c r="A14" s="239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41" t="s">
        <v>89</v>
      </c>
      <c r="Q9" s="242"/>
      <c r="R9" s="243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41" t="s">
        <v>90</v>
      </c>
      <c r="Q18" s="242"/>
      <c r="R18" s="243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41" t="s">
        <v>91</v>
      </c>
      <c r="Q27" s="242"/>
      <c r="R27" s="243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41" t="s">
        <v>94</v>
      </c>
      <c r="Q36" s="242"/>
      <c r="R36" s="243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41" t="s">
        <v>95</v>
      </c>
      <c r="Q45" s="242"/>
      <c r="R45" s="243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41" t="s">
        <v>97</v>
      </c>
      <c r="Q51" s="242"/>
      <c r="R51" s="243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41" t="s">
        <v>96</v>
      </c>
      <c r="Q60" s="242"/>
      <c r="R60" s="243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41" t="s">
        <v>134</v>
      </c>
      <c r="Q69" s="242"/>
      <c r="R69" s="243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41" t="s">
        <v>120</v>
      </c>
      <c r="Q73" s="242"/>
      <c r="R73" s="243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44" t="s">
        <v>54</v>
      </c>
      <c r="Q75" s="244"/>
      <c r="R75" s="245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41" t="s">
        <v>121</v>
      </c>
      <c r="Q79" s="242"/>
      <c r="R79" s="243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44" t="s">
        <v>133</v>
      </c>
      <c r="Q82" s="244"/>
      <c r="R82" s="245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40"/>
      <c r="L84" s="240"/>
      <c r="M84" s="240"/>
      <c r="N84" s="240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40"/>
      <c r="L85" s="240"/>
      <c r="M85" s="240"/>
      <c r="N85" s="240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A2" sqref="A2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47" t="s">
        <v>3063</v>
      </c>
      <c r="B1" s="248"/>
      <c r="C1" s="248"/>
      <c r="D1" s="248"/>
      <c r="E1" s="248"/>
      <c r="F1" s="248"/>
      <c r="G1" s="248"/>
      <c r="H1" s="249"/>
    </row>
    <row r="2" spans="1:8" ht="30">
      <c r="A2" s="4" t="s">
        <v>0</v>
      </c>
      <c r="B2" s="10" t="s">
        <v>2991</v>
      </c>
      <c r="C2" s="11" t="s">
        <v>1</v>
      </c>
      <c r="D2" s="250" t="s">
        <v>2953</v>
      </c>
      <c r="E2" s="251"/>
      <c r="F2" s="251"/>
      <c r="G2" s="252" t="s">
        <v>37</v>
      </c>
      <c r="H2" s="253"/>
    </row>
    <row r="3" spans="1:8">
      <c r="A3" s="3" t="s">
        <v>2</v>
      </c>
      <c r="B3" s="13" t="s">
        <v>2992</v>
      </c>
      <c r="C3" s="14" t="s">
        <v>3</v>
      </c>
      <c r="D3" s="250" t="s">
        <v>3020</v>
      </c>
      <c r="E3" s="251"/>
      <c r="F3" s="251"/>
      <c r="G3" s="254"/>
      <c r="H3" s="255"/>
    </row>
    <row r="4" spans="1:8" ht="16">
      <c r="A4" s="3" t="s">
        <v>23</v>
      </c>
      <c r="B4" s="10" t="s">
        <v>2993</v>
      </c>
      <c r="C4" s="1" t="s">
        <v>4</v>
      </c>
      <c r="D4" s="12"/>
      <c r="E4" s="14" t="s">
        <v>5</v>
      </c>
      <c r="F4" s="200" t="s">
        <v>3021</v>
      </c>
      <c r="G4" s="36"/>
      <c r="H4" s="37" t="s">
        <v>17</v>
      </c>
    </row>
    <row r="5" spans="1:8" ht="16">
      <c r="A5" s="3" t="s">
        <v>24</v>
      </c>
      <c r="B5" s="10" t="s">
        <v>2994</v>
      </c>
      <c r="C5" s="1" t="s">
        <v>4</v>
      </c>
      <c r="D5" s="12"/>
      <c r="E5" s="14" t="s">
        <v>5</v>
      </c>
      <c r="F5" s="200" t="s">
        <v>2995</v>
      </c>
      <c r="G5" s="38"/>
      <c r="H5" s="37" t="s">
        <v>18</v>
      </c>
    </row>
    <row r="6" spans="1:8">
      <c r="A6" s="3" t="s">
        <v>6</v>
      </c>
      <c r="B6" s="256" t="s">
        <v>2952</v>
      </c>
      <c r="C6" s="257"/>
      <c r="D6" s="257"/>
      <c r="E6" s="257"/>
      <c r="F6" s="257"/>
      <c r="G6" s="39"/>
      <c r="H6" s="37" t="s">
        <v>19</v>
      </c>
    </row>
    <row r="7" spans="1:8" ht="16">
      <c r="A7" s="3" t="s">
        <v>7</v>
      </c>
      <c r="B7" s="10" t="s">
        <v>3018</v>
      </c>
      <c r="C7" s="1" t="s">
        <v>4</v>
      </c>
      <c r="D7" s="12">
        <v>15811515220</v>
      </c>
      <c r="E7" s="14" t="s">
        <v>5</v>
      </c>
      <c r="F7" s="187" t="s">
        <v>3019</v>
      </c>
      <c r="G7" s="40"/>
      <c r="H7" s="37" t="s">
        <v>20</v>
      </c>
    </row>
    <row r="8" spans="1:8" ht="18">
      <c r="A8" s="246" t="s">
        <v>38</v>
      </c>
      <c r="B8" s="246"/>
      <c r="C8" s="246"/>
      <c r="D8" s="246"/>
      <c r="E8" s="246"/>
      <c r="F8" s="246"/>
      <c r="G8" s="246"/>
      <c r="H8" s="246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'2.报价结算清单'!P9</f>
        <v>375.00749999999999</v>
      </c>
      <c r="D10" s="6">
        <f>IFERROR(_xlfn.IFNA(C10/$C$21,""),"")</f>
        <v>1.2562493678459771E-3</v>
      </c>
      <c r="E10" s="8">
        <f>'2.报价结算清单'!Q9</f>
        <v>851.98779999999999</v>
      </c>
      <c r="F10" s="6">
        <f t="shared" ref="F10:F18" si="0">IFERROR(_xlfn.IFNA(E10/$E$21,""),"")</f>
        <v>3.4270886682100602E-3</v>
      </c>
      <c r="G10" s="8">
        <f>IFERROR(E10-C10,"")</f>
        <v>476.9803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'2.报价结算清单'!P13</f>
        <v>2968</v>
      </c>
      <c r="D12" s="6">
        <f>IFERROR(_xlfn.IFNA(C12/$C$21,""),"")</f>
        <v>9.9425961447887293E-3</v>
      </c>
      <c r="E12" s="8">
        <f>'2.报价结算清单'!Q13</f>
        <v>2650</v>
      </c>
      <c r="F12" s="6">
        <f t="shared" si="0"/>
        <v>1.0659524667790618E-2</v>
      </c>
      <c r="G12" s="8">
        <f t="shared" si="2"/>
        <v>-318</v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'2.报价结算清单'!P35</f>
        <v>278117.57999999996</v>
      </c>
      <c r="D14" s="6">
        <f t="shared" si="1"/>
        <v>0.93167479066912762</v>
      </c>
      <c r="E14" s="8">
        <f>'2.报价结算清单'!Q35</f>
        <v>217316.64799999999</v>
      </c>
      <c r="F14" s="6">
        <f t="shared" si="0"/>
        <v>0.87414798870851729</v>
      </c>
      <c r="G14" s="8">
        <f t="shared" si="2"/>
        <v>-60800.931999999972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60" t="s">
        <v>53</v>
      </c>
      <c r="B19" s="261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62" t="s">
        <v>87</v>
      </c>
      <c r="B20" s="261"/>
      <c r="C20" s="9" t="str">
        <f>'2.报价结算清单'!J49</f>
        <v>0</v>
      </c>
      <c r="D20" s="6">
        <f>IFERROR(_xlfn.IFNA(C20/$C$22,""),"")</f>
        <v>0</v>
      </c>
      <c r="E20" s="9" t="str">
        <f>'2.报价结算清单'!K49</f>
        <v>0</v>
      </c>
      <c r="F20" s="6">
        <f>IFERROR(_xlfn.IFNA(E20/$E$22,""),"")</f>
        <v>0</v>
      </c>
      <c r="G20" s="8">
        <f>IFERROR(E20-C20,"")</f>
        <v>0</v>
      </c>
      <c r="H20" s="5"/>
    </row>
    <row r="21" spans="1:8">
      <c r="A21" s="260" t="s">
        <v>13</v>
      </c>
      <c r="B21" s="260"/>
      <c r="C21" s="9">
        <f>'2.报价结算清单'!P51</f>
        <v>298513.58304999996</v>
      </c>
      <c r="D21" s="6">
        <f>IFERROR(_xlfn.IFNA(C21/$C$22,""),"")</f>
        <v>1</v>
      </c>
      <c r="E21" s="9">
        <f>'2.报价结算清单'!Q51</f>
        <v>248603.95585999999</v>
      </c>
      <c r="F21" s="6">
        <f>IFERROR(_xlfn.IFNA(E21/$E$22,""),"")</f>
        <v>1</v>
      </c>
      <c r="G21" s="8">
        <f>IFERROR(E21-C21,"")</f>
        <v>-49909.62718999997</v>
      </c>
      <c r="H21" s="5"/>
    </row>
    <row r="22" spans="1:8">
      <c r="A22" s="258" t="s">
        <v>42</v>
      </c>
      <c r="B22" s="258"/>
      <c r="C22" s="259">
        <f>'2.报价结算清单'!P51</f>
        <v>298513.58304999996</v>
      </c>
      <c r="D22" s="259"/>
      <c r="E22" s="259">
        <f>'2.报价结算清单'!Q51</f>
        <v>248603.95585999999</v>
      </c>
      <c r="F22" s="259"/>
      <c r="G22" s="7">
        <f>IFERROR(E22-C22,"")</f>
        <v>-49909.62718999997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5" r:id="rId1" xr:uid="{4DAE9F03-FCD1-8C46-B604-A2D890D191DB}"/>
    <hyperlink ref="F7" r:id="rId2" xr:uid="{2ACCA5D2-EFF9-0140-A549-1FA3B0137A6C}"/>
    <hyperlink ref="F4" r:id="rId3" xr:uid="{F831EAEF-D19A-174C-83DC-DD3034EF62B1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55"/>
  <sheetViews>
    <sheetView tabSelected="1" topLeftCell="G11" zoomScale="101" zoomScaleNormal="55" workbookViewId="0">
      <selection activeCell="F16" sqref="A16:XFD16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1.33203125" style="192" customWidth="1"/>
    <col min="9" max="9" width="8.6640625" style="77" customWidth="1"/>
    <col min="10" max="10" width="12.6640625" style="209" customWidth="1"/>
    <col min="11" max="11" width="12" style="77" customWidth="1" outlineLevel="1"/>
    <col min="12" max="12" width="10.83203125" style="105" bestFit="1" customWidth="1"/>
    <col min="13" max="13" width="11" style="77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207" t="s">
        <v>163</v>
      </c>
      <c r="K1" s="201" t="s">
        <v>151</v>
      </c>
      <c r="L1" s="125" t="s">
        <v>164</v>
      </c>
      <c r="M1" s="201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233" customFormat="1" ht="22" customHeight="1">
      <c r="A2" s="210" t="s">
        <v>88</v>
      </c>
      <c r="B2" s="212" t="s">
        <v>2962</v>
      </c>
      <c r="C2" s="212" t="s">
        <v>3050</v>
      </c>
      <c r="D2" s="212" t="s">
        <v>3050</v>
      </c>
      <c r="E2" s="235" t="s">
        <v>132</v>
      </c>
      <c r="F2" s="213" t="s">
        <v>2453</v>
      </c>
      <c r="G2" s="212" t="str">
        <f>_xlfn.IFNA(IF(VLOOKUP($F2,'3.框架内物料'!$A:$E,2,0)=0,"请勿填写",VLOOKUP($F2,'3.框架内物料'!$A:$E,2,0)),"")</f>
        <v>M947580777174933506</v>
      </c>
      <c r="H2" s="214" t="str">
        <f>_xlfn.IFNA(VLOOKUP($F2,'3.框架内物料'!$A:$E,4,0),"")</f>
        <v>搭建制作-制作-装饰材料-KT板-亚展A类板</v>
      </c>
      <c r="I2" s="212" t="str">
        <f>_xlfn.IFNA(VLOOKUP($F2,'3.框架内物料'!$A:$E,5,0),"")</f>
        <v>平米</v>
      </c>
      <c r="J2" s="215">
        <f>_xlfn.IFNA(VLOOKUP($F2,'3.框架内物料'!$A:$F,6,0),"")</f>
        <v>50.57</v>
      </c>
      <c r="K2" s="215">
        <f>_xlfn.IFNA(VLOOKUP($F2,'3.框架内物料'!$A:$F,6,0),"")</f>
        <v>50.57</v>
      </c>
      <c r="L2" s="216">
        <v>0.375</v>
      </c>
      <c r="M2" s="212">
        <v>0.54</v>
      </c>
      <c r="N2" s="216">
        <v>2</v>
      </c>
      <c r="O2" s="216">
        <v>1</v>
      </c>
      <c r="P2" s="217">
        <f>IFERROR(N2*L2*J2,0)</f>
        <v>37.927500000000002</v>
      </c>
      <c r="Q2" s="217">
        <f>IFERROR(O2*M2*K2,0)</f>
        <v>27.3078</v>
      </c>
      <c r="R2" s="218">
        <f>Q2-P2</f>
        <v>-10.619700000000002</v>
      </c>
      <c r="S2" s="219">
        <v>0.06</v>
      </c>
      <c r="T2" s="219">
        <v>0</v>
      </c>
      <c r="U2" s="221"/>
      <c r="V2" s="221"/>
    </row>
    <row r="3" spans="1:25" s="233" customFormat="1" ht="22" customHeight="1">
      <c r="A3" s="210" t="s">
        <v>88</v>
      </c>
      <c r="B3" s="212" t="s">
        <v>2962</v>
      </c>
      <c r="C3" s="212" t="s">
        <v>3053</v>
      </c>
      <c r="D3" s="212" t="s">
        <v>3053</v>
      </c>
      <c r="E3" s="235" t="s">
        <v>132</v>
      </c>
      <c r="F3" s="213" t="s">
        <v>2548</v>
      </c>
      <c r="G3" s="212" t="str">
        <f>_xlfn.IFNA(IF(VLOOKUP($F3,'3.框架内物料'!$A:$E,2,0)=0,"请勿填写",VLOOKUP($F3,'3.框架内物料'!$A:$E,2,0)),"")</f>
        <v>M939882631781400578</v>
      </c>
      <c r="H3" s="214" t="str">
        <f>_xlfn.IFNA(VLOOKUP($F3,'3.框架内物料'!$A:$E,4,0),"")</f>
        <v>搭建制作-制作-指引-油画架-木质，不含画面</v>
      </c>
      <c r="I3" s="212" t="str">
        <f>_xlfn.IFNA(VLOOKUP($F3,'3.框架内物料'!$A:$E,5,0),"")</f>
        <v>个</v>
      </c>
      <c r="J3" s="215">
        <f>_xlfn.IFNA(VLOOKUP($F3,'3.框架内物料'!$A:$F,6,0),"")</f>
        <v>106</v>
      </c>
      <c r="K3" s="215">
        <f>_xlfn.IFNA(VLOOKUP($F3,'3.框架内物料'!$A:$F,6,0),"")</f>
        <v>106</v>
      </c>
      <c r="L3" s="216"/>
      <c r="M3" s="212">
        <v>1</v>
      </c>
      <c r="N3" s="216"/>
      <c r="O3" s="216">
        <v>1</v>
      </c>
      <c r="P3" s="217"/>
      <c r="Q3" s="217">
        <f>IFERROR(O3*M3*K3,0)</f>
        <v>106</v>
      </c>
      <c r="R3" s="218">
        <f>Q3-P3</f>
        <v>106</v>
      </c>
      <c r="S3" s="219">
        <v>0.06</v>
      </c>
      <c r="T3" s="219">
        <v>0</v>
      </c>
      <c r="U3" s="221"/>
      <c r="V3" s="221"/>
    </row>
    <row r="4" spans="1:25" s="179" customFormat="1" ht="22" customHeight="1">
      <c r="A4" s="173" t="s">
        <v>88</v>
      </c>
      <c r="B4" s="128" t="s">
        <v>2962</v>
      </c>
      <c r="C4" s="128" t="s">
        <v>2954</v>
      </c>
      <c r="D4" s="128" t="s">
        <v>2954</v>
      </c>
      <c r="E4" s="188" t="s">
        <v>129</v>
      </c>
      <c r="F4" s="174"/>
      <c r="G4" s="128" t="str">
        <f>_xlfn.IFNA(IF(VLOOKUP($F4,'3.框架内物料'!$A:$E,2,0)=0,"请勿填写",VLOOKUP($F4,'3.框架内物料'!$A:$E,2,0)),"")</f>
        <v/>
      </c>
      <c r="H4" s="190" t="s">
        <v>3007</v>
      </c>
      <c r="I4" s="128" t="s">
        <v>2955</v>
      </c>
      <c r="J4" s="202" t="s">
        <v>2956</v>
      </c>
      <c r="K4" s="202">
        <f>8*1.06</f>
        <v>8.48</v>
      </c>
      <c r="L4" s="67">
        <v>6</v>
      </c>
      <c r="M4" s="128">
        <v>6</v>
      </c>
      <c r="N4" s="67">
        <v>1</v>
      </c>
      <c r="O4" s="67">
        <v>1</v>
      </c>
      <c r="P4" s="175">
        <f>IFERROR(N4*L4*J4,0)</f>
        <v>50.88</v>
      </c>
      <c r="Q4" s="175">
        <f t="shared" ref="Q4" si="0">IFERROR(O4*M4*K4,0)</f>
        <v>50.88</v>
      </c>
      <c r="R4" s="176">
        <f t="shared" ref="R4" si="1">Q4-P4</f>
        <v>0</v>
      </c>
      <c r="S4" s="177">
        <v>0.06</v>
      </c>
      <c r="T4" s="177">
        <v>0</v>
      </c>
      <c r="U4" s="178"/>
      <c r="V4" s="178"/>
    </row>
    <row r="5" spans="1:25" s="234" customFormat="1" ht="22" customHeight="1">
      <c r="A5" s="223" t="s">
        <v>88</v>
      </c>
      <c r="B5" s="211" t="s">
        <v>2962</v>
      </c>
      <c r="C5" s="211" t="s">
        <v>3047</v>
      </c>
      <c r="D5" s="211" t="s">
        <v>3047</v>
      </c>
      <c r="E5" s="211" t="s">
        <v>129</v>
      </c>
      <c r="F5" s="224"/>
      <c r="G5" s="211" t="str">
        <f>_xlfn.IFNA(IF(VLOOKUP($F5,'3.框架内物料'!$A:$E,2,0)=0,"请勿填写",VLOOKUP($F5,'3.框架内物料'!$A:$E,2,0)),"")</f>
        <v/>
      </c>
      <c r="H5" s="225" t="s">
        <v>3046</v>
      </c>
      <c r="I5" s="211" t="s">
        <v>2955</v>
      </c>
      <c r="J5" s="226" t="s">
        <v>2996</v>
      </c>
      <c r="K5" s="226">
        <f>1*1.06</f>
        <v>1.06</v>
      </c>
      <c r="L5" s="227">
        <v>45</v>
      </c>
      <c r="M5" s="211">
        <v>160</v>
      </c>
      <c r="N5" s="227">
        <v>6</v>
      </c>
      <c r="O5" s="227">
        <v>1</v>
      </c>
      <c r="P5" s="228">
        <f>IFERROR(N5*L5*J5,0)</f>
        <v>286.2</v>
      </c>
      <c r="Q5" s="228">
        <f t="shared" ref="Q5" si="2">IFERROR(O5*M5*K5,0)</f>
        <v>169.60000000000002</v>
      </c>
      <c r="R5" s="229">
        <f t="shared" ref="R5" si="3">Q5-P5</f>
        <v>-116.59999999999997</v>
      </c>
      <c r="S5" s="219">
        <v>0.06</v>
      </c>
      <c r="T5" s="219">
        <v>0</v>
      </c>
      <c r="U5" s="223"/>
      <c r="V5" s="223"/>
    </row>
    <row r="6" spans="1:25" s="234" customFormat="1" ht="22" customHeight="1">
      <c r="A6" s="223" t="s">
        <v>88</v>
      </c>
      <c r="B6" s="211" t="s">
        <v>2962</v>
      </c>
      <c r="C6" s="211" t="s">
        <v>3048</v>
      </c>
      <c r="D6" s="211" t="s">
        <v>3048</v>
      </c>
      <c r="E6" s="211" t="s">
        <v>129</v>
      </c>
      <c r="F6" s="224"/>
      <c r="G6" s="211"/>
      <c r="H6" s="225" t="s">
        <v>3049</v>
      </c>
      <c r="I6" s="211" t="s">
        <v>2955</v>
      </c>
      <c r="J6" s="226"/>
      <c r="K6" s="226">
        <f>4.5*1.06</f>
        <v>4.7700000000000005</v>
      </c>
      <c r="L6" s="227"/>
      <c r="M6" s="211">
        <v>104</v>
      </c>
      <c r="N6" s="227"/>
      <c r="O6" s="227">
        <v>1</v>
      </c>
      <c r="P6" s="228"/>
      <c r="Q6" s="228">
        <f t="shared" ref="Q6" si="4">IFERROR(O6*M6*K6,0)</f>
        <v>496.08000000000004</v>
      </c>
      <c r="R6" s="229">
        <f t="shared" ref="R6" si="5">Q6-P6</f>
        <v>496.08000000000004</v>
      </c>
      <c r="S6" s="219">
        <v>0.06</v>
      </c>
      <c r="T6" s="219">
        <v>0</v>
      </c>
      <c r="U6" s="223"/>
      <c r="V6" s="223"/>
    </row>
    <row r="7" spans="1:25" s="234" customFormat="1" ht="22" customHeight="1">
      <c r="A7" s="223" t="s">
        <v>88</v>
      </c>
      <c r="B7" s="211" t="s">
        <v>2962</v>
      </c>
      <c r="C7" s="211" t="s">
        <v>3051</v>
      </c>
      <c r="D7" s="211" t="s">
        <v>3051</v>
      </c>
      <c r="E7" s="211" t="s">
        <v>129</v>
      </c>
      <c r="F7" s="224"/>
      <c r="G7" s="211"/>
      <c r="H7" s="225" t="s">
        <v>3052</v>
      </c>
      <c r="I7" s="211" t="s">
        <v>2955</v>
      </c>
      <c r="J7" s="226"/>
      <c r="K7" s="226">
        <f>2*1.06</f>
        <v>2.12</v>
      </c>
      <c r="L7" s="227"/>
      <c r="M7" s="211">
        <v>1</v>
      </c>
      <c r="N7" s="227"/>
      <c r="O7" s="227">
        <v>1</v>
      </c>
      <c r="P7" s="228"/>
      <c r="Q7" s="228">
        <f t="shared" ref="Q7" si="6">IFERROR(O7*M7*K7,0)</f>
        <v>2.12</v>
      </c>
      <c r="R7" s="229">
        <f t="shared" ref="R7" si="7">Q7-P7</f>
        <v>2.12</v>
      </c>
      <c r="S7" s="219">
        <v>0.06</v>
      </c>
      <c r="T7" s="219">
        <v>0</v>
      </c>
      <c r="U7" s="223"/>
      <c r="V7" s="223"/>
    </row>
    <row r="8" spans="1:25" s="71" customFormat="1" ht="18">
      <c r="A8" s="57"/>
      <c r="B8" s="61"/>
      <c r="C8" s="61"/>
      <c r="D8" s="61"/>
      <c r="E8" s="61"/>
      <c r="F8" s="58"/>
      <c r="G8" s="58"/>
      <c r="H8" s="58"/>
      <c r="I8" s="58"/>
      <c r="J8" s="58"/>
      <c r="K8" s="58"/>
      <c r="L8" s="58"/>
      <c r="M8" s="58"/>
      <c r="N8" s="58"/>
      <c r="O8" s="58"/>
      <c r="P8" s="265" t="s">
        <v>89</v>
      </c>
      <c r="Q8" s="266"/>
      <c r="R8" s="267"/>
      <c r="S8" s="165"/>
      <c r="T8" s="165"/>
      <c r="U8" s="60"/>
      <c r="V8" s="60"/>
    </row>
    <row r="9" spans="1:25" s="71" customFormat="1" ht="18">
      <c r="A9" s="54"/>
      <c r="B9" s="62"/>
      <c r="C9" s="62"/>
      <c r="D9" s="62"/>
      <c r="E9" s="62"/>
      <c r="F9" s="55"/>
      <c r="G9" s="55"/>
      <c r="H9" s="55"/>
      <c r="I9" s="55"/>
      <c r="J9" s="55"/>
      <c r="K9" s="55"/>
      <c r="L9" s="55"/>
      <c r="M9" s="55"/>
      <c r="N9" s="55"/>
      <c r="O9" s="55"/>
      <c r="P9" s="158">
        <f>SUM(P2:P5)</f>
        <v>375.00749999999999</v>
      </c>
      <c r="Q9" s="158">
        <f>SUM(Q2:Q7)</f>
        <v>851.98779999999999</v>
      </c>
      <c r="R9" s="158">
        <f>Q9-P9</f>
        <v>476.9803</v>
      </c>
      <c r="S9" s="166"/>
      <c r="T9" s="171"/>
      <c r="U9" s="55"/>
      <c r="V9" s="56"/>
    </row>
    <row r="10" spans="1:25" s="222" customFormat="1" ht="22" customHeight="1">
      <c r="A10" s="210" t="s">
        <v>84</v>
      </c>
      <c r="B10" s="212" t="s">
        <v>2971</v>
      </c>
      <c r="C10" s="212" t="s">
        <v>2972</v>
      </c>
      <c r="D10" s="212" t="s">
        <v>2990</v>
      </c>
      <c r="E10" s="212" t="s">
        <v>132</v>
      </c>
      <c r="F10" s="213" t="s">
        <v>2910</v>
      </c>
      <c r="G10" s="212" t="str">
        <f>_xlfn.IFNA(IF(VLOOKUP($F10,'3.框架内物料'!$A:$E,2,0)=0,"请勿填写",VLOOKUP($F10,'3.框架内物料'!$A:$E,2,0)),"")</f>
        <v>M939882641945305089</v>
      </c>
      <c r="H10" s="214" t="str">
        <f>_xlfn.IFNA(VLOOKUP($F10,'3.框架内物料'!$A:$E,4,0),"")</f>
        <v>Onsite 人员-服务人员-项目助理-人员劳务费。不含住宿、交通、补贴等费用，每天不超过8小时</v>
      </c>
      <c r="I10" s="212" t="str">
        <f>_xlfn.IFNA(VLOOKUP($F10,'3.框架内物料'!$A:$E,5,0),"")</f>
        <v>人/天</v>
      </c>
      <c r="J10" s="215">
        <f>_xlfn.IFNA(VLOOKUP($F10,'3.框架内物料'!$A:$F,6,0),"")</f>
        <v>530</v>
      </c>
      <c r="K10" s="215">
        <f>_xlfn.IFNA(VLOOKUP($F10,'3.框架内物料'!$A:$F,6,0),"")</f>
        <v>530</v>
      </c>
      <c r="L10" s="216">
        <v>1</v>
      </c>
      <c r="M10" s="212">
        <v>1</v>
      </c>
      <c r="N10" s="216">
        <v>5</v>
      </c>
      <c r="O10" s="216">
        <v>5</v>
      </c>
      <c r="P10" s="217">
        <f>IFERROR(N10*L10*J10,0)</f>
        <v>2650</v>
      </c>
      <c r="Q10" s="217">
        <f t="shared" ref="Q10" si="8">IFERROR(O10*M10*K10,0)</f>
        <v>2650</v>
      </c>
      <c r="R10" s="218">
        <f t="shared" ref="R10" si="9">Q10-P10</f>
        <v>0</v>
      </c>
      <c r="S10" s="219">
        <v>0.06</v>
      </c>
      <c r="T10" s="219">
        <v>0</v>
      </c>
      <c r="U10" s="220"/>
      <c r="V10" s="221"/>
    </row>
    <row r="11" spans="1:25" s="181" customFormat="1" ht="51">
      <c r="A11" s="173" t="s">
        <v>84</v>
      </c>
      <c r="B11" s="128" t="s">
        <v>2960</v>
      </c>
      <c r="C11" s="128" t="s">
        <v>2961</v>
      </c>
      <c r="D11" s="128" t="s">
        <v>3001</v>
      </c>
      <c r="E11" s="128" t="s">
        <v>132</v>
      </c>
      <c r="F11" s="174" t="s">
        <v>2905</v>
      </c>
      <c r="G11" s="128" t="str">
        <f>_xlfn.IFNA(IF(VLOOKUP($F11,'3.框架内物料'!$A:$E,2,0)=0,"请勿填写",VLOOKUP($F11,'3.框架内物料'!$A:$E,2,0)),"")</f>
        <v>M939882702539182081</v>
      </c>
      <c r="H11" s="190" t="str">
        <f>_xlfn.IFNA(VLOOKUP($F11,'3.框架内物料'!$A:$E,4,0),"")</f>
        <v>第三方人员类-运营人员-服务人员-兼职人员-人员劳务费。不含住宿、交通、补贴等费用，每场不超过8小时
彩排按每人0.5场收费，含个税</v>
      </c>
      <c r="I11" s="128" t="str">
        <f>_xlfn.IFNA(VLOOKUP($F11,'3.框架内物料'!$A:$E,5,0),"")</f>
        <v>人/场</v>
      </c>
      <c r="J11" s="202">
        <f>_xlfn.IFNA(VLOOKUP($F11,'3.框架内物料'!$A:$F,6,0),"")</f>
        <v>318</v>
      </c>
      <c r="K11" s="202">
        <f>_xlfn.IFNA(VLOOKUP($F11,'3.框架内物料'!$A:$F,6,0),"")</f>
        <v>318</v>
      </c>
      <c r="L11" s="67">
        <v>1</v>
      </c>
      <c r="M11" s="128"/>
      <c r="N11" s="67">
        <v>1</v>
      </c>
      <c r="O11" s="67"/>
      <c r="P11" s="175">
        <f>IFERROR(N11*L11*J11,0)</f>
        <v>318</v>
      </c>
      <c r="Q11" s="175">
        <f t="shared" ref="Q11" si="10">IFERROR(O11*M11*K11,0)</f>
        <v>0</v>
      </c>
      <c r="R11" s="176">
        <f t="shared" ref="R11" si="11">Q11-P11</f>
        <v>-318</v>
      </c>
      <c r="S11" s="177">
        <v>0.06</v>
      </c>
      <c r="T11" s="177">
        <v>0</v>
      </c>
      <c r="U11" s="180"/>
      <c r="V11" s="178"/>
    </row>
    <row r="12" spans="1:25" s="71" customFormat="1" ht="18">
      <c r="A12" s="57"/>
      <c r="B12" s="61"/>
      <c r="C12" s="61"/>
      <c r="D12" s="61"/>
      <c r="E12" s="61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265" t="s">
        <v>91</v>
      </c>
      <c r="Q12" s="266"/>
      <c r="R12" s="267"/>
      <c r="S12" s="165"/>
      <c r="T12" s="165"/>
      <c r="U12" s="60"/>
      <c r="V12" s="60"/>
    </row>
    <row r="13" spans="1:25" s="71" customFormat="1" ht="18">
      <c r="A13" s="54"/>
      <c r="B13" s="62"/>
      <c r="C13" s="62"/>
      <c r="D13" s="62"/>
      <c r="E13" s="62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158">
        <f>SUM(P10:P11)</f>
        <v>2968</v>
      </c>
      <c r="Q13" s="158">
        <f>SUM(Q10:Q11)</f>
        <v>2650</v>
      </c>
      <c r="R13" s="158">
        <f>Q13-P13</f>
        <v>-318</v>
      </c>
      <c r="S13" s="166"/>
      <c r="T13" s="171"/>
      <c r="U13" s="55"/>
      <c r="V13" s="56"/>
    </row>
    <row r="14" spans="1:25" s="222" customFormat="1" ht="30" customHeight="1">
      <c r="A14" s="210" t="s">
        <v>93</v>
      </c>
      <c r="B14" s="211" t="s">
        <v>2963</v>
      </c>
      <c r="C14" s="212" t="s">
        <v>2965</v>
      </c>
      <c r="D14" s="212" t="s">
        <v>2957</v>
      </c>
      <c r="E14" s="212" t="s">
        <v>129</v>
      </c>
      <c r="F14" s="213"/>
      <c r="G14" s="212" t="str">
        <f>_xlfn.IFNA(IF(VLOOKUP($F14,'3.框架内物料'!$A:$E,2,0)=0,"请勿填写",VLOOKUP($F14,'3.框架内物料'!$A:$E,2,0)),"")</f>
        <v/>
      </c>
      <c r="H14" s="214" t="s">
        <v>3031</v>
      </c>
      <c r="I14" s="212" t="s">
        <v>2958</v>
      </c>
      <c r="J14" s="215" t="s">
        <v>2959</v>
      </c>
      <c r="K14" s="215">
        <f>48222*1.06</f>
        <v>51115.32</v>
      </c>
      <c r="L14" s="216">
        <v>38</v>
      </c>
      <c r="M14" s="212">
        <v>1</v>
      </c>
      <c r="N14" s="216">
        <v>1</v>
      </c>
      <c r="O14" s="216">
        <v>1</v>
      </c>
      <c r="P14" s="217">
        <f t="shared" ref="P14:P33" si="12">IFERROR(N14*L14*J14,0)</f>
        <v>95000</v>
      </c>
      <c r="Q14" s="217">
        <f t="shared" ref="Q14" si="13">IFERROR(O14*M14*K14,0)</f>
        <v>51115.32</v>
      </c>
      <c r="R14" s="218">
        <f t="shared" ref="R14:R20" si="14">Q14-P14</f>
        <v>-43884.68</v>
      </c>
      <c r="S14" s="219">
        <v>0.06</v>
      </c>
      <c r="T14" s="219">
        <v>0</v>
      </c>
      <c r="U14" s="220"/>
      <c r="V14" s="221"/>
    </row>
    <row r="15" spans="1:25" s="222" customFormat="1" ht="30" customHeight="1">
      <c r="A15" s="210" t="s">
        <v>93</v>
      </c>
      <c r="B15" s="211" t="s">
        <v>2963</v>
      </c>
      <c r="C15" s="212" t="s">
        <v>3015</v>
      </c>
      <c r="D15" s="212" t="s">
        <v>3016</v>
      </c>
      <c r="E15" s="212" t="s">
        <v>129</v>
      </c>
      <c r="F15" s="213"/>
      <c r="G15" s="212" t="str">
        <f>_xlfn.IFNA(IF(VLOOKUP($F15,'3.框架内物料'!$A:$E,2,0)=0,"请勿填写",VLOOKUP($F15,'3.框架内物料'!$A:$E,2,0)),"")</f>
        <v/>
      </c>
      <c r="H15" s="214" t="s">
        <v>3032</v>
      </c>
      <c r="I15" s="212" t="s">
        <v>2958</v>
      </c>
      <c r="J15" s="215" t="s">
        <v>3017</v>
      </c>
      <c r="K15" s="215">
        <f>3944*1.06</f>
        <v>4180.6400000000003</v>
      </c>
      <c r="L15" s="216">
        <v>2</v>
      </c>
      <c r="M15" s="212">
        <v>1</v>
      </c>
      <c r="N15" s="216">
        <v>1</v>
      </c>
      <c r="O15" s="216">
        <v>1</v>
      </c>
      <c r="P15" s="217">
        <f t="shared" ref="P15" si="15">IFERROR(N15*L15*J15,0)</f>
        <v>2800</v>
      </c>
      <c r="Q15" s="217">
        <f t="shared" ref="Q15" si="16">IFERROR(O15*M15*K15,0)</f>
        <v>4180.6400000000003</v>
      </c>
      <c r="R15" s="218">
        <f t="shared" ref="R15" si="17">Q15-P15</f>
        <v>1380.6400000000003</v>
      </c>
      <c r="S15" s="219">
        <v>0.06</v>
      </c>
      <c r="T15" s="219">
        <v>0</v>
      </c>
      <c r="U15" s="220"/>
      <c r="V15" s="221"/>
    </row>
    <row r="16" spans="1:25" s="231" customFormat="1" ht="30" customHeight="1">
      <c r="A16" s="223" t="s">
        <v>93</v>
      </c>
      <c r="B16" s="211" t="s">
        <v>2964</v>
      </c>
      <c r="C16" s="211" t="s">
        <v>3030</v>
      </c>
      <c r="D16" s="211" t="s">
        <v>3030</v>
      </c>
      <c r="E16" s="211" t="s">
        <v>129</v>
      </c>
      <c r="F16" s="224"/>
      <c r="G16" s="211" t="str">
        <f>_xlfn.IFNA(IF(VLOOKUP($F16,'3.框架内物料'!$A:$E,2,0)=0,"请勿填写",VLOOKUP($F16,'3.框架内物料'!$A:$E,2,0)),"")</f>
        <v/>
      </c>
      <c r="H16" s="225" t="s">
        <v>3033</v>
      </c>
      <c r="I16" s="211" t="s">
        <v>3029</v>
      </c>
      <c r="J16" s="226" t="s">
        <v>3014</v>
      </c>
      <c r="K16" s="226">
        <v>450</v>
      </c>
      <c r="L16" s="227">
        <v>45</v>
      </c>
      <c r="M16" s="211">
        <v>94</v>
      </c>
      <c r="N16" s="227">
        <v>4</v>
      </c>
      <c r="O16" s="227">
        <v>1</v>
      </c>
      <c r="P16" s="228">
        <f t="shared" si="12"/>
        <v>81000</v>
      </c>
      <c r="Q16" s="228">
        <f>IFERROR(O16*M16*K16,0)</f>
        <v>42300</v>
      </c>
      <c r="R16" s="229">
        <f t="shared" si="14"/>
        <v>-38700</v>
      </c>
      <c r="S16" s="219">
        <v>0.06</v>
      </c>
      <c r="T16" s="219">
        <v>0</v>
      </c>
      <c r="U16" s="230"/>
      <c r="V16" s="223"/>
      <c r="Y16" s="232"/>
    </row>
    <row r="17" spans="1:25" s="231" customFormat="1" ht="30" customHeight="1">
      <c r="A17" s="223" t="s">
        <v>93</v>
      </c>
      <c r="B17" s="211" t="s">
        <v>2964</v>
      </c>
      <c r="C17" s="211" t="s">
        <v>3060</v>
      </c>
      <c r="D17" s="211" t="s">
        <v>3060</v>
      </c>
      <c r="E17" s="211" t="s">
        <v>129</v>
      </c>
      <c r="F17" s="224"/>
      <c r="G17" s="211"/>
      <c r="H17" s="225" t="s">
        <v>3057</v>
      </c>
      <c r="I17" s="211" t="s">
        <v>3029</v>
      </c>
      <c r="J17" s="226"/>
      <c r="K17" s="226">
        <v>800</v>
      </c>
      <c r="L17" s="227"/>
      <c r="M17" s="211">
        <v>29</v>
      </c>
      <c r="N17" s="227"/>
      <c r="O17" s="227">
        <v>1</v>
      </c>
      <c r="P17" s="228"/>
      <c r="Q17" s="228">
        <f>IFERROR(O17*M17*K17,0)</f>
        <v>23200</v>
      </c>
      <c r="R17" s="229">
        <f t="shared" ref="R17" si="18">Q17-P17</f>
        <v>23200</v>
      </c>
      <c r="S17" s="219">
        <v>0</v>
      </c>
      <c r="T17" s="219">
        <v>0</v>
      </c>
      <c r="U17" s="230"/>
      <c r="V17" s="223"/>
      <c r="Y17" s="232"/>
    </row>
    <row r="18" spans="1:25" s="231" customFormat="1" ht="30" customHeight="1">
      <c r="A18" s="223" t="s">
        <v>93</v>
      </c>
      <c r="B18" s="211" t="s">
        <v>2968</v>
      </c>
      <c r="C18" s="211" t="s">
        <v>2987</v>
      </c>
      <c r="D18" s="211" t="s">
        <v>2987</v>
      </c>
      <c r="E18" s="211" t="s">
        <v>129</v>
      </c>
      <c r="F18" s="224"/>
      <c r="G18" s="211"/>
      <c r="H18" s="225" t="s">
        <v>3058</v>
      </c>
      <c r="I18" s="211" t="s">
        <v>3059</v>
      </c>
      <c r="J18" s="226"/>
      <c r="K18" s="226">
        <f>168*1.06</f>
        <v>178.08</v>
      </c>
      <c r="L18" s="227"/>
      <c r="M18" s="211">
        <v>50</v>
      </c>
      <c r="N18" s="227"/>
      <c r="O18" s="227">
        <v>1</v>
      </c>
      <c r="P18" s="228"/>
      <c r="Q18" s="228">
        <f>IFERROR(O18*M18*K18,0)</f>
        <v>8904</v>
      </c>
      <c r="R18" s="229">
        <f t="shared" ref="R18" si="19">Q18-P18</f>
        <v>8904</v>
      </c>
      <c r="S18" s="219">
        <v>0</v>
      </c>
      <c r="T18" s="219">
        <v>0</v>
      </c>
      <c r="U18" s="230"/>
      <c r="V18" s="223"/>
      <c r="Y18" s="232"/>
    </row>
    <row r="19" spans="1:25" s="179" customFormat="1" ht="30" customHeight="1">
      <c r="A19" s="173" t="s">
        <v>93</v>
      </c>
      <c r="B19" s="178" t="s">
        <v>2966</v>
      </c>
      <c r="C19" s="128" t="s">
        <v>2967</v>
      </c>
      <c r="D19" s="128" t="s">
        <v>3002</v>
      </c>
      <c r="E19" s="128" t="s">
        <v>132</v>
      </c>
      <c r="F19" s="174" t="s">
        <v>2918</v>
      </c>
      <c r="G19" s="128" t="str">
        <f>_xlfn.IFNA(IF(VLOOKUP($F19,'3.框架内物料'!$A:$E,2,0)=0,"请勿填写",VLOOKUP($F19,'3.框架内物料'!$A:$E,2,0)),"")</f>
        <v>M939882605761044482</v>
      </c>
      <c r="H19" s="190" t="str">
        <f>_xlfn.IFNA(VLOOKUP($F19,'3.框架内物料'!$A:$E,4,0),"")</f>
        <v>接待用车-车辆-车辆物流-运营车辆-接送机-GL8，60公里内，高速费另计</v>
      </c>
      <c r="I19" s="128" t="str">
        <f>_xlfn.IFNA(VLOOKUP($F19,'3.框架内物料'!$A:$E,5,0),"")</f>
        <v>辆/趟</v>
      </c>
      <c r="J19" s="202">
        <f>_xlfn.IFNA(VLOOKUP($F19,'3.框架内物料'!$A:$F,6,0),"")</f>
        <v>530</v>
      </c>
      <c r="K19" s="202">
        <f>_xlfn.IFNA(VLOOKUP($F19,'3.框架内物料'!$A:$F,6,0),"")</f>
        <v>530</v>
      </c>
      <c r="L19" s="67">
        <v>3</v>
      </c>
      <c r="M19" s="128"/>
      <c r="N19" s="67">
        <v>2</v>
      </c>
      <c r="O19" s="67"/>
      <c r="P19" s="175">
        <f t="shared" si="12"/>
        <v>3180</v>
      </c>
      <c r="Q19" s="175">
        <f t="shared" ref="Q19:Q20" si="20">IFERROR(O19*M19*K19,0)</f>
        <v>0</v>
      </c>
      <c r="R19" s="176">
        <f t="shared" si="14"/>
        <v>-3180</v>
      </c>
      <c r="S19" s="177">
        <v>0.06</v>
      </c>
      <c r="T19" s="177">
        <v>0</v>
      </c>
      <c r="U19" s="178"/>
      <c r="V19" s="178"/>
    </row>
    <row r="20" spans="1:25" s="233" customFormat="1" ht="30" customHeight="1">
      <c r="A20" s="210" t="s">
        <v>93</v>
      </c>
      <c r="B20" s="221" t="s">
        <v>2968</v>
      </c>
      <c r="C20" s="212" t="s">
        <v>2987</v>
      </c>
      <c r="D20" s="212" t="s">
        <v>3003</v>
      </c>
      <c r="E20" s="212" t="s">
        <v>129</v>
      </c>
      <c r="F20" s="213"/>
      <c r="G20" s="212" t="str">
        <f>_xlfn.IFNA(IF(VLOOKUP($F20,'3.框架内物料'!$A:$E,2,0)=0,"请勿填写",VLOOKUP($F20,'3.框架内物料'!$A:$E,2,0)),"")</f>
        <v/>
      </c>
      <c r="H20" s="214" t="s">
        <v>3022</v>
      </c>
      <c r="I20" s="212" t="s">
        <v>3036</v>
      </c>
      <c r="J20" s="215">
        <v>178.08</v>
      </c>
      <c r="K20" s="215">
        <f>13166*1.06</f>
        <v>13955.960000000001</v>
      </c>
      <c r="L20" s="216">
        <v>45</v>
      </c>
      <c r="M20" s="212">
        <v>1</v>
      </c>
      <c r="N20" s="216">
        <v>6</v>
      </c>
      <c r="O20" s="216">
        <v>1</v>
      </c>
      <c r="P20" s="217">
        <f t="shared" si="12"/>
        <v>48081.600000000006</v>
      </c>
      <c r="Q20" s="217">
        <f t="shared" si="20"/>
        <v>13955.960000000001</v>
      </c>
      <c r="R20" s="218">
        <f t="shared" si="14"/>
        <v>-34125.640000000007</v>
      </c>
      <c r="S20" s="219">
        <v>0.06</v>
      </c>
      <c r="T20" s="219">
        <v>0</v>
      </c>
      <c r="U20" s="221"/>
      <c r="V20" s="221"/>
    </row>
    <row r="21" spans="1:25" s="234" customFormat="1" ht="30" customHeight="1">
      <c r="A21" s="223" t="s">
        <v>93</v>
      </c>
      <c r="B21" s="223" t="s">
        <v>2968</v>
      </c>
      <c r="C21" s="211" t="s">
        <v>3012</v>
      </c>
      <c r="D21" s="211" t="s">
        <v>3012</v>
      </c>
      <c r="E21" s="211" t="s">
        <v>129</v>
      </c>
      <c r="F21" s="224"/>
      <c r="G21" s="211" t="str">
        <f>_xlfn.IFNA(IF(VLOOKUP($F21,'3.框架内物料'!$A:$E,2,0)=0,"请勿填写",VLOOKUP($F21,'3.框架内物料'!$A:$E,2,0)),"")</f>
        <v/>
      </c>
      <c r="H21" s="225" t="s">
        <v>3035</v>
      </c>
      <c r="I21" s="211" t="s">
        <v>3037</v>
      </c>
      <c r="J21" s="226" t="s">
        <v>3013</v>
      </c>
      <c r="K21" s="226">
        <f>45*1.06</f>
        <v>47.7</v>
      </c>
      <c r="L21" s="227">
        <v>20</v>
      </c>
      <c r="M21" s="211">
        <v>205</v>
      </c>
      <c r="N21" s="227">
        <v>6</v>
      </c>
      <c r="O21" s="227">
        <v>1</v>
      </c>
      <c r="P21" s="228">
        <f t="shared" si="12"/>
        <v>5724</v>
      </c>
      <c r="Q21" s="228">
        <f t="shared" ref="Q21" si="21">IFERROR(O21*M21*K21,0)</f>
        <v>9778.5</v>
      </c>
      <c r="R21" s="229">
        <f t="shared" ref="R21" si="22">Q21-P21</f>
        <v>4054.5</v>
      </c>
      <c r="S21" s="219">
        <v>0.06</v>
      </c>
      <c r="T21" s="219">
        <v>0</v>
      </c>
      <c r="U21" s="223"/>
      <c r="V21" s="223"/>
    </row>
    <row r="22" spans="1:25" s="233" customFormat="1" ht="30" customHeight="1">
      <c r="A22" s="210" t="s">
        <v>93</v>
      </c>
      <c r="B22" s="221" t="s">
        <v>2968</v>
      </c>
      <c r="C22" s="212" t="s">
        <v>2986</v>
      </c>
      <c r="D22" s="212" t="s">
        <v>2986</v>
      </c>
      <c r="E22" s="212" t="s">
        <v>129</v>
      </c>
      <c r="F22" s="213"/>
      <c r="G22" s="212" t="str">
        <f>_xlfn.IFNA(IF(VLOOKUP($F22,'3.框架内物料'!$A:$E,2,0)=0,"请勿填写",VLOOKUP($F22,'3.框架内物料'!$A:$E,2,0)),"")</f>
        <v/>
      </c>
      <c r="H22" s="214" t="s">
        <v>3023</v>
      </c>
      <c r="I22" s="212" t="s">
        <v>2969</v>
      </c>
      <c r="J22" s="215" t="s">
        <v>2970</v>
      </c>
      <c r="K22" s="215">
        <f>3000*1.06</f>
        <v>3180</v>
      </c>
      <c r="L22" s="216">
        <v>1</v>
      </c>
      <c r="M22" s="212">
        <v>1</v>
      </c>
      <c r="N22" s="216">
        <v>1</v>
      </c>
      <c r="O22" s="216">
        <v>1</v>
      </c>
      <c r="P22" s="217">
        <f>IFERROR(N22*L22*J22,0)</f>
        <v>3180</v>
      </c>
      <c r="Q22" s="217">
        <f t="shared" ref="Q22" si="23">IFERROR(O22*M22*K22,0)</f>
        <v>3180</v>
      </c>
      <c r="R22" s="218">
        <f t="shared" ref="R22" si="24">Q22-P22</f>
        <v>0</v>
      </c>
      <c r="S22" s="219">
        <v>0.06</v>
      </c>
      <c r="T22" s="219">
        <v>0</v>
      </c>
      <c r="U22" s="221"/>
      <c r="V22" s="221"/>
    </row>
    <row r="23" spans="1:25" s="233" customFormat="1" ht="30" customHeight="1">
      <c r="A23" s="210" t="s">
        <v>93</v>
      </c>
      <c r="B23" s="221" t="s">
        <v>2968</v>
      </c>
      <c r="C23" s="212" t="s">
        <v>2986</v>
      </c>
      <c r="D23" s="212" t="s">
        <v>2986</v>
      </c>
      <c r="E23" s="212" t="s">
        <v>129</v>
      </c>
      <c r="F23" s="213"/>
      <c r="G23" s="212" t="str">
        <f>_xlfn.IFNA(IF(VLOOKUP($F23,'3.框架内物料'!$A:$E,2,0)=0,"请勿填写",VLOOKUP($F23,'3.框架内物料'!$A:$E,2,0)),"")</f>
        <v/>
      </c>
      <c r="H23" s="214" t="s">
        <v>3038</v>
      </c>
      <c r="I23" s="212" t="s">
        <v>3034</v>
      </c>
      <c r="J23" s="215" t="s">
        <v>2970</v>
      </c>
      <c r="K23" s="215">
        <f>15070*1.06</f>
        <v>15974.2</v>
      </c>
      <c r="L23" s="216">
        <v>3</v>
      </c>
      <c r="M23" s="212">
        <v>1</v>
      </c>
      <c r="N23" s="216">
        <v>3</v>
      </c>
      <c r="O23" s="216">
        <v>1</v>
      </c>
      <c r="P23" s="217">
        <f t="shared" si="12"/>
        <v>28620</v>
      </c>
      <c r="Q23" s="217">
        <f t="shared" ref="Q23:Q33" si="25">IFERROR(O23*M23*K23,0)</f>
        <v>15974.2</v>
      </c>
      <c r="R23" s="218">
        <f t="shared" ref="R23:R27" si="26">Q23-P23</f>
        <v>-12645.8</v>
      </c>
      <c r="S23" s="219">
        <v>0.06</v>
      </c>
      <c r="T23" s="219">
        <v>0</v>
      </c>
      <c r="U23" s="221"/>
      <c r="V23" s="221"/>
    </row>
    <row r="24" spans="1:25" s="233" customFormat="1" ht="30" customHeight="1">
      <c r="A24" s="210" t="s">
        <v>93</v>
      </c>
      <c r="B24" s="221" t="s">
        <v>2968</v>
      </c>
      <c r="C24" s="212" t="s">
        <v>2986</v>
      </c>
      <c r="D24" s="212" t="s">
        <v>2986</v>
      </c>
      <c r="E24" s="212" t="s">
        <v>129</v>
      </c>
      <c r="F24" s="213"/>
      <c r="G24" s="212"/>
      <c r="H24" s="214" t="s">
        <v>3039</v>
      </c>
      <c r="I24" s="212" t="s">
        <v>3034</v>
      </c>
      <c r="J24" s="215"/>
      <c r="K24" s="215">
        <f>15380*1.06</f>
        <v>16302.800000000001</v>
      </c>
      <c r="L24" s="216"/>
      <c r="M24" s="212">
        <v>1</v>
      </c>
      <c r="N24" s="216"/>
      <c r="O24" s="216">
        <v>1</v>
      </c>
      <c r="P24" s="217">
        <f t="shared" ref="P24" si="27">IFERROR(N24*L24*J24,0)</f>
        <v>0</v>
      </c>
      <c r="Q24" s="217">
        <f t="shared" ref="Q24" si="28">IFERROR(O24*M24*K24,0)</f>
        <v>16302.800000000001</v>
      </c>
      <c r="R24" s="218">
        <f t="shared" ref="R24" si="29">Q24-P24</f>
        <v>16302.800000000001</v>
      </c>
      <c r="S24" s="219">
        <v>0.06</v>
      </c>
      <c r="T24" s="219">
        <v>0</v>
      </c>
      <c r="U24" s="221"/>
      <c r="V24" s="221"/>
    </row>
    <row r="25" spans="1:25" s="233" customFormat="1" ht="30" customHeight="1">
      <c r="A25" s="210" t="s">
        <v>93</v>
      </c>
      <c r="B25" s="221" t="s">
        <v>2968</v>
      </c>
      <c r="C25" s="212" t="s">
        <v>2986</v>
      </c>
      <c r="D25" s="212" t="s">
        <v>2986</v>
      </c>
      <c r="E25" s="212" t="s">
        <v>129</v>
      </c>
      <c r="F25" s="213"/>
      <c r="G25" s="212" t="str">
        <f>_xlfn.IFNA(IF(VLOOKUP($F25,'3.框架内物料'!$A:$E,2,0)=0,"请勿填写",VLOOKUP($F25,'3.框架内物料'!$A:$E,2,0)),"")</f>
        <v/>
      </c>
      <c r="H25" s="214" t="s">
        <v>3024</v>
      </c>
      <c r="I25" s="212" t="s">
        <v>2969</v>
      </c>
      <c r="J25" s="215" t="s">
        <v>2970</v>
      </c>
      <c r="K25" s="215">
        <f>2667*1.06</f>
        <v>2827.02</v>
      </c>
      <c r="L25" s="216">
        <v>1</v>
      </c>
      <c r="M25" s="212">
        <v>1</v>
      </c>
      <c r="N25" s="216">
        <v>2</v>
      </c>
      <c r="O25" s="216">
        <v>1</v>
      </c>
      <c r="P25" s="217">
        <f>IFERROR(N25*L25*J25,0)</f>
        <v>6360</v>
      </c>
      <c r="Q25" s="217">
        <f t="shared" ref="Q25" si="30">IFERROR(O25*M25*K25,0)</f>
        <v>2827.02</v>
      </c>
      <c r="R25" s="218">
        <f t="shared" ref="R25" si="31">Q25-P25</f>
        <v>-3532.98</v>
      </c>
      <c r="S25" s="219">
        <v>0.06</v>
      </c>
      <c r="T25" s="219">
        <v>0</v>
      </c>
      <c r="U25" s="221"/>
      <c r="V25" s="221"/>
    </row>
    <row r="26" spans="1:25" s="233" customFormat="1" ht="30" customHeight="1">
      <c r="A26" s="210" t="s">
        <v>93</v>
      </c>
      <c r="B26" s="221" t="s">
        <v>2968</v>
      </c>
      <c r="C26" s="212" t="s">
        <v>2986</v>
      </c>
      <c r="D26" s="212" t="s">
        <v>2986</v>
      </c>
      <c r="E26" s="212" t="s">
        <v>129</v>
      </c>
      <c r="F26" s="213"/>
      <c r="G26" s="212"/>
      <c r="H26" s="214" t="s">
        <v>3040</v>
      </c>
      <c r="I26" s="212" t="s">
        <v>3034</v>
      </c>
      <c r="J26" s="215"/>
      <c r="K26" s="215">
        <f>20053*1.06</f>
        <v>21256.18</v>
      </c>
      <c r="L26" s="216"/>
      <c r="M26" s="212">
        <v>1</v>
      </c>
      <c r="N26" s="216"/>
      <c r="O26" s="216">
        <v>1</v>
      </c>
      <c r="P26" s="217">
        <f t="shared" ref="P26" si="32">IFERROR(N26*L26*J26,0)</f>
        <v>0</v>
      </c>
      <c r="Q26" s="217">
        <f t="shared" ref="Q26" si="33">IFERROR(O26*M26*K26,0)</f>
        <v>21256.18</v>
      </c>
      <c r="R26" s="218">
        <f t="shared" ref="R26" si="34">Q26-P26</f>
        <v>21256.18</v>
      </c>
      <c r="S26" s="219">
        <v>0.06</v>
      </c>
      <c r="T26" s="219">
        <v>0</v>
      </c>
      <c r="U26" s="221"/>
      <c r="V26" s="221"/>
    </row>
    <row r="27" spans="1:25" s="234" customFormat="1" ht="30" customHeight="1">
      <c r="A27" s="223" t="s">
        <v>93</v>
      </c>
      <c r="B27" s="223" t="s">
        <v>2997</v>
      </c>
      <c r="C27" s="211" t="s">
        <v>2998</v>
      </c>
      <c r="D27" s="211" t="s">
        <v>3005</v>
      </c>
      <c r="E27" s="212" t="s">
        <v>129</v>
      </c>
      <c r="F27" s="224"/>
      <c r="G27" s="211"/>
      <c r="H27" s="214" t="s">
        <v>3044</v>
      </c>
      <c r="I27" s="211" t="s">
        <v>2999</v>
      </c>
      <c r="J27" s="226" t="s">
        <v>3000</v>
      </c>
      <c r="K27" s="226">
        <f>674*1.06</f>
        <v>714.44</v>
      </c>
      <c r="L27" s="227">
        <v>1</v>
      </c>
      <c r="M27" s="211">
        <v>1</v>
      </c>
      <c r="N27" s="227">
        <v>2</v>
      </c>
      <c r="O27" s="227">
        <v>2</v>
      </c>
      <c r="P27" s="217">
        <f t="shared" si="12"/>
        <v>1428.88</v>
      </c>
      <c r="Q27" s="228">
        <f t="shared" ref="Q27" si="35">IFERROR(O27*M27*K27,0)</f>
        <v>1428.88</v>
      </c>
      <c r="R27" s="229">
        <f t="shared" si="26"/>
        <v>0</v>
      </c>
      <c r="S27" s="219">
        <v>0.06</v>
      </c>
      <c r="T27" s="219">
        <v>0</v>
      </c>
      <c r="U27" s="223"/>
      <c r="V27" s="223"/>
    </row>
    <row r="28" spans="1:25" s="234" customFormat="1" ht="30" customHeight="1">
      <c r="A28" s="223" t="s">
        <v>93</v>
      </c>
      <c r="B28" s="223" t="s">
        <v>2973</v>
      </c>
      <c r="C28" s="211" t="s">
        <v>2975</v>
      </c>
      <c r="D28" s="211" t="s">
        <v>2988</v>
      </c>
      <c r="E28" s="212" t="s">
        <v>129</v>
      </c>
      <c r="F28" s="224"/>
      <c r="G28" s="211"/>
      <c r="H28" s="225" t="s">
        <v>3006</v>
      </c>
      <c r="I28" s="211" t="s">
        <v>2977</v>
      </c>
      <c r="J28" s="226" t="s">
        <v>2989</v>
      </c>
      <c r="K28" s="226">
        <v>350</v>
      </c>
      <c r="L28" s="227">
        <v>1</v>
      </c>
      <c r="M28" s="211">
        <v>1</v>
      </c>
      <c r="N28" s="227">
        <v>4</v>
      </c>
      <c r="O28" s="227">
        <v>4</v>
      </c>
      <c r="P28" s="217">
        <f t="shared" si="12"/>
        <v>1400</v>
      </c>
      <c r="Q28" s="228">
        <f t="shared" si="25"/>
        <v>1400</v>
      </c>
      <c r="R28" s="229">
        <f t="shared" ref="R28:R33" si="36">Q28-P28</f>
        <v>0</v>
      </c>
      <c r="S28" s="219">
        <v>0</v>
      </c>
      <c r="T28" s="219">
        <v>0</v>
      </c>
      <c r="U28" s="223"/>
      <c r="V28" s="223"/>
    </row>
    <row r="29" spans="1:25" s="234" customFormat="1" ht="30" customHeight="1">
      <c r="A29" s="223" t="s">
        <v>93</v>
      </c>
      <c r="B29" s="223" t="s">
        <v>2974</v>
      </c>
      <c r="C29" s="211" t="s">
        <v>3054</v>
      </c>
      <c r="D29" s="211" t="s">
        <v>3045</v>
      </c>
      <c r="E29" s="211" t="s">
        <v>129</v>
      </c>
      <c r="F29" s="224"/>
      <c r="G29" s="211"/>
      <c r="H29" s="225" t="s">
        <v>3055</v>
      </c>
      <c r="I29" s="211" t="s">
        <v>2978</v>
      </c>
      <c r="J29" s="226" t="s">
        <v>2983</v>
      </c>
      <c r="K29" s="226">
        <v>100</v>
      </c>
      <c r="L29" s="227">
        <v>1</v>
      </c>
      <c r="M29" s="211">
        <v>1</v>
      </c>
      <c r="N29" s="227">
        <v>6</v>
      </c>
      <c r="O29" s="227">
        <v>5</v>
      </c>
      <c r="P29" s="217">
        <f t="shared" si="12"/>
        <v>600</v>
      </c>
      <c r="Q29" s="228">
        <f t="shared" si="25"/>
        <v>500</v>
      </c>
      <c r="R29" s="229">
        <f t="shared" si="36"/>
        <v>-100</v>
      </c>
      <c r="S29" s="219">
        <v>0.06</v>
      </c>
      <c r="T29" s="219">
        <v>0</v>
      </c>
      <c r="U29" s="223"/>
      <c r="V29" s="223"/>
    </row>
    <row r="30" spans="1:25" s="234" customFormat="1" ht="30" customHeight="1">
      <c r="A30" s="223" t="s">
        <v>93</v>
      </c>
      <c r="B30" s="223" t="s">
        <v>3056</v>
      </c>
      <c r="C30" s="223" t="s">
        <v>3056</v>
      </c>
      <c r="D30" s="223" t="s">
        <v>3056</v>
      </c>
      <c r="E30" s="211" t="s">
        <v>129</v>
      </c>
      <c r="F30" s="224"/>
      <c r="G30" s="211"/>
      <c r="H30" s="225" t="s">
        <v>3056</v>
      </c>
      <c r="I30" s="211" t="s">
        <v>3036</v>
      </c>
      <c r="J30" s="226"/>
      <c r="K30" s="226">
        <f>948*1.06</f>
        <v>1004.88</v>
      </c>
      <c r="L30" s="227"/>
      <c r="M30" s="211">
        <v>1</v>
      </c>
      <c r="N30" s="227"/>
      <c r="O30" s="227">
        <v>1</v>
      </c>
      <c r="P30" s="217"/>
      <c r="Q30" s="228">
        <f t="shared" ref="Q30:Q31" si="37">IFERROR(O30*M30*K30,0)</f>
        <v>1004.88</v>
      </c>
      <c r="R30" s="229">
        <f t="shared" ref="R30:R31" si="38">Q30-P30</f>
        <v>1004.88</v>
      </c>
      <c r="S30" s="219">
        <v>0.06</v>
      </c>
      <c r="T30" s="219">
        <v>0</v>
      </c>
      <c r="U30" s="223"/>
      <c r="V30" s="223"/>
    </row>
    <row r="31" spans="1:25" s="234" customFormat="1" ht="30" customHeight="1">
      <c r="A31" s="223" t="s">
        <v>93</v>
      </c>
      <c r="B31" s="223" t="s">
        <v>3061</v>
      </c>
      <c r="C31" s="223" t="s">
        <v>3061</v>
      </c>
      <c r="D31" s="223" t="s">
        <v>3061</v>
      </c>
      <c r="E31" s="211" t="s">
        <v>129</v>
      </c>
      <c r="F31" s="224"/>
      <c r="G31" s="211"/>
      <c r="H31" s="236" t="s">
        <v>3062</v>
      </c>
      <c r="I31" s="211" t="s">
        <v>3036</v>
      </c>
      <c r="J31" s="226"/>
      <c r="K31" s="237">
        <f>7.8*1.06</f>
        <v>8.2680000000000007</v>
      </c>
      <c r="L31" s="227"/>
      <c r="M31" s="211">
        <v>1</v>
      </c>
      <c r="N31" s="227"/>
      <c r="O31" s="227">
        <v>1</v>
      </c>
      <c r="P31" s="217"/>
      <c r="Q31" s="228">
        <f t="shared" si="37"/>
        <v>8.2680000000000007</v>
      </c>
      <c r="R31" s="229">
        <f t="shared" si="38"/>
        <v>8.2680000000000007</v>
      </c>
      <c r="S31" s="219">
        <v>0.06</v>
      </c>
      <c r="T31" s="219">
        <v>0</v>
      </c>
      <c r="U31" s="223"/>
      <c r="V31" s="223"/>
    </row>
    <row r="32" spans="1:25" s="199" customFormat="1" ht="30" customHeight="1">
      <c r="A32" s="193" t="s">
        <v>93</v>
      </c>
      <c r="B32" s="193" t="s">
        <v>2974</v>
      </c>
      <c r="C32" s="189" t="s">
        <v>2976</v>
      </c>
      <c r="D32" s="189" t="s">
        <v>3045</v>
      </c>
      <c r="E32" s="189" t="s">
        <v>129</v>
      </c>
      <c r="F32" s="194"/>
      <c r="G32" s="189"/>
      <c r="H32" s="195" t="s">
        <v>3004</v>
      </c>
      <c r="I32" s="189" t="s">
        <v>2978</v>
      </c>
      <c r="J32" s="203" t="s">
        <v>2983</v>
      </c>
      <c r="K32" s="203"/>
      <c r="L32" s="196">
        <v>1</v>
      </c>
      <c r="M32" s="189"/>
      <c r="N32" s="196">
        <v>6</v>
      </c>
      <c r="O32" s="196"/>
      <c r="P32" s="175">
        <f t="shared" si="12"/>
        <v>600</v>
      </c>
      <c r="Q32" s="197">
        <f t="shared" ref="Q32" si="39">IFERROR(O32*M32*K32,0)</f>
        <v>0</v>
      </c>
      <c r="R32" s="198">
        <f t="shared" ref="R32" si="40">Q32-P32</f>
        <v>-600</v>
      </c>
      <c r="S32" s="177">
        <v>0.06</v>
      </c>
      <c r="T32" s="177">
        <v>0</v>
      </c>
      <c r="U32" s="193"/>
      <c r="V32" s="193"/>
    </row>
    <row r="33" spans="1:22" s="199" customFormat="1" ht="30" customHeight="1">
      <c r="A33" s="193" t="s">
        <v>93</v>
      </c>
      <c r="B33" s="193" t="s">
        <v>3008</v>
      </c>
      <c r="C33" s="193" t="s">
        <v>3008</v>
      </c>
      <c r="D33" s="189" t="s">
        <v>3009</v>
      </c>
      <c r="E33" s="189" t="s">
        <v>129</v>
      </c>
      <c r="F33" s="194"/>
      <c r="G33" s="189"/>
      <c r="H33" s="195" t="s">
        <v>3010</v>
      </c>
      <c r="I33" s="189" t="s">
        <v>2978</v>
      </c>
      <c r="J33" s="203" t="s">
        <v>3011</v>
      </c>
      <c r="K33" s="203"/>
      <c r="L33" s="196">
        <v>45</v>
      </c>
      <c r="M33" s="189"/>
      <c r="N33" s="196">
        <v>30</v>
      </c>
      <c r="O33" s="196"/>
      <c r="P33" s="175">
        <f t="shared" si="12"/>
        <v>143.1</v>
      </c>
      <c r="Q33" s="197">
        <f t="shared" si="25"/>
        <v>0</v>
      </c>
      <c r="R33" s="198">
        <f t="shared" si="36"/>
        <v>-143.1</v>
      </c>
      <c r="S33" s="177">
        <v>0.06</v>
      </c>
      <c r="T33" s="177">
        <v>0</v>
      </c>
      <c r="U33" s="193"/>
      <c r="V33" s="193"/>
    </row>
    <row r="34" spans="1:22" s="75" customFormat="1" ht="18">
      <c r="A34" s="57"/>
      <c r="B34" s="61"/>
      <c r="C34" s="61"/>
      <c r="D34" s="61"/>
      <c r="E34" s="61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265" t="s">
        <v>95</v>
      </c>
      <c r="Q34" s="266"/>
      <c r="R34" s="267"/>
      <c r="S34" s="165"/>
      <c r="T34" s="165"/>
      <c r="U34" s="60"/>
      <c r="V34" s="60"/>
    </row>
    <row r="35" spans="1:22" s="75" customFormat="1" ht="18">
      <c r="A35" s="54"/>
      <c r="B35" s="62"/>
      <c r="C35" s="62"/>
      <c r="D35" s="62"/>
      <c r="E35" s="62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158">
        <f>SUM(P14:P33)</f>
        <v>278117.57999999996</v>
      </c>
      <c r="Q35" s="158">
        <f>SUM(Q14:Q33)</f>
        <v>217316.64799999999</v>
      </c>
      <c r="R35" s="158">
        <f>Q35-P35</f>
        <v>-60800.931999999972</v>
      </c>
      <c r="S35" s="166"/>
      <c r="T35" s="171"/>
      <c r="U35" s="55"/>
      <c r="V35" s="56"/>
    </row>
    <row r="36" spans="1:22" s="222" customFormat="1" ht="22" customHeight="1">
      <c r="A36" s="210" t="s">
        <v>3025</v>
      </c>
      <c r="B36" s="221" t="s">
        <v>3026</v>
      </c>
      <c r="C36" s="221" t="s">
        <v>3026</v>
      </c>
      <c r="D36" s="221" t="s">
        <v>3026</v>
      </c>
      <c r="E36" s="212" t="s">
        <v>129</v>
      </c>
      <c r="F36" s="213"/>
      <c r="G36" s="212"/>
      <c r="H36" s="214" t="s">
        <v>3042</v>
      </c>
      <c r="I36" s="212" t="s">
        <v>3041</v>
      </c>
      <c r="J36" s="215"/>
      <c r="K36" s="215">
        <f>5500*1.06</f>
        <v>5830</v>
      </c>
      <c r="L36" s="216"/>
      <c r="M36" s="212">
        <v>2</v>
      </c>
      <c r="N36" s="216"/>
      <c r="O36" s="216">
        <v>1</v>
      </c>
      <c r="P36" s="217"/>
      <c r="Q36" s="228">
        <f t="shared" ref="Q36" si="41">IFERROR(O36*M36*K36,0)</f>
        <v>11660</v>
      </c>
      <c r="R36" s="229">
        <f t="shared" ref="R36" si="42">Q36-P36</f>
        <v>11660</v>
      </c>
      <c r="S36" s="219">
        <v>0.06</v>
      </c>
      <c r="T36" s="219">
        <v>0</v>
      </c>
      <c r="U36" s="220"/>
      <c r="V36" s="221"/>
    </row>
    <row r="37" spans="1:22" s="222" customFormat="1" ht="22" customHeight="1">
      <c r="A37" s="210" t="s">
        <v>3025</v>
      </c>
      <c r="B37" s="221" t="s">
        <v>3026</v>
      </c>
      <c r="C37" s="221" t="s">
        <v>3026</v>
      </c>
      <c r="D37" s="221" t="s">
        <v>3026</v>
      </c>
      <c r="E37" s="212" t="s">
        <v>129</v>
      </c>
      <c r="F37" s="213"/>
      <c r="G37" s="212"/>
      <c r="H37" s="214" t="s">
        <v>3043</v>
      </c>
      <c r="I37" s="212" t="s">
        <v>3027</v>
      </c>
      <c r="J37" s="215"/>
      <c r="K37" s="215">
        <f>917*1.06</f>
        <v>972.0200000000001</v>
      </c>
      <c r="L37" s="216"/>
      <c r="M37" s="212">
        <v>2</v>
      </c>
      <c r="N37" s="216"/>
      <c r="O37" s="216">
        <v>1</v>
      </c>
      <c r="P37" s="217"/>
      <c r="Q37" s="228">
        <f t="shared" ref="Q37" si="43">IFERROR(O37*M37*K37,0)</f>
        <v>1944.0400000000002</v>
      </c>
      <c r="R37" s="229">
        <f t="shared" ref="R37" si="44">Q37-P37</f>
        <v>1944.0400000000002</v>
      </c>
      <c r="S37" s="219">
        <v>0.06</v>
      </c>
      <c r="T37" s="219">
        <v>0</v>
      </c>
      <c r="U37" s="220"/>
      <c r="V37" s="221"/>
    </row>
    <row r="38" spans="1:22" s="75" customFormat="1" ht="18">
      <c r="A38" s="57"/>
      <c r="B38" s="61"/>
      <c r="C38" s="61"/>
      <c r="D38" s="61"/>
      <c r="E38" s="61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265" t="s">
        <v>3028</v>
      </c>
      <c r="Q38" s="266"/>
      <c r="R38" s="267"/>
      <c r="S38" s="165"/>
      <c r="T38" s="165"/>
      <c r="U38" s="60"/>
      <c r="V38" s="60"/>
    </row>
    <row r="39" spans="1:22" s="75" customFormat="1" ht="18">
      <c r="A39" s="54"/>
      <c r="B39" s="62"/>
      <c r="C39" s="62"/>
      <c r="D39" s="62"/>
      <c r="E39" s="62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158">
        <f>P36</f>
        <v>0</v>
      </c>
      <c r="Q39" s="158">
        <f>SUM(Q36:Q37)</f>
        <v>13604.04</v>
      </c>
      <c r="R39" s="158">
        <f>Q39-P39</f>
        <v>13604.04</v>
      </c>
      <c r="S39" s="166"/>
      <c r="T39" s="171"/>
      <c r="U39" s="55"/>
      <c r="V39" s="56"/>
    </row>
    <row r="40" spans="1:22" s="181" customFormat="1" ht="22" customHeight="1">
      <c r="A40" s="182" t="s">
        <v>2940</v>
      </c>
      <c r="B40" s="178" t="s">
        <v>2984</v>
      </c>
      <c r="C40" s="178" t="s">
        <v>2984</v>
      </c>
      <c r="D40" s="178" t="s">
        <v>2984</v>
      </c>
      <c r="E40" s="128" t="s">
        <v>132</v>
      </c>
      <c r="F40" s="174" t="s">
        <v>2943</v>
      </c>
      <c r="G40" s="128" t="str">
        <f>_xlfn.IFNA(IF(VLOOKUP($F40,'[1]3.框架内物料'!$A:$E,2,0)=0,"请勿填写",VLOOKUP($F40,'[1]3.框架内物料'!$A:$E,2,0)),"")</f>
        <v>M939882581652185090</v>
      </c>
      <c r="H40" s="190" t="str">
        <f>_xlfn.IFNA(VLOOKUP($F40,'[1]3.框架内物料'!$A:$E,4,0),"")</f>
        <v>服务费税费-项目服务费-项目服务费-制作搭建、AVL设备、第三方人员服务费-服务费比例</v>
      </c>
      <c r="I40" s="128" t="str">
        <f>_xlfn.IFNA(VLOOKUP($F40,'[1]3.框架内物料'!$A:$E,5,0),"")</f>
        <v>项</v>
      </c>
      <c r="J40" s="202">
        <f>_xlfn.IFNA(VLOOKUP($F40,'[1]3.框架内物料'!$A:$F,6,0),"")</f>
        <v>0.1</v>
      </c>
      <c r="K40" s="202">
        <f>_xlfn.IFNA(VLOOKUP($F40,'[1]3.框架内物料'!$A:$F,6,0),"")</f>
        <v>0.1</v>
      </c>
      <c r="L40" s="67">
        <f>P9+P11</f>
        <v>693.00749999999994</v>
      </c>
      <c r="M40" s="67">
        <f>Q9+Q11</f>
        <v>851.98779999999999</v>
      </c>
      <c r="N40" s="67">
        <v>1</v>
      </c>
      <c r="O40" s="67">
        <v>1</v>
      </c>
      <c r="P40" s="175">
        <f>IFERROR(N40*L40*J40,0)</f>
        <v>69.300749999999994</v>
      </c>
      <c r="Q40" s="175">
        <f t="shared" ref="Q40:Q44" si="45">IFERROR(O40*M40*K40,0)</f>
        <v>85.198779999999999</v>
      </c>
      <c r="R40" s="183">
        <f t="shared" ref="R40" si="46">Q40-P40</f>
        <v>15.898030000000006</v>
      </c>
      <c r="S40" s="177">
        <v>0.06</v>
      </c>
      <c r="T40" s="177">
        <v>0</v>
      </c>
      <c r="U40" s="180" t="s">
        <v>2981</v>
      </c>
      <c r="V40" s="178"/>
    </row>
    <row r="41" spans="1:22" s="181" customFormat="1" ht="22" customHeight="1">
      <c r="A41" s="182" t="s">
        <v>2940</v>
      </c>
      <c r="B41" s="178" t="s">
        <v>2984</v>
      </c>
      <c r="C41" s="178" t="s">
        <v>2984</v>
      </c>
      <c r="D41" s="178" t="s">
        <v>2984</v>
      </c>
      <c r="E41" s="128" t="s">
        <v>132</v>
      </c>
      <c r="F41" s="174" t="s">
        <v>2942</v>
      </c>
      <c r="G41" s="128" t="str">
        <f>_xlfn.IFNA(IF(VLOOKUP($F41,'[1]3.框架内物料'!$A:$E,2,0)=0,"请勿填写",VLOOKUP($F41,'[1]3.框架内物料'!$A:$E,2,0)),"")</f>
        <v>M939882610784714754</v>
      </c>
      <c r="H41" s="190" t="str">
        <f>_xlfn.IFNA(VLOOKUP($F41,'[1]3.框架内物料'!$A:$E,4,0),"")</f>
        <v>服务费税费-项目服务费-项目服务费-机票、用车、用餐等第三方资源-服务费比例</v>
      </c>
      <c r="I41" s="128" t="str">
        <f>_xlfn.IFNA(VLOOKUP($F41,'[1]3.框架内物料'!$A:$E,5,0),"")</f>
        <v>项</v>
      </c>
      <c r="J41" s="202">
        <f>_xlfn.IFNA(VLOOKUP($F41,'[1]3.框架内物料'!$A:$F,6,0),"")</f>
        <v>0.06</v>
      </c>
      <c r="K41" s="202">
        <f>_xlfn.IFNA(VLOOKUP($F41,'[1]3.框架内物料'!$A:$F,6,0),"")</f>
        <v>0.06</v>
      </c>
      <c r="L41" s="67">
        <f>P35-P16-P28</f>
        <v>195717.57999999996</v>
      </c>
      <c r="M41" s="67">
        <f>Q35-Q16-Q28-Q17</f>
        <v>150416.64799999999</v>
      </c>
      <c r="N41" s="67">
        <v>1</v>
      </c>
      <c r="O41" s="67">
        <v>1</v>
      </c>
      <c r="P41" s="175">
        <f>IFERROR(N41*L41*J41,0)</f>
        <v>11743.054799999996</v>
      </c>
      <c r="Q41" s="175">
        <f t="shared" si="45"/>
        <v>9024.9988799999992</v>
      </c>
      <c r="R41" s="183">
        <f t="shared" ref="R41" si="47">Q41-P41</f>
        <v>-2718.0559199999971</v>
      </c>
      <c r="S41" s="177">
        <v>0.06</v>
      </c>
      <c r="T41" s="177">
        <v>0</v>
      </c>
      <c r="U41" s="180"/>
      <c r="V41" s="178"/>
    </row>
    <row r="42" spans="1:22" s="181" customFormat="1" ht="22" customHeight="1">
      <c r="A42" s="182" t="s">
        <v>2940</v>
      </c>
      <c r="B42" s="178" t="s">
        <v>2984</v>
      </c>
      <c r="C42" s="178" t="s">
        <v>2984</v>
      </c>
      <c r="D42" s="178" t="s">
        <v>2984</v>
      </c>
      <c r="E42" s="128" t="s">
        <v>132</v>
      </c>
      <c r="F42" s="174" t="s">
        <v>2944</v>
      </c>
      <c r="G42" s="128" t="str">
        <f>_xlfn.IFNA(IF(VLOOKUP($F42,'[1]3.框架内物料'!$A:$E,2,0)=0,"请勿填写",VLOOKUP($F42,'[1]3.框架内物料'!$A:$E,2,0)),"")</f>
        <v>M947580891799273474</v>
      </c>
      <c r="H42" s="190" t="str">
        <f>_xlfn.IFNA(VLOOKUP($F42,'[1]3.框架内物料'!$A:$E,4,0),"")</f>
        <v>服务费税费-项目服务费-项目服务费-物资采买、其他代垫付服务费-服务费比例</v>
      </c>
      <c r="I42" s="128" t="str">
        <f>_xlfn.IFNA(VLOOKUP($F42,'[1]3.框架内物料'!$A:$E,5,0),"")</f>
        <v>项</v>
      </c>
      <c r="J42" s="202">
        <f>_xlfn.IFNA(VLOOKUP($F42,'[1]3.框架内物料'!$A:$F,6,0),"")</f>
        <v>0.06</v>
      </c>
      <c r="K42" s="202">
        <f>_xlfn.IFNA(VLOOKUP($F42,'[1]3.框架内物料'!$A:$F,6,0),"")</f>
        <v>0.06</v>
      </c>
      <c r="L42" s="67"/>
      <c r="M42" s="67">
        <f>Q39</f>
        <v>13604.04</v>
      </c>
      <c r="N42" s="67"/>
      <c r="O42" s="67">
        <v>1</v>
      </c>
      <c r="P42" s="175">
        <f>IFERROR(N42*L42*J42,0)</f>
        <v>0</v>
      </c>
      <c r="Q42" s="175">
        <f t="shared" ref="Q42" si="48">IFERROR(O42*M42*K42,0)</f>
        <v>816.24239999999998</v>
      </c>
      <c r="R42" s="183">
        <f t="shared" ref="R42" si="49">Q42-P42</f>
        <v>816.24239999999998</v>
      </c>
      <c r="S42" s="177">
        <v>0.06</v>
      </c>
      <c r="T42" s="177">
        <v>0</v>
      </c>
      <c r="U42" s="180"/>
      <c r="V42" s="178"/>
    </row>
    <row r="43" spans="1:22" s="181" customFormat="1" ht="22" customHeight="1">
      <c r="A43" s="182" t="s">
        <v>2940</v>
      </c>
      <c r="B43" s="178" t="s">
        <v>2984</v>
      </c>
      <c r="C43" s="178" t="s">
        <v>2984</v>
      </c>
      <c r="D43" s="178" t="s">
        <v>2984</v>
      </c>
      <c r="E43" s="128" t="s">
        <v>132</v>
      </c>
      <c r="F43" s="174" t="s">
        <v>2942</v>
      </c>
      <c r="G43" s="128" t="str">
        <f>_xlfn.IFNA(IF(VLOOKUP($F43,'[1]3.框架内物料'!$A:$E,2,0)=0,"请勿填写",VLOOKUP($F43,'[1]3.框架内物料'!$A:$E,2,0)),"")</f>
        <v>M939882610784714754</v>
      </c>
      <c r="H43" s="190" t="str">
        <f>_xlfn.IFNA(VLOOKUP($F43,'[1]3.框架内物料'!$A:$E,4,0),"")</f>
        <v>服务费税费-项目服务费-项目服务费-机票、用车、用餐等第三方资源-服务费比例</v>
      </c>
      <c r="I43" s="128" t="str">
        <f>_xlfn.IFNA(VLOOKUP($F43,'[1]3.框架内物料'!$A:$E,5,0),"")</f>
        <v>项</v>
      </c>
      <c r="J43" s="202">
        <f>_xlfn.IFNA(VLOOKUP($F43,'[1]3.框架内物料'!$A:$F,6,0),"")</f>
        <v>0.06</v>
      </c>
      <c r="K43" s="202">
        <f>_xlfn.IFNA(VLOOKUP($F43,'[1]3.框架内物料'!$A:$F,6,0),"")</f>
        <v>0.06</v>
      </c>
      <c r="L43" s="67">
        <f>P16+P28</f>
        <v>82400</v>
      </c>
      <c r="M43" s="67">
        <f>Q16+Q28+Q17</f>
        <v>66900</v>
      </c>
      <c r="N43" s="67">
        <v>1</v>
      </c>
      <c r="O43" s="67">
        <v>1</v>
      </c>
      <c r="P43" s="175">
        <f>IFERROR(N43*L43*J43,0)</f>
        <v>4944</v>
      </c>
      <c r="Q43" s="175">
        <f t="shared" si="45"/>
        <v>4014</v>
      </c>
      <c r="R43" s="183">
        <f t="shared" ref="R43" si="50">Q43-P43</f>
        <v>-930</v>
      </c>
      <c r="S43" s="177">
        <v>0.06</v>
      </c>
      <c r="T43" s="177">
        <v>0</v>
      </c>
      <c r="U43" s="180" t="s">
        <v>2980</v>
      </c>
      <c r="V43" s="178"/>
    </row>
    <row r="44" spans="1:22" s="181" customFormat="1" ht="22" customHeight="1">
      <c r="A44" s="182" t="s">
        <v>2947</v>
      </c>
      <c r="B44" s="178" t="s">
        <v>2985</v>
      </c>
      <c r="C44" s="178" t="s">
        <v>2985</v>
      </c>
      <c r="D44" s="178" t="s">
        <v>2985</v>
      </c>
      <c r="E44" s="128" t="s">
        <v>132</v>
      </c>
      <c r="F44" s="174" t="s">
        <v>2946</v>
      </c>
      <c r="G44" s="128" t="str">
        <f>_xlfn.IFNA(IF(VLOOKUP($F44,'[1]3.框架内物料'!$A:$E,2,0)=0,"请勿填写",VLOOKUP($F44,'[1]3.框架内物料'!$A:$E,2,0)),"")</f>
        <v>M939882723582132226</v>
      </c>
      <c r="H44" s="190" t="str">
        <f>_xlfn.IFNA(VLOOKUP($F44,'[1]3.框架内物料'!$A:$E,4,0),"")</f>
        <v>服务费税费-项目税费-项目税费-机票、用车、用餐等第三方资源-增值税比例</v>
      </c>
      <c r="I44" s="128" t="str">
        <f>_xlfn.IFNA(VLOOKUP($F44,'[1]3.框架内物料'!$A:$E,5,0),"")</f>
        <v>项</v>
      </c>
      <c r="J44" s="202">
        <f>_xlfn.IFNA(VLOOKUP($F44,'[1]3.框架内物料'!$A:$F,6,0),"")</f>
        <v>0.06</v>
      </c>
      <c r="K44" s="202">
        <f>_xlfn.IFNA(VLOOKUP($F44,'[1]3.框架内物料'!$A:$F,6,0),"")</f>
        <v>0.06</v>
      </c>
      <c r="L44" s="67">
        <f>P43</f>
        <v>4944</v>
      </c>
      <c r="M44" s="67">
        <f>Q43</f>
        <v>4014</v>
      </c>
      <c r="N44" s="67">
        <v>1</v>
      </c>
      <c r="O44" s="67">
        <v>1</v>
      </c>
      <c r="P44" s="175">
        <f>IFERROR(N44*L44*J44,0)</f>
        <v>296.64</v>
      </c>
      <c r="Q44" s="175">
        <f t="shared" si="45"/>
        <v>240.84</v>
      </c>
      <c r="R44" s="183">
        <f t="shared" ref="R44" si="51">Q44-P44</f>
        <v>-55.799999999999983</v>
      </c>
      <c r="S44" s="177">
        <v>0.06</v>
      </c>
      <c r="T44" s="177">
        <v>0</v>
      </c>
      <c r="U44" s="180" t="s">
        <v>2979</v>
      </c>
      <c r="V44" s="178"/>
    </row>
    <row r="45" spans="1:22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65" t="s">
        <v>121</v>
      </c>
      <c r="Q45" s="266"/>
      <c r="R45" s="267"/>
      <c r="S45" s="165"/>
      <c r="T45" s="165"/>
      <c r="U45" s="60"/>
      <c r="V45" s="60" t="s">
        <v>170</v>
      </c>
    </row>
    <row r="46" spans="1:22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58">
        <f>SUM(P40:P44)</f>
        <v>17052.995549999996</v>
      </c>
      <c r="Q46" s="158">
        <f>SUM(Q40:Q44)</f>
        <v>14181.280059999999</v>
      </c>
      <c r="R46" s="158">
        <f>Q46-P46</f>
        <v>-2871.7154899999969</v>
      </c>
      <c r="S46" s="166"/>
      <c r="T46" s="171"/>
      <c r="U46" s="55"/>
      <c r="V46" s="56"/>
    </row>
    <row r="47" spans="1:22" s="75" customFormat="1" ht="18">
      <c r="A47" s="59"/>
      <c r="B47" s="85"/>
      <c r="C47" s="85"/>
      <c r="D47" s="85"/>
      <c r="E47" s="85"/>
      <c r="F47" s="86"/>
      <c r="G47" s="85"/>
      <c r="H47" s="191"/>
      <c r="I47" s="85"/>
      <c r="J47" s="208"/>
      <c r="K47" s="85"/>
      <c r="L47" s="89"/>
      <c r="M47" s="85"/>
      <c r="N47" s="89"/>
      <c r="O47" s="89"/>
      <c r="P47" s="263" t="s">
        <v>169</v>
      </c>
      <c r="Q47" s="263"/>
      <c r="R47" s="264"/>
      <c r="S47" s="167"/>
      <c r="T47" s="167"/>
      <c r="U47" s="141"/>
      <c r="V47" s="141"/>
    </row>
    <row r="48" spans="1:22" ht="18">
      <c r="A48" s="90"/>
      <c r="B48" s="92"/>
      <c r="C48" s="92"/>
      <c r="D48" s="92"/>
      <c r="E48" s="92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159">
        <f>SUM(P46,P35,P13,P9)</f>
        <v>298513.58304999996</v>
      </c>
      <c r="Q48" s="159">
        <f>SUM(Q46,Q35,Q13,Q9,Q39)</f>
        <v>248603.95585999999</v>
      </c>
      <c r="R48" s="159">
        <f>Q48-P48</f>
        <v>-49909.62718999997</v>
      </c>
      <c r="S48" s="168"/>
      <c r="T48" s="172"/>
      <c r="U48" s="94"/>
      <c r="V48" s="95"/>
    </row>
    <row r="49" spans="1:22" s="181" customFormat="1" ht="74.5" customHeight="1">
      <c r="A49" s="173" t="s">
        <v>126</v>
      </c>
      <c r="B49" s="184"/>
      <c r="C49" s="184"/>
      <c r="D49" s="184"/>
      <c r="E49" s="173" t="s">
        <v>126</v>
      </c>
      <c r="F49" s="184"/>
      <c r="G49" s="184"/>
      <c r="H49" s="185" t="s">
        <v>127</v>
      </c>
      <c r="I49" s="128" t="s">
        <v>15</v>
      </c>
      <c r="J49" s="204" t="s">
        <v>2982</v>
      </c>
      <c r="K49" s="204" t="s">
        <v>2982</v>
      </c>
      <c r="L49" s="186">
        <v>1</v>
      </c>
      <c r="M49" s="206">
        <v>1</v>
      </c>
      <c r="N49" s="186">
        <v>1</v>
      </c>
      <c r="O49" s="186">
        <v>1</v>
      </c>
      <c r="P49" s="175">
        <f>J49*L49*N49</f>
        <v>0</v>
      </c>
      <c r="Q49" s="176">
        <f>K49*M49*O49</f>
        <v>0</v>
      </c>
      <c r="R49" s="176">
        <f>Q49-P49</f>
        <v>0</v>
      </c>
      <c r="S49" s="177">
        <v>0.06</v>
      </c>
      <c r="T49" s="177">
        <v>0</v>
      </c>
      <c r="U49" s="180"/>
      <c r="V49" s="180"/>
    </row>
    <row r="50" spans="1:22" s="75" customFormat="1" ht="18">
      <c r="A50" s="59"/>
      <c r="B50" s="85"/>
      <c r="C50" s="85"/>
      <c r="D50" s="85"/>
      <c r="E50" s="85"/>
      <c r="F50" s="86"/>
      <c r="G50" s="85"/>
      <c r="H50" s="191"/>
      <c r="I50" s="85"/>
      <c r="J50" s="208"/>
      <c r="K50" s="85"/>
      <c r="L50" s="89"/>
      <c r="M50" s="85"/>
      <c r="N50" s="89"/>
      <c r="O50" s="89"/>
      <c r="P50" s="263" t="s">
        <v>133</v>
      </c>
      <c r="Q50" s="263"/>
      <c r="R50" s="264"/>
      <c r="S50" s="167"/>
      <c r="T50" s="167"/>
      <c r="U50" s="141"/>
      <c r="V50" s="141"/>
    </row>
    <row r="51" spans="1:22" ht="18">
      <c r="A51" s="90"/>
      <c r="B51" s="92"/>
      <c r="C51" s="92"/>
      <c r="D51" s="92"/>
      <c r="E51" s="92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159">
        <f>SUM(P48,P49)</f>
        <v>298513.58304999996</v>
      </c>
      <c r="Q51" s="159">
        <f>SUM(Q48,Q49)</f>
        <v>248603.95585999999</v>
      </c>
      <c r="R51" s="159">
        <f>Q51-P51</f>
        <v>-49909.62718999997</v>
      </c>
      <c r="S51" s="168"/>
      <c r="T51" s="172"/>
      <c r="U51" s="94"/>
      <c r="V51" s="95"/>
    </row>
    <row r="52" spans="1:22" ht="54" customHeight="1">
      <c r="A52" s="99"/>
      <c r="C52" s="100"/>
      <c r="D52" s="100"/>
      <c r="E52" s="100"/>
      <c r="F52" s="99"/>
      <c r="G52" s="99"/>
      <c r="H52" s="99"/>
      <c r="I52" s="99"/>
      <c r="J52" s="99"/>
      <c r="K52" s="240"/>
      <c r="L52" s="240"/>
      <c r="M52" s="240"/>
      <c r="N52" s="240"/>
      <c r="P52" s="160">
        <f>SUMIF(E1:E48,"框架内",P1:P48)/(P51-P49)</f>
        <v>7.7848796066702128E-2</v>
      </c>
      <c r="Q52" s="160">
        <f>SUMIF(E1:E48,"框架内",Q1:Q48)/(Q51-Q49)</f>
        <v>6.823941236700802E-2</v>
      </c>
      <c r="R52" s="161" t="s">
        <v>100</v>
      </c>
      <c r="S52" s="169"/>
      <c r="T52" s="169"/>
    </row>
    <row r="53" spans="1:22" ht="54" customHeight="1">
      <c r="A53" s="99"/>
      <c r="C53" s="100"/>
      <c r="D53" s="100"/>
      <c r="E53" s="100"/>
      <c r="F53" s="99"/>
      <c r="G53" s="99"/>
      <c r="H53" s="99"/>
      <c r="I53" s="99"/>
      <c r="J53" s="99"/>
      <c r="K53" s="240"/>
      <c r="L53" s="240"/>
      <c r="M53" s="240"/>
      <c r="N53" s="240"/>
      <c r="P53" s="160">
        <f ca="1">SUMIF(E1:E49,"框架外",P1:P48)/(P51-P49)</f>
        <v>0</v>
      </c>
      <c r="Q53" s="160">
        <f ca="1">SUMIF(E1:E49,"框架外",Q1:Q48)/(Q51-Q49)</f>
        <v>0</v>
      </c>
      <c r="R53" s="161" t="s">
        <v>99</v>
      </c>
      <c r="S53" s="169"/>
      <c r="T53" s="169"/>
    </row>
    <row r="54" spans="1:22" ht="54" customHeight="1">
      <c r="A54" s="99"/>
      <c r="C54" s="100"/>
      <c r="D54" s="100"/>
      <c r="E54" s="100"/>
      <c r="F54" s="99"/>
      <c r="G54" s="99"/>
      <c r="H54" s="99"/>
      <c r="I54" s="99"/>
      <c r="J54" s="99"/>
      <c r="P54" s="160">
        <f ca="1">SUMIF(E1:E49,"据实结算",P1:P48)/(P51-P49)</f>
        <v>0.92215120393329808</v>
      </c>
      <c r="Q54" s="160">
        <f ca="1">SUMIF(E1:E49,"据实结算",Q1:Q48)/(Q51-Q49)</f>
        <v>0.93176058763299208</v>
      </c>
      <c r="R54" s="161" t="s">
        <v>98</v>
      </c>
      <c r="S54" s="169"/>
      <c r="T54" s="169"/>
    </row>
    <row r="55" spans="1:22">
      <c r="K55" s="205"/>
      <c r="L55" s="104"/>
      <c r="M55" s="205"/>
      <c r="N55" s="104"/>
    </row>
  </sheetData>
  <sheetProtection formatCells="0" formatColumns="0" formatRows="0" insertRows="0" insertHyperlinks="0" deleteRows="0" autoFilter="0"/>
  <mergeCells count="9">
    <mergeCell ref="K52:N52"/>
    <mergeCell ref="K53:N53"/>
    <mergeCell ref="P50:R50"/>
    <mergeCell ref="P8:R8"/>
    <mergeCell ref="P12:R12"/>
    <mergeCell ref="P47:R47"/>
    <mergeCell ref="P34:R34"/>
    <mergeCell ref="P45:R45"/>
    <mergeCell ref="P38:R38"/>
  </mergeCells>
  <phoneticPr fontId="8" type="noConversion"/>
  <conditionalFormatting sqref="A2:A35 A38:A39 A45:A47">
    <cfRule type="containsText" dxfId="4" priority="12" operator="containsText" text="填写">
      <formula>NOT(ISERROR(SEARCH("填写",A2)))</formula>
    </cfRule>
  </conditionalFormatting>
  <conditionalFormatting sqref="A36:A37">
    <cfRule type="containsText" dxfId="3" priority="1" operator="containsText" text="填写">
      <formula>NOT(ISERROR(SEARCH("填写",A36)))</formula>
    </cfRule>
  </conditionalFormatting>
  <conditionalFormatting sqref="A40:A44">
    <cfRule type="containsText" dxfId="2" priority="2" operator="containsText" text="填写">
      <formula>NOT(ISERROR(SEARCH("填写",A40)))</formula>
    </cfRule>
  </conditionalFormatting>
  <conditionalFormatting sqref="A49:A50">
    <cfRule type="containsText" dxfId="1" priority="13" operator="containsText" text="填写">
      <formula>NOT(ISERROR(SEARCH("填写",A49)))</formula>
    </cfRule>
  </conditionalFormatting>
  <conditionalFormatting sqref="E49">
    <cfRule type="containsText" dxfId="0" priority="14" operator="containsText" text="填写">
      <formula>NOT(ISERROR(SEARCH("填写",E49)))</formula>
    </cfRule>
  </conditionalFormatting>
  <dataValidations count="7">
    <dataValidation type="list" allowBlank="1" showInputMessage="1" showErrorMessage="1" sqref="H51" xr:uid="{00000000-0002-0000-0100-000000000000}">
      <formula1>"是,否"</formula1>
    </dataValidation>
    <dataValidation type="list" allowBlank="1" showInputMessage="1" showErrorMessage="1" sqref="K51" xr:uid="{C24F6F68-857E-5647-839A-4F75562B89C0}">
      <formula1>"0%,1%,3%,6%,13%"</formula1>
    </dataValidation>
    <dataValidation type="list" allowBlank="1" showInputMessage="1" showErrorMessage="1" sqref="D51" xr:uid="{9D1B43E1-175E-4C49-8176-43558324F529}">
      <formula1>"CNY, USD, JPY , HKD"</formula1>
    </dataValidation>
    <dataValidation type="list" allowBlank="1" showInputMessage="1" showErrorMessage="1" sqref="S36:S37 S10:S11 S49 S2:S7 S40:S44 S14:S16 S19:S27 S29:S33" xr:uid="{D7CC39CF-95DC-A64C-A7F7-4CBF33920DCC}">
      <formula1>"0%,1%,3%,6%,9%"</formula1>
    </dataValidation>
    <dataValidation type="list" allowBlank="1" showInputMessage="1" showErrorMessage="1" sqref="A49 E2:E1048576" xr:uid="{E31F6826-CA0D-4785-A20D-8ABED6E0F88E}">
      <formula1>"框架内,框架外,据实结算"</formula1>
    </dataValidation>
    <dataValidation type="list" allowBlank="1" showInputMessage="1" showErrorMessage="1" sqref="A50:A1048576 A2:A48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 S17:S18 S28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F14:F33 F50 F47 F10:F11 F40:F44 F2:F7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35" zoomScaleNormal="150" workbookViewId="0">
      <pane ySplit="1" topLeftCell="A135" activePane="bottomLeft" state="frozen"/>
      <selection activeCell="C23" sqref="C23:D23"/>
      <selection pane="bottomLeft" activeCell="D147" sqref="D147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2025-11-21T08:37:54Z</dcterms:modified>
</cp:coreProperties>
</file>