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485976EC-241B-7B4A-8CFA-AE7C36871D43}" xr6:coauthVersionLast="47" xr6:coauthVersionMax="47" xr10:uidLastSave="{00000000-0000-0000-0000-000000000000}"/>
  <bookViews>
    <workbookView xWindow="0" yWindow="0" windowWidth="30720" windowHeight="192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4" l="1"/>
  <c r="L16" i="14"/>
  <c r="P13" i="14"/>
  <c r="P11" i="14"/>
  <c r="P10" i="14"/>
  <c r="P9" i="14"/>
  <c r="P8" i="14"/>
  <c r="P7" i="14"/>
  <c r="P6" i="14"/>
  <c r="P5" i="14"/>
  <c r="P4" i="14"/>
  <c r="K6" i="14"/>
  <c r="Q6" i="14" s="1"/>
  <c r="G6" i="14"/>
  <c r="Q7" i="14"/>
  <c r="Q8" i="14"/>
  <c r="Q9" i="14"/>
  <c r="Q10" i="14"/>
  <c r="Q11" i="14"/>
  <c r="K2" i="14"/>
  <c r="Q2" i="14" s="1"/>
  <c r="J2" i="14"/>
  <c r="P2" i="14" s="1"/>
  <c r="L14" i="14" s="1"/>
  <c r="P14" i="14" s="1"/>
  <c r="I2" i="14"/>
  <c r="H2" i="14"/>
  <c r="G2" i="14"/>
  <c r="R9" i="14" l="1"/>
  <c r="P15" i="14"/>
  <c r="R7" i="14"/>
  <c r="R6" i="14"/>
  <c r="R10" i="14"/>
  <c r="R8" i="14"/>
  <c r="R11" i="14"/>
  <c r="R2" i="14"/>
  <c r="K14" i="14" l="1"/>
  <c r="Q14" i="14" s="1"/>
  <c r="J14" i="14"/>
  <c r="I14" i="14"/>
  <c r="H14" i="14"/>
  <c r="G14" i="14"/>
  <c r="K17" i="14"/>
  <c r="Q17" i="14" s="1"/>
  <c r="J17" i="14"/>
  <c r="I17" i="14"/>
  <c r="H17" i="14"/>
  <c r="G17" i="14"/>
  <c r="K16" i="14"/>
  <c r="Q16" i="14" s="1"/>
  <c r="J16" i="14"/>
  <c r="I16" i="14"/>
  <c r="H16" i="14"/>
  <c r="G16" i="14"/>
  <c r="P16" i="14" l="1"/>
  <c r="C13" i="15"/>
  <c r="L17" i="14" l="1"/>
  <c r="P17" i="14" s="1"/>
  <c r="P19" i="14" s="1"/>
  <c r="K15" i="14"/>
  <c r="Q15" i="14" s="1"/>
  <c r="J15" i="14"/>
  <c r="I15" i="14"/>
  <c r="H15" i="14"/>
  <c r="G15" i="14"/>
  <c r="P21" i="14" l="1"/>
  <c r="P24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K5" i="14"/>
  <c r="Q5" i="14" s="1"/>
  <c r="Q22" i="14"/>
  <c r="P22" i="14"/>
  <c r="R16" i="14" l="1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22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R83" i="23" s="1"/>
  <c r="G5" i="14"/>
  <c r="Q13" i="14"/>
  <c r="Q86" i="23" l="1"/>
  <c r="Q85" i="23"/>
  <c r="Q84" i="23"/>
  <c r="C16" i="15" l="1"/>
  <c r="C15" i="15"/>
  <c r="E16" i="15"/>
  <c r="E15" i="15"/>
  <c r="E14" i="15"/>
  <c r="E13" i="15"/>
  <c r="C12" i="15"/>
  <c r="Q4" i="14"/>
  <c r="E12" i="15" s="1"/>
  <c r="C11" i="15"/>
  <c r="E11" i="15"/>
  <c r="R5" i="14"/>
  <c r="C14" i="15" l="1"/>
  <c r="E17" i="15"/>
  <c r="C17" i="15"/>
  <c r="R13" i="14"/>
  <c r="R4" i="14"/>
  <c r="R15" i="14" l="1"/>
  <c r="G20" i="15"/>
  <c r="R17" i="14" l="1"/>
  <c r="E18" i="15" l="1"/>
  <c r="C10" i="15"/>
  <c r="Q19" i="14" l="1"/>
  <c r="Q21" i="14" s="1"/>
  <c r="E10" i="15"/>
  <c r="C18" i="15"/>
  <c r="R14" i="14" l="1"/>
  <c r="G13" i="15"/>
  <c r="R19" i="14" l="1"/>
  <c r="C21" i="15"/>
  <c r="D10" i="15" l="1"/>
  <c r="D12" i="15"/>
  <c r="Q24" i="14"/>
  <c r="R24" i="14" s="1"/>
  <c r="R21" i="14"/>
  <c r="G14" i="15"/>
  <c r="G17" i="15"/>
  <c r="G18" i="15"/>
  <c r="G15" i="15" l="1"/>
  <c r="G16" i="15"/>
  <c r="G11" i="15"/>
  <c r="G10" i="15"/>
  <c r="G12" i="15"/>
  <c r="Q25" i="14" l="1"/>
  <c r="E22" i="15"/>
  <c r="Q27" i="14" l="1"/>
  <c r="Q26" i="14"/>
  <c r="E21" i="15"/>
  <c r="F20" i="15" l="1"/>
  <c r="C22" i="15" l="1"/>
  <c r="D20" i="15" s="1"/>
  <c r="P27" i="14"/>
  <c r="P26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25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<sst xmlns="http://schemas.openxmlformats.org/spreadsheetml/2006/main" count="8034" uniqueCount="3002">
  <si>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</si>
  <si>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</si>
  <si>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</si>
  <si>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</si>
  <si>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</si>
  <si>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</si>
  <si>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</si>
  <si>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</si>
  <si>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</si>
  <si>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</si>
  <si>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</si>
  <si>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</si>
  <si>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</si>
  <si>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</si>
  <si>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</si>
  <si>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</si>
  <si>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</si>
  <si>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</si>
  <si>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</si>
  <si>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</si>
  <si>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</si>
  <si>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</si>
  <si>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</si>
  <si>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</si>
  <si>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</si>
  <si>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</si>
  <si>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</si>
  <si>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</si>
  <si>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</si>
  <si>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</si>
  <si>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</si>
  <si>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</si>
  <si>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</si>
  <si>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</si>
  <si>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</si>
  <si>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</si>
  <si>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</si>
  <si>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</si>
  <si>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</si>
  <si>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</si>
  <si>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</si>
  <si>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</si>
  <si>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</si>
  <si>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</si>
  <si>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</si>
  <si>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</si>
  <si>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</si>
  <si>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</si>
  <si>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</si>
  <si>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</si>
  <si>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</si>
  <si>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</si>
  <si>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</si>
  <si>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</si>
  <si>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</si>
  <si>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</si>
  <si>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</si>
  <si>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</si>
  <si>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</si>
  <si>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</si>
  <si>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</si>
  <si>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</si>
  <si>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</si>
  <si>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</si>
  <si>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</si>
  <si>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</si>
  <si>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</si>
  <si>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</si>
  <si>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</si>
  <si>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</si>
  <si>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</si>
  <si>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</si>
  <si>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</si>
  <si>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</si>
  <si>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</si>
  <si>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</si>
  <si>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</si>
  <si>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</si>
  <si>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</si>
  <si>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</si>
  <si>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</si>
  <si>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</si>
  <si>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</si>
  <si>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</si>
  <si>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</si>
  <si>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</si>
  <si>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</si>
  <si>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</si>
  <si>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</si>
  <si>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</si>
  <si>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</si>
  <si>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</si>
  <si>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</si>
  <si>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</si>
  <si>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</si>
  <si>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</si>
  <si>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</si>
  <si>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</si>
  <si>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</si>
  <si>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</si>
  <si>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</si>
  <si>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</si>
  <si>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</si>
  <si>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</si>
  <si>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</si>
  <si>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</si>
  <si>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</si>
  <si>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</si>
  <si>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</si>
  <si>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</si>
  <si>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</si>
  <si>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</si>
  <si>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</si>
  <si>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</si>
  <si>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</si>
  <si>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</si>
  <si>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</si>
  <si>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</si>
  <si>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</si>
  <si>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</si>
  <si>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</si>
  <si>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</si>
  <si>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</si>
  <si>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</si>
  <si>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</si>
  <si>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</si>
  <si>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</si>
  <si>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</si>
  <si>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</si>
  <si>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</si>
  <si>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</si>
  <si>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</si>
  <si>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</si>
  <si>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</si>
  <si>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</si>
  <si>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</si>
  <si>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</si>
  <si>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</si>
  <si>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</si>
  <si>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</si>
  <si>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</si>
  <si>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</si>
  <si>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</si>
  <si>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</si>
  <si>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</si>
  <si>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</si>
  <si>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</si>
  <si>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</si>
  <si>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</si>
  <si>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</si>
  <si>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</si>
  <si>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</si>
  <si>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</si>
  <si>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</si>
  <si>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</si>
  <si>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</si>
  <si>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</si>
  <si>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</si>
  <si>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</si>
  <si>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</si>
  <si>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</si>
  <si>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</si>
  <si>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</si>
  <si>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</si>
  <si>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</si>
  <si>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</si>
  <si>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</si>
  <si>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</si>
  <si>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</si>
  <si>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</si>
  <si>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</si>
  <si>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</si>
  <si>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</si>
  <si>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</si>
  <si>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</si>
  <si>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</si>
  <si>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</si>
  <si>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</si>
  <si>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</si>
  <si>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</si>
  <si>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</si>
  <si>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</si>
  <si>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</si>
  <si>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</si>
  <si>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</si>
  <si>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</si>
  <si>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</si>
  <si>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</si>
  <si>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</si>
  <si>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</si>
  <si>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</si>
  <si>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</si>
  <si>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</si>
  <si>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</si>
  <si>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</si>
  <si>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</si>
  <si>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</si>
  <si>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</si>
  <si>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</si>
  <si>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</si>
  <si>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</si>
  <si>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</si>
  <si>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</si>
  <si>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</si>
  <si>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</si>
  <si>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</si>
  <si>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</si>
  <si>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</si>
  <si>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</si>
  <si>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</si>
  <si>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</si>
  <si>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</si>
  <si>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</si>
  <si>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</si>
  <si>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</si>
  <si>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</si>
  <si>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</si>
  <si>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</si>
  <si>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</si>
  <si>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</si>
  <si>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</si>
  <si>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</si>
  <si>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</si>
  <si>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</si>
  <si>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</si>
  <si>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</si>
  <si>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</si>
  <si>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</si>
  <si>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</si>
  <si>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</si>
  <si>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</si>
  <si>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</si>
  <si>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</si>
  <si>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</si>
  <si>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</si>
  <si>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</si>
  <si>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</si>
  <si>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</si>
  <si>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</si>
  <si>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</si>
  <si>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</si>
  <si>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</si>
  <si>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</si>
  <si>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</si>
  <si>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</si>
  <si>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</si>
  <si>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</si>
  <si>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</si>
  <si>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</si>
  <si>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</si>
  <si>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</si>
  <si>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</si>
  <si>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</si>
  <si>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</si>
  <si>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</si>
  <si>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</si>
  <si>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</si>
  <si>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</si>
  <si>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</si>
  <si>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</si>
  <si>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</si>
  <si>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</si>
  <si>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</si>
  <si>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</si>
  <si>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</si>
  <si>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</si>
  <si>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</si>
  <si>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</si>
  <si>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</si>
  <si>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</si>
  <si>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</si>
  <si>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</si>
  <si>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</si>
  <si>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</si>
  <si>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</si>
  <si>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</si>
  <si>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</si>
  <si>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</si>
  <si>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</si>
  <si>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</si>
  <si>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</si>
  <si>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</si>
  <si>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</si>
  <si>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</si>
  <si>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</si>
  <si>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</si>
  <si>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</si>
  <si>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</si>
  <si>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</si>
  <si>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</si>
  <si>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</si>
  <si>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</si>
  <si>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</si>
  <si>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</si>
  <si>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</si>
  <si>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</si>
  <si>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</si>
  <si>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</si>
  <si>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</si>
  <si>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</si>
  <si>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</si>
  <si>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</si>
  <si>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</si>
  <si>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</si>
  <si>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</si>
  <si>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</si>
  <si>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</si>
  <si>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</si>
  <si>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</si>
  <si>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</si>
  <si>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</si>
  <si>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</si>
  <si>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</si>
  <si>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</si>
  <si>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</si>
  <si>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</si>
  <si>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</si>
  <si>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</si>
  <si>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</si>
  <si>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</si>
  <si>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</si>
  <si>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</si>
  <si>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</si>
  <si>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</si>
  <si>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</si>
  <si>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</si>
  <si>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</si>
  <si>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</si>
  <si>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</si>
  <si>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</si>
  <si>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</si>
  <si>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</si>
  <si>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</si>
  <si>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</si>
  <si>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</si>
  <si>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</si>
  <si>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</si>
  <si>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</si>
  <si>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</si>
  <si>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</si>
  <si>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</si>
  <si>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</si>
  <si>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</si>
  <si>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</si>
  <si>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</si>
  <si>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</si>
  <si>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</si>
  <si>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</si>
  <si>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</si>
  <si>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</si>
  <si>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</si>
  <si>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</si>
  <si>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</si>
  <si>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</si>
  <si>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</si>
  <si>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</si>
  <si>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</si>
  <si>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</si>
  <si>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</si>
  <si>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</si>
  <si>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</si>
  <si>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</si>
  <si>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</si>
  <si>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</si>
  <si>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</si>
  <si>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</si>
  <si>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</si>
  <si>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</si>
  <si>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</si>
  <si>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</si>
  <si>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</si>
  <si>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</si>
  <si>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</si>
  <si>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</si>
  <si>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</si>
  <si>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</si>
  <si>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</si>
  <si>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</si>
  <si>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</si>
  <si>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</si>
  <si>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</si>
  <si>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</si>
  <si>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</si>
  <si>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</si>
  <si>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</si>
  <si>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</si>
  <si>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</si>
  <si>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</si>
  <si>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</si>
  <si>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</si>
  <si>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</si>
  <si>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</si>
  <si>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</si>
  <si>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</si>
  <si>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</si>
  <si>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</si>
  <si>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</si>
  <si>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</si>
  <si>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</si>
  <si>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</si>
  <si>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</si>
  <si>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</si>
  <si>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</si>
  <si>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</si>
  <si>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</si>
  <si>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</si>
  <si>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</si>
  <si>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</si>
  <si>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</si>
  <si>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</si>
  <si>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</si>
  <si>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</si>
  <si>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</si>
  <si>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</si>
  <si>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</si>
  <si>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</si>
  <si>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</si>
  <si>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</si>
  <si>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</si>
  <si>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</si>
  <si>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</si>
  <si>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</si>
  <si>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</si>
  <si>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</si>
  <si>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</si>
  <si>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</si>
  <si>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</si>
  <si>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</si>
  <si>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</si>
  <si>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</si>
  <si>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</si>
  <si>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</si>
  <si>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</si>
  <si>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</si>
  <si>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</si>
  <si>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</si>
  <si>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</si>
  <si>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</si>
  <si>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</si>
  <si>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</si>
  <si>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</si>
  <si>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</si>
  <si>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</si>
  <si>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</si>
  <si>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</si>
  <si>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</si>
  <si>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</si>
  <si>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</si>
  <si>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</si>
  <si>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</si>
  <si>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</si>
  <si>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</si>
  <si>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</si>
  <si>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</si>
  <si>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</si>
  <si>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</si>
  <si>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</si>
  <si>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</si>
  <si>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</si>
  <si>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</si>
  <si>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</si>
  <si>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</si>
  <si>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</si>
  <si>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</si>
  <si>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</si>
  <si>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</si>
  <si>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</si>
  <si>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</si>
  <si>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</si>
  <si>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</si>
  <si>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</si>
  <si>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</si>
  <si>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</si>
  <si>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</si>
  <si>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</si>
  <si>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</si>
  <si>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</si>
  <si>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</si>
  <si>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</si>
  <si>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</si>
  <si>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</si>
  <si>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</si>
  <si>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</si>
  <si>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</si>
  <si>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</si>
  <si>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</si>
  <si>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</si>
  <si>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</si>
  <si>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</si>
  <si>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</si>
  <si>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</si>
  <si>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</si>
  <si>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</si>
  <si>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</si>
  <si>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</si>
  <si>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</si>
  <si>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</si>
  <si>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</si>
  <si>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</si>
  <si>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</si>
  <si>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</si>
  <si>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</si>
  <si>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</si>
  <si>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</si>
  <si>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</si>
  <si>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</si>
  <si>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</si>
  <si>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</si>
  <si>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</si>
  <si>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</si>
  <si>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</si>
  <si>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</si>
  <si>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</si>
  <si>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</si>
  <si>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</si>
  <si>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</si>
  <si>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</si>
  <si>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</si>
  <si>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</si>
  <si>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</si>
  <si>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</si>
  <si>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</si>
  <si>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</si>
  <si>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</si>
  <si>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</si>
  <si>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</si>
  <si>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</si>
  <si>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</si>
  <si>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</si>
  <si>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</si>
  <si>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</si>
  <si>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</si>
  <si>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</si>
  <si>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</si>
  <si>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</si>
  <si>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</si>
  <si>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</si>
  <si>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</si>
  <si>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</si>
  <si>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</si>
  <si>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</si>
  <si>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</si>
  <si>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</si>
  <si>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</si>
  <si>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</si>
  <si>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</si>
  <si>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</si>
  <si>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</si>
  <si>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</si>
  <si>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</si>
  <si>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</si>
  <si>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</si>
  <si>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</si>
  <si>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</si>
  <si>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</si>
  <si>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</si>
  <si>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</si>
  <si>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</si>
  <si>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</si>
  <si>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</si>
  <si>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</si>
  <si>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</si>
  <si>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</si>
  <si>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</si>
  <si>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</si>
  <si>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</si>
  <si>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</si>
  <si>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</si>
  <si>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</si>
  <si>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</si>
  <si>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</si>
  <si>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</si>
  <si>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</si>
  <si>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</si>
  <si>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</si>
  <si>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</si>
  <si>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</si>
  <si>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</si>
  <si>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</si>
  <si>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</si>
  <si>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</si>
  <si>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</si>
  <si>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</si>
  <si>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</si>
  <si>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</si>
  <si>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</si>
  <si>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</si>
  <si>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</si>
  <si>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</si>
  <si>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</si>
  <si>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</si>
  <si>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</si>
  <si>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</si>
  <si>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</si>
  <si>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</si>
  <si>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</si>
  <si>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</si>
  <si>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</si>
  <si>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</si>
  <si>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</si>
  <si>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</si>
  <si>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</si>
  <si>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</si>
  <si>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</si>
  <si>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</si>
  <si>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</si>
  <si>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</si>
  <si>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</si>
  <si>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</si>
  <si>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</si>
  <si>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</si>
  <si>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</si>
  <si>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</si>
  <si>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</si>
  <si>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</si>
  <si>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</si>
  <si>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</si>
  <si>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</si>
  <si>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</si>
  <si>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</si>
  <si>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</si>
  <si>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</si>
  <si>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</si>
  <si>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</si>
  <si>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</si>
  <si>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</si>
  <si>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</si>
  <si>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</si>
  <si>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</si>
  <si>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</si>
  <si>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</si>
  <si>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</si>
  <si>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</si>
  <si>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</si>
  <si>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</si>
  <si>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</si>
  <si>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</si>
  <si>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</si>
  <si>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</si>
  <si>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</si>
  <si>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</si>
  <si>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</si>
  <si>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</si>
  <si>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</si>
  <si>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</si>
  <si>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</si>
  <si>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</si>
  <si>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</si>
  <si>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</si>
  <si>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</si>
  <si>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</si>
  <si>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</si>
  <si>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</si>
  <si>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</si>
  <si>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</si>
  <si>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</si>
  <si>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</si>
  <si>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</si>
  <si>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</si>
  <si>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</si>
  <si>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</si>
  <si>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</si>
  <si>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</si>
  <si>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</si>
  <si>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</si>
  <si>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</si>
  <si>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</si>
  <si>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</si>
  <si>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</si>
  <si>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</si>
  <si>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</si>
  <si>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</si>
  <si>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</si>
  <si>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</si>
  <si>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</si>
  <si>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</si>
  <si>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</si>
  <si>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</si>
  <si>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</si>
  <si>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</si>
  <si>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</si>
  <si>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</si>
  <si>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</si>
  <si>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</si>
  <si>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</si>
  <si>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</si>
  <si>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</si>
  <si>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</si>
  <si>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</si>
  <si>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</si>
  <si>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</si>
  <si>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</si>
  <si>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</si>
  <si>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</si>
  <si>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</si>
  <si>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</si>
  <si>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</si>
  <si>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</si>
  <si>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</si>
  <si>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</si>
  <si>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</si>
  <si>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</si>
  <si>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</si>
  <si>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</si>
  <si>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</si>
  <si>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</si>
  <si>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</si>
  <si>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</si>
  <si>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</si>
  <si>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</si>
  <si>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</si>
  <si>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</si>
  <si>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</si>
  <si>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</si>
  <si>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</si>
  <si>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</si>
  <si>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</si>
  <si>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</si>
  <si>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</si>
  <si>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</si>
  <si>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</si>
  <si>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</si>
  <si>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</si>
  <si>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</si>
  <si>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</si>
  <si>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</si>
  <si>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</si>
  <si>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</si>
  <si>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</si>
  <si>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</si>
  <si>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</si>
  <si>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</si>
  <si>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</si>
  <si>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</si>
  <si>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</si>
  <si>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</si>
  <si>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</si>
  <si>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</si>
  <si>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</si>
  <si>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</si>
  <si>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</si>
  <si>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</si>
  <si>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</si>
  <si>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</si>
  <si>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</si>
  <si>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</si>
  <si>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</si>
  <si>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</si>
  <si>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</si>
  <si>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</si>
  <si>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</si>
  <si>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</si>
  <si>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</si>
  <si>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</si>
  <si>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</si>
  <si>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</si>
  <si>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</si>
  <si>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</si>
  <si>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</si>
  <si>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</si>
  <si>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</si>
  <si>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</si>
  <si>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</si>
  <si>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</si>
  <si>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</si>
  <si>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</si>
  <si>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</si>
  <si>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</si>
  <si>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</si>
  <si>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</si>
  <si>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</si>
  <si>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</si>
  <si>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</si>
  <si>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</si>
  <si>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</si>
  <si>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</si>
  <si>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</si>
  <si>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</si>
  <si>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</si>
  <si>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</si>
  <si>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</si>
  <si>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</si>
  <si>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</si>
  <si>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</si>
  <si>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</si>
  <si>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</si>
  <si>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</si>
  <si>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</si>
  <si>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</si>
  <si>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</si>
  <si>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</si>
  <si>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</si>
  <si>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</si>
  <si>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</si>
  <si>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</si>
  <si>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</si>
  <si>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</si>
  <si>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</si>
  <si>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</si>
  <si>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</si>
  <si>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</si>
  <si>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</si>
  <si>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</si>
  <si>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</si>
  <si>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</si>
  <si>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</si>
  <si>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</si>
  <si>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</si>
  <si>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</si>
  <si>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</si>
  <si>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</si>
  <si>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</si>
  <si>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</si>
  <si>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</si>
  <si>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</si>
  <si>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</si>
  <si>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</si>
  <si>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</si>
  <si>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</si>
  <si>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</si>
  <si>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</si>
  <si>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</si>
  <si>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</si>
  <si>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</si>
  <si>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</si>
  <si>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</si>
  <si>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</si>
  <si>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</si>
  <si>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</si>
  <si>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</si>
  <si>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</si>
  <si>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</si>
  <si>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</si>
  <si>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</si>
  <si>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</si>
  <si>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</si>
  <si>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</si>
  <si>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</si>
  <si>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</si>
  <si>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</si>
  <si>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</si>
  <si>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</si>
  <si>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</si>
  <si>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</si>
  <si>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</si>
  <si>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</si>
  <si>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</si>
  <si>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</si>
  <si>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</si>
  <si>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</si>
  <si>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</si>
  <si>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</si>
  <si>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</si>
  <si>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</si>
  <si>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</si>
  <si>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</si>
  <si>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</si>
  <si>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</si>
  <si>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</si>
  <si>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</si>
  <si>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</si>
  <si>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</si>
  <si>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</si>
  <si>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</si>
  <si>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</si>
  <si>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</si>
  <si>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</si>
  <si>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</si>
  <si>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</si>
  <si>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</si>
  <si>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</si>
  <si>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</si>
  <si>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</si>
  <si>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</si>
  <si>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</si>
  <si>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</si>
  <si>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</si>
  <si>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</si>
  <si>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</si>
  <si>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</si>
  <si>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</si>
  <si>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</si>
  <si>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</si>
  <si>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</si>
  <si>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</si>
  <si>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</si>
  <si>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</si>
  <si>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</si>
  <si>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</si>
  <si>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</si>
  <si>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</si>
  <si>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</si>
  <si>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</si>
  <si>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</si>
  <si>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</si>
  <si>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</si>
  <si>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</si>
  <si>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</si>
  <si>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</si>
  <si>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</si>
  <si>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</si>
  <si>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</si>
  <si>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</si>
  <si>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</si>
  <si>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</si>
  <si>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</si>
  <si>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</si>
  <si>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</si>
  <si>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</si>
  <si>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</si>
  <si>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</si>
  <si>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</si>
  <si>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</si>
  <si>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</si>
  <si>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</si>
  <si>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</si>
  <si>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</si>
  <si>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</si>
  <si>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</si>
  <si>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</si>
  <si>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</si>
  <si>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</si>
  <si>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</si>
  <si>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</si>
  <si>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</si>
  <si>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</si>
  <si>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</si>
  <si>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</si>
  <si>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</si>
  <si>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</si>
  <si>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</si>
  <si>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</si>
  <si>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</si>
  <si>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</si>
  <si>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</si>
  <si>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</si>
  <si>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</si>
  <si>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</si>
  <si>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</si>
  <si>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</si>
  <si>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</si>
  <si>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</si>
  <si>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</si>
  <si>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</si>
  <si>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</si>
  <si>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</si>
  <si>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</si>
  <si>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</si>
  <si>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</si>
  <si>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</si>
  <si>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</si>
  <si>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</si>
  <si>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</si>
  <si>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</si>
  <si>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</si>
  <si>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</si>
  <si>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</si>
  <si>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</si>
  <si>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</si>
  <si>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</si>
  <si>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</si>
  <si>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</si>
  <si>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</si>
  <si>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</si>
  <si>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</si>
  <si>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</si>
  <si>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</si>
  <si>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</si>
  <si>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</si>
  <si>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</si>
  <si>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</si>
  <si>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</si>
  <si>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</si>
  <si>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</si>
  <si>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</si>
  <si>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</si>
  <si>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</si>
  <si>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</si>
  <si>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</si>
  <si>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</si>
  <si>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</si>
  <si>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</si>
  <si>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</si>
  <si>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</si>
  <si>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</si>
  <si>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</si>
  <si>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</si>
  <si>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</si>
  <si>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</si>
  <si>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</si>
  <si>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</si>
  <si>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</si>
  <si>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</si>
  <si>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</si>
  <si>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</si>
  <si>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</si>
  <si>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</si>
  <si>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</si>
  <si>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</si>
  <si>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</si>
  <si>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</si>
  <si>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</si>
  <si>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</si>
  <si>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</si>
  <si>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</si>
  <si>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</si>
  <si>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</si>
  <si>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</si>
  <si>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</si>
  <si>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</si>
  <si>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</si>
  <si>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</si>
  <si>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</si>
  <si>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</si>
  <si>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</si>
  <si>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</si>
  <si>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</si>
  <si>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</si>
  <si>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</si>
  <si>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</si>
  <si>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</si>
  <si>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</si>
  <si>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</si>
  <si>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</si>
  <si>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</si>
  <si>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</si>
  <si>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</si>
  <si>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</si>
  <si>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</si>
  <si>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</si>
  <si>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</si>
  <si>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</si>
  <si>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</si>
  <si>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</si>
  <si>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</si>
  <si>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</si>
  <si>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</si>
  <si>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</si>
  <si>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</si>
  <si>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</si>
  <si>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</si>
  <si>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</si>
  <si>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</si>
  <si>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</si>
  <si>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</si>
  <si>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</si>
  <si>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</si>
  <si>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</si>
  <si>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</si>
  <si>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</si>
  <si>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</si>
  <si>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</si>
  <si>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</si>
  <si>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</si>
  <si>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</si>
  <si>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</si>
  <si>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</si>
  <si>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</si>
  <si>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</si>
  <si>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</si>
  <si>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</si>
  <si>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</si>
  <si>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</si>
  <si>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</si>
  <si>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</si>
  <si>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</si>
  <si>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</si>
  <si>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</si>
  <si>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</si>
  <si>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</si>
  <si>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</si>
  <si>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</si>
  <si>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</si>
  <si>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</si>
  <si>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</si>
  <si>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</si>
  <si>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</si>
  <si>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</si>
  <si>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</si>
  <si>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</si>
  <si>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</si>
  <si>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</si>
  <si>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</si>
  <si>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</si>
  <si>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</si>
  <si>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</si>
  <si>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</si>
  <si>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</si>
  <si>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</si>
  <si>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</si>
  <si>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</si>
  <si>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</si>
  <si>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</si>
  <si>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</si>
  <si>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</si>
  <si>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</si>
  <si>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</si>
  <si>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</si>
  <si>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</si>
  <si>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</si>
  <si>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</si>
  <si>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</si>
  <si>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</si>
  <si>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</si>
  <si>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</si>
  <si>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</si>
  <si>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</si>
  <si>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</si>
  <si>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</si>
  <si>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</si>
  <si>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</si>
  <si>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</si>
  <si>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</si>
  <si>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</si>
  <si>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</si>
  <si>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</si>
  <si>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</si>
  <si>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</si>
  <si>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</si>
  <si>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</si>
  <si>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</si>
  <si>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</si>
  <si>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</si>
  <si>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</si>
  <si>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</si>
  <si>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</si>
  <si>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</si>
  <si>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</si>
  <si>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</si>
  <si>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</si>
  <si>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</si>
  <si>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</si>
  <si>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</si>
  <si>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</si>
  <si>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</si>
  <si>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</si>
  <si>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</si>
  <si>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</si>
  <si>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</si>
  <si>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</si>
  <si>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</si>
  <si>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</si>
  <si>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</si>
  <si>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</si>
  <si>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</si>
  <si>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</si>
  <si>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</si>
  <si>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</si>
  <si>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</si>
  <si>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</si>
  <si>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</si>
  <si>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</si>
  <si>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</si>
  <si>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</si>
  <si>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</si>
  <si>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</si>
  <si>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</si>
  <si>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</si>
  <si>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</si>
  <si>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</si>
  <si>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</si>
  <si>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</si>
  <si>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</si>
  <si>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</si>
  <si>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</si>
  <si>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</si>
  <si>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</si>
  <si>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</si>
  <si>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</si>
  <si>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</si>
  <si>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</si>
  <si>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</si>
  <si>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</si>
  <si>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</si>
  <si>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</si>
  <si>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</si>
  <si>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</si>
  <si>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</si>
  <si>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</si>
  <si>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</si>
  <si>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</si>
  <si>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</si>
  <si>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</si>
  <si>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</si>
  <si>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</si>
  <si>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</si>
  <si>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</si>
  <si>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</si>
  <si>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</si>
  <si>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</si>
  <si>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</si>
  <si>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</si>
  <si>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</si>
  <si>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</si>
  <si>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</si>
  <si>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</si>
  <si>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</si>
  <si>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</si>
  <si>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</si>
  <si>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</si>
  <si>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</si>
  <si>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</si>
  <si>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</si>
  <si>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</si>
  <si>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</si>
  <si>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</si>
  <si>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</si>
  <si>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</si>
  <si>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</si>
  <si>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</si>
  <si>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</si>
  <si>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</si>
  <si>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</si>
  <si>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</si>
  <si>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</si>
  <si>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</si>
  <si>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</si>
  <si>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</si>
  <si>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</si>
  <si>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</si>
  <si>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</si>
  <si>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</si>
  <si>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</si>
  <si>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</si>
  <si>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</si>
  <si>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</si>
  <si>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</si>
  <si>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</si>
  <si>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</si>
  <si>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</si>
  <si>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</si>
  <si>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</si>
  <si>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</si>
  <si>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</si>
  <si>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</si>
  <si>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</si>
  <si>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</si>
  <si>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</si>
  <si>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</si>
  <si>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</si>
  <si>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</si>
  <si>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</si>
  <si>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</si>
  <si>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</si>
  <si>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</si>
  <si>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</si>
  <si>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</si>
  <si>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</si>
  <si>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</si>
  <si>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</si>
  <si>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</si>
  <si>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</si>
  <si>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</si>
  <si>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</si>
  <si>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</si>
  <si>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</si>
  <si>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</si>
  <si>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</si>
  <si>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</si>
  <si>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</si>
  <si>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</si>
  <si>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</si>
  <si>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</si>
  <si>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</si>
  <si>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</si>
  <si>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</si>
  <si>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</si>
  <si>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</si>
  <si>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</si>
  <si>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</si>
  <si>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</si>
  <si>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</si>
  <si>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</si>
  <si>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</si>
  <si>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</si>
  <si>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</si>
  <si>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</si>
  <si>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</si>
  <si>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</si>
  <si>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</si>
  <si>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</si>
  <si>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</si>
  <si>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</si>
  <si>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</si>
  <si>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</si>
  <si>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</si>
  <si>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</si>
  <si>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</si>
  <si>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</si>
  <si>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</si>
  <si>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</si>
  <si>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</si>
  <si>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</si>
  <si>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</si>
  <si>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</si>
  <si>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</si>
  <si>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</si>
  <si>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</si>
  <si>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</si>
  <si>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</si>
  <si>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</si>
  <si>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</si>
  <si>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</si>
  <si>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</si>
  <si>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</si>
  <si>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</si>
  <si>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</si>
  <si>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</si>
  <si>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</si>
  <si>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</si>
  <si>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</si>
  <si>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</si>
  <si>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</si>
  <si>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</si>
  <si>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</si>
  <si>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</si>
  <si>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</si>
  <si>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</si>
  <si>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</si>
  <si>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</si>
  <si>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</si>
  <si>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</si>
  <si>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</si>
  <si>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</si>
  <si>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</si>
  <si>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</si>
  <si>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</si>
  <si>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</si>
  <si>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</si>
  <si>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</si>
  <si>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</si>
  <si>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</si>
  <si>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</si>
  <si>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</si>
  <si>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</si>
  <si>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</si>
  <si>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</si>
  <si>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</si>
  <si>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</si>
  <si>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</si>
  <si>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</si>
  <si>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</si>
  <si>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</si>
  <si>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</si>
  <si>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</si>
  <si>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</si>
  <si>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</si>
  <si>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</si>
  <si>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</si>
  <si>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</si>
  <si>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</si>
  <si>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</si>
  <si>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</si>
  <si>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</si>
  <si>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</si>
  <si>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</si>
  <si>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</si>
  <si>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</si>
  <si>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</si>
  <si>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</si>
  <si>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</si>
  <si>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</si>
  <si>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</si>
  <si>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</si>
  <si>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</si>
  <si>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</si>
  <si>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</si>
  <si>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</si>
  <si>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</si>
  <si>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</si>
  <si>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</si>
  <si>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</si>
  <si>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</si>
  <si>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</si>
  <si>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</si>
  <si>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</si>
  <si>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</si>
  <si>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</si>
  <si>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</si>
  <si>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</si>
  <si>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</si>
  <si>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</si>
  <si>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</si>
  <si>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</si>
  <si>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</si>
  <si>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</si>
  <si>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</si>
  <si>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</si>
  <si>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</si>
  <si>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</si>
  <si>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</si>
  <si>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</si>
  <si>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</si>
  <si>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</si>
  <si>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</si>
  <si>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</si>
  <si>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</si>
  <si>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</si>
  <si>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</si>
  <si>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</si>
  <si>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</si>
  <si>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</si>
  <si>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</si>
  <si>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</si>
  <si>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</si>
  <si>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</si>
  <si>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</si>
  <si>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</si>
  <si>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</si>
  <si>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</si>
  <si>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</si>
  <si>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</si>
  <si>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</si>
  <si>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</si>
  <si>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</si>
  <si>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</si>
  <si>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</si>
  <si>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</si>
  <si>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</si>
  <si>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</si>
  <si>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</si>
  <si>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</si>
  <si>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</si>
  <si>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</si>
  <si>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</si>
  <si>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</si>
  <si>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</si>
  <si>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</si>
  <si>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</si>
  <si>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</si>
  <si>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</si>
  <si>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</si>
  <si>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</si>
  <si>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</si>
  <si>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</si>
  <si>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</si>
  <si>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</si>
  <si>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</si>
  <si>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</si>
  <si>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</si>
  <si>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</si>
  <si>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</si>
  <si>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</si>
  <si>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</si>
  <si>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</si>
  <si>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</si>
  <si>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</si>
  <si>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</si>
  <si>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</si>
  <si>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</si>
  <si>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</si>
  <si>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</si>
  <si>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</si>
  <si>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</si>
  <si>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</si>
  <si>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</si>
  <si>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</si>
  <si>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</si>
  <si>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</si>
  <si>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</si>
  <si>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</si>
  <si>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</si>
  <si>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</si>
  <si>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</si>
  <si>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</si>
  <si>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</si>
  <si>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</si>
  <si>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</si>
  <si>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</si>
  <si>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</si>
  <si>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</si>
  <si>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</si>
  <si>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</si>
  <si>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</si>
  <si>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</si>
  <si>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</si>
  <si>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</si>
  <si>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</si>
  <si>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</si>
  <si>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</si>
  <si>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</si>
  <si>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</si>
  <si>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</si>
  <si>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</si>
  <si>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</si>
  <si>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</si>
  <si>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</si>
  <si>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</si>
  <si>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</si>
  <si>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</si>
  <si>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</si>
  <si>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</si>
  <si>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</si>
  <si>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</si>
  <si>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</si>
  <si>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</si>
  <si>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</si>
  <si>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</si>
  <si>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</si>
  <si>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</si>
  <si>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</si>
  <si>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</si>
  <si>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</si>
  <si>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</si>
  <si>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</si>
  <si>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</si>
  <si>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</si>
  <si>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</si>
  <si>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</si>
  <si>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</si>
  <si>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</si>
  <si>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</si>
  <si>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</si>
  <si>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</si>
  <si>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</si>
  <si>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</si>
  <si>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</si>
  <si>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</si>
  <si>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</si>
  <si>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</si>
  <si>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</si>
  <si>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</si>
  <si>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</si>
  <si>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</si>
  <si>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</si>
  <si>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</si>
  <si>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</si>
  <si>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</si>
  <si>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</si>
  <si>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</si>
  <si>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</si>
  <si>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</si>
  <si>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</si>
  <si>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</si>
  <si>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</si>
  <si>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</si>
  <si>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</si>
  <si>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</si>
  <si>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</si>
  <si>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</si>
  <si>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</si>
  <si>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</si>
  <si>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</si>
  <si>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</si>
  <si>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</si>
  <si>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</si>
  <si>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</si>
  <si>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</si>
  <si>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</si>
  <si>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</si>
  <si>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</si>
  <si>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</si>
  <si>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</si>
  <si>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</si>
  <si>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</si>
  <si>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</si>
  <si>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</si>
  <si>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</si>
  <si>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</si>
  <si>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</si>
  <si>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</si>
  <si>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</si>
  <si>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</si>
  <si>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</si>
  <si>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</si>
  <si>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</si>
  <si>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</si>
  <si>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</si>
  <si>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</si>
  <si>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</si>
  <si>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</si>
  <si>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</si>
  <si>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</si>
  <si>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</si>
  <si>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</si>
  <si>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</si>
  <si>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</si>
  <si>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</si>
  <si>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</si>
  <si>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</si>
  <si>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</si>
  <si>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</si>
  <si>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</si>
  <si>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</si>
  <si>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</si>
  <si>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</si>
  <si>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</si>
  <si>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</si>
  <si>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</si>
  <si>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</si>
  <si>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</si>
  <si>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</si>
  <si>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</si>
  <si>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</si>
  <si>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</si>
  <si>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</si>
  <si>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</si>
  <si>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</si>
  <si>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</si>
  <si>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</si>
  <si>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</si>
  <si>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</si>
  <si>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</si>
  <si>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</si>
  <si>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</si>
  <si>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</si>
  <si>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</si>
  <si>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</si>
  <si>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</si>
  <si>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</si>
  <si>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</si>
  <si>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</si>
  <si>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</si>
  <si>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</si>
  <si>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</si>
  <si>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</si>
  <si>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</si>
  <si>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</si>
  <si>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</si>
  <si>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</si>
  <si>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</si>
  <si>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</si>
  <si>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</si>
  <si>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</si>
  <si>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</si>
  <si>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</si>
  <si>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</si>
  <si>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</si>
  <si>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</si>
  <si>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</si>
  <si>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</si>
  <si>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</si>
  <si>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</si>
  <si>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</si>
  <si>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</si>
  <si>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</si>
  <si>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</si>
  <si>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</si>
  <si>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</si>
  <si>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</si>
  <si>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</si>
  <si>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</si>
  <si>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</si>
  <si>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</si>
  <si>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</si>
  <si>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</si>
  <si>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</si>
  <si>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</si>
  <si>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</si>
  <si>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</si>
  <si>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</si>
  <si>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</si>
  <si>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</si>
  <si>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</si>
  <si>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</si>
  <si>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</si>
  <si>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</si>
  <si>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</si>
  <si>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</si>
  <si>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</si>
  <si>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</si>
  <si>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</si>
  <si>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</si>
  <si>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</si>
  <si>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</si>
  <si>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</si>
  <si>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</si>
  <si>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</si>
  <si>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</si>
  <si>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</si>
  <si>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</si>
  <si>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</si>
  <si>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</si>
  <si>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</si>
  <si>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</si>
  <si>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</si>
  <si>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</si>
  <si>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</si>
  <si>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</si>
  <si>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</si>
  <si>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</si>
  <si>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</si>
  <si>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</si>
  <si>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</si>
  <si>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</si>
  <si>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</si>
  <si>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</si>
  <si>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</si>
  <si>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</si>
  <si>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</si>
  <si>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</si>
  <si>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</si>
  <si>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</si>
  <si>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</si>
  <si>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</si>
  <si>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</si>
  <si>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</si>
  <si>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</si>
  <si>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</si>
  <si>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</si>
  <si>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</si>
  <si>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</si>
  <si>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</si>
  <si>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</si>
  <si>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</si>
  <si>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</si>
  <si>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</si>
  <si>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</si>
  <si>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</si>
  <si>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</si>
  <si>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</si>
  <si>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</si>
  <si>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</si>
  <si>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</si>
  <si>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</si>
  <si>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</si>
  <si>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</si>
  <si>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</si>
  <si>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</si>
  <si>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</si>
  <si>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</si>
  <si>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</si>
  <si>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</si>
  <si>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</si>
  <si>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</si>
  <si>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</si>
  <si>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</si>
  <si>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</si>
  <si>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</si>
  <si>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</si>
  <si>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</si>
  <si>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</si>
  <si>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</si>
  <si>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</si>
  <si>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</si>
  <si>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</si>
  <si>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</si>
  <si>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</si>
  <si>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</si>
  <si>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</si>
  <si>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</si>
  <si>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</si>
  <si>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</si>
  <si>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</si>
  <si>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</si>
  <si>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</si>
  <si>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</si>
  <si>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</si>
  <si>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</si>
  <si>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</si>
  <si>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</si>
  <si>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</si>
  <si>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</si>
  <si>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</si>
  <si>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</si>
  <si>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</si>
  <si>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</si>
  <si>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</si>
  <si>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</si>
  <si>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</si>
  <si>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</si>
  <si>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</si>
  <si>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</si>
  <si>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</si>
  <si>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</si>
  <si>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</si>
  <si>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</si>
  <si>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</si>
  <si>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</si>
  <si>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</si>
  <si>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</si>
  <si>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</si>
  <si>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</si>
  <si>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</si>
  <si>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</si>
  <si>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</si>
  <si>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</si>
  <si>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</si>
  <si>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</si>
  <si>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</si>
  <si>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</si>
  <si>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</si>
  <si>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</si>
  <si>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</si>
  <si>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</si>
  <si>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</si>
  <si>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</si>
  <si>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</si>
  <si>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</si>
  <si>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</si>
  <si>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</si>
  <si>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</si>
  <si>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</si>
  <si>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</si>
  <si>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</si>
  <si>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</si>
  <si>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</si>
  <si>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</si>
  <si>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</si>
  <si>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</si>
  <si>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</si>
  <si>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</si>
  <si>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</si>
  <si>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</si>
  <si>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</si>
  <si>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</si>
  <si>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</si>
  <si>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</si>
  <si>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</si>
  <si>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</si>
  <si>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</si>
  <si>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</si>
  <si>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</si>
  <si>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</si>
  <si>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</si>
  <si>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</si>
  <si>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</si>
  <si>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</si>
  <si>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</si>
  <si>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</si>
  <si>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</si>
  <si>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</si>
  <si>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</si>
  <si>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</si>
  <si>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</si>
  <si>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</si>
  <si>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</si>
  <si>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</si>
  <si>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</si>
  <si>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</si>
  <si>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</si>
  <si>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</si>
  <si>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</si>
  <si>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</si>
  <si>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</si>
  <si>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</si>
  <si>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</si>
  <si>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</si>
  <si>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</si>
  <si>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</si>
  <si>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</si>
  <si>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</si>
  <si>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</si>
  <si>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</si>
  <si>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</si>
  <si>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</si>
  <si>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</si>
  <si>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</si>
  <si>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</si>
  <si>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</si>
  <si>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</si>
  <si>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</si>
  <si>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</si>
  <si>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</si>
  <si>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</si>
  <si>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</si>
  <si>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</si>
  <si>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</si>
  <si>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</si>
  <si>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</si>
  <si>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</si>
  <si>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</si>
  <si>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</si>
  <si>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</si>
  <si>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</si>
  <si>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</si>
  <si>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</si>
  <si>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</si>
  <si>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</si>
  <si>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</si>
  <si>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</si>
  <si>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</si>
  <si>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</si>
  <si>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</si>
  <si>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</si>
  <si>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</si>
  <si>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</si>
  <si>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</si>
  <si>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</si>
  <si>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</si>
  <si>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</si>
  <si>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</si>
  <si>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</si>
  <si>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</si>
  <si>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</si>
  <si>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</si>
  <si>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</si>
  <si>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</si>
  <si>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</si>
  <si>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</si>
  <si>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</si>
  <si>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</si>
  <si>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</si>
  <si>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</si>
  <si>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</si>
  <si>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</si>
  <si>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</si>
  <si>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</si>
  <si>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</si>
  <si>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</si>
  <si>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</si>
  <si>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</si>
  <si>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</si>
  <si>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</si>
  <si>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</si>
  <si>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</si>
  <si>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</si>
  <si>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</si>
  <si>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</si>
  <si>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</si>
  <si>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</si>
  <si>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</si>
  <si>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</si>
  <si>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</si>
  <si>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</si>
  <si>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</si>
  <si>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</si>
  <si>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</si>
  <si>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</si>
  <si>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</si>
  <si>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</si>
  <si>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</si>
  <si>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</si>
  <si>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</si>
  <si>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</si>
  <si>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</si>
  <si>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</si>
  <si>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</si>
  <si>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</si>
  <si>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</si>
  <si>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</si>
  <si>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</si>
  <si>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</si>
  <si>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</si>
  <si>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</si>
  <si>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</si>
  <si>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</si>
  <si>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</si>
  <si>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</si>
  <si>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</si>
  <si>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</si>
  <si>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</si>
  <si>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</si>
  <si>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</si>
  <si>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</si>
  <si>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</si>
  <si>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</si>
  <si>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</si>
  <si>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</si>
  <si>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</si>
  <si>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</si>
  <si>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</si>
  <si>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</si>
  <si>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</si>
  <si>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</si>
  <si>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</si>
  <si>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</si>
  <si>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</si>
  <si>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</si>
  <si>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</si>
  <si>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</si>
  <si>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</si>
  <si>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</si>
  <si>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</si>
  <si>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</si>
  <si>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</si>
  <si>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</si>
  <si>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</si>
  <si>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</si>
  <si>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</si>
  <si>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</si>
  <si>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</si>
  <si>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</si>
  <si>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</si>
  <si>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</si>
  <si>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</si>
  <si>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</si>
  <si>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</si>
  <si>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</si>
  <si>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</si>
  <si>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</si>
  <si>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</si>
  <si>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</si>
  <si>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</si>
  <si>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</si>
  <si>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</si>
  <si>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</si>
  <si>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</si>
  <si>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</si>
  <si>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</si>
  <si>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</si>
  <si>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</si>
  <si>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</si>
  <si>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</si>
  <si>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</si>
  <si>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</si>
  <si>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</si>
  <si>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</si>
  <si>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</si>
  <si>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</si>
  <si>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</si>
  <si>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</si>
  <si>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</si>
  <si>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</si>
  <si>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</si>
  <si>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</si>
  <si>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</si>
  <si>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</si>
  <si>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</si>
  <si>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</si>
  <si>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</si>
  <si>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</si>
  <si>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</si>
  <si>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</si>
  <si>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</si>
  <si>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</si>
  <si>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</si>
  <si>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</si>
  <si>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</si>
  <si>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</si>
  <si>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</si>
  <si>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</si>
  <si>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</si>
  <si>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</si>
  <si>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</si>
  <si>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</si>
  <si>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</si>
  <si>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</si>
  <si>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</si>
  <si>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</si>
  <si>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</si>
  <si>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</si>
  <si>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</si>
  <si>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</si>
  <si>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</si>
  <si>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</si>
  <si>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</si>
  <si>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</si>
  <si>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</si>
  <si>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</si>
  <si>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</si>
  <si>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</si>
  <si>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</si>
  <si>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</si>
  <si>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</si>
  <si>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</si>
  <si>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</si>
  <si>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</si>
  <si>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</si>
  <si>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</si>
  <si>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</si>
  <si>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</si>
  <si>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</si>
  <si>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</si>
  <si>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</si>
  <si>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</si>
  <si>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</si>
  <si>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</si>
  <si>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</si>
  <si>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</si>
  <si>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</si>
  <si>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</si>
  <si>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</si>
  <si>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</si>
  <si>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</si>
  <si>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</si>
  <si>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</si>
  <si>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</si>
  <si>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</si>
  <si>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</si>
  <si>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</si>
  <si>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</si>
  <si>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</si>
  <si>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</si>
  <si>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</si>
  <si>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</si>
  <si>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</si>
  <si>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</si>
  <si>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</si>
  <si>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</si>
  <si>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</si>
  <si>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</si>
  <si>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</si>
  <si>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</si>
  <si>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</si>
  <si>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</si>
  <si>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</si>
  <si>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</si>
  <si>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</si>
  <si>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</si>
  <si>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</si>
  <si>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</si>
  <si>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</si>
  <si>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</si>
  <si>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</si>
  <si>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</si>
  <si>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</si>
  <si>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</si>
  <si>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</si>
  <si>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</si>
  <si>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</si>
  <si>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</si>
  <si>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</si>
  <si>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</si>
  <si>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</si>
  <si>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</si>
  <si>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</si>
  <si>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</si>
  <si>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</si>
  <si>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</si>
  <si>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</si>
  <si>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</si>
  <si>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</si>
  <si>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</si>
  <si>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</si>
  <si>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</si>
  <si>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</si>
  <si>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</si>
  <si>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</si>
  <si>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</si>
  <si>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</si>
  <si>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</si>
  <si>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</si>
  <si>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</si>
  <si>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</si>
  <si>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</si>
  <si>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</si>
  <si>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</si>
  <si>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</si>
  <si>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</si>
  <si>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</si>
  <si>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</si>
  <si>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</si>
  <si>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</si>
  <si>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</si>
  <si>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</si>
  <si>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</si>
  <si>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</si>
  <si>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</si>
  <si>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</si>
  <si>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</si>
  <si>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</si>
  <si>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</si>
  <si>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</si>
  <si>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</si>
  <si>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</si>
  <si>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</si>
  <si>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</si>
  <si>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</si>
  <si>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</si>
  <si>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</si>
  <si>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</si>
  <si>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</si>
  <si>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</si>
  <si>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</si>
  <si>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</si>
  <si>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</si>
  <si>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</si>
  <si>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</si>
  <si>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</si>
  <si>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</si>
  <si>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</si>
  <si>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</si>
  <si>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</si>
  <si>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</si>
  <si>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</si>
  <si>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</si>
  <si>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</si>
  <si>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</si>
  <si>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</si>
  <si>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</si>
  <si>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</si>
  <si>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</si>
  <si>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</si>
  <si>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</si>
  <si>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</si>
  <si>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</si>
  <si>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</si>
  <si>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</si>
  <si>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</si>
  <si>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</si>
  <si>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</si>
  <si>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</si>
  <si>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</si>
  <si>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</si>
  <si>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</si>
  <si>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</si>
  <si>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</si>
  <si>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</si>
  <si>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</si>
  <si>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</si>
  <si>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</si>
  <si>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</si>
  <si>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</si>
  <si>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</si>
  <si>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</si>
  <si>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</si>
  <si>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</si>
  <si>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</si>
  <si>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</si>
  <si>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</si>
  <si>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</si>
  <si>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</si>
  <si>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</si>
  <si>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</si>
  <si>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</si>
  <si>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</si>
  <si>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</si>
  <si>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</si>
  <si>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</si>
  <si>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</si>
  <si>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</si>
  <si>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</si>
  <si>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</si>
  <si>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</si>
  <si>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</si>
  <si>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</si>
  <si>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</si>
  <si>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</si>
  <si>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</si>
  <si>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</si>
  <si>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</si>
  <si>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</si>
  <si>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</si>
  <si>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</si>
  <si>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</si>
  <si>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</si>
  <si>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</si>
  <si>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</si>
  <si>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</si>
  <si>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</si>
  <si>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</si>
  <si>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</si>
  <si>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</si>
  <si>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</si>
  <si>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</si>
  <si>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</si>
  <si>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</si>
  <si>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</si>
  <si>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</si>
  <si>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</si>
  <si>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</si>
  <si>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</si>
  <si>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</si>
  <si>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</si>
  <si>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</si>
  <si>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</si>
  <si>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</si>
  <si>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</si>
  <si>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</si>
  <si>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</si>
  <si>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</si>
  <si>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</si>
  <si>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</si>
  <si>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</si>
  <si>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</si>
  <si>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</si>
  <si>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</si>
  <si>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</si>
  <si>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</si>
  <si>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</si>
  <si>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</si>
  <si>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</si>
  <si>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</si>
  <si>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</si>
  <si>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</si>
  <si>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</si>
  <si>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</si>
  <si>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</si>
  <si>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</si>
  <si>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</si>
  <si>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</si>
  <si>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</si>
  <si>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</si>
  <si>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</si>
  <si>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</si>
  <si>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</si>
  <si>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</si>
  <si>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</si>
  <si>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</si>
  <si>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</si>
  <si>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</si>
  <si>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</si>
  <si>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</si>
  <si>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</si>
  <si>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</si>
  <si>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</si>
  <si>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</si>
  <si>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</si>
  <si>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</si>
  <si>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</si>
  <si>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</si>
  <si>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</si>
  <si>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</si>
  <si>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</si>
  <si>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</si>
  <si>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</si>
  <si>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</si>
  <si>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</si>
  <si>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</si>
  <si>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</si>
  <si>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</si>
  <si>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</si>
  <si>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</si>
  <si>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</si>
  <si>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</si>
  <si>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</si>
  <si>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</si>
  <si>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</si>
  <si>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</si>
  <si>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</si>
  <si>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</si>
  <si>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</si>
  <si>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</si>
  <si>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</si>
  <si>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</si>
  <si>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</si>
  <si>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</si>
  <si>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</si>
  <si>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</si>
  <si>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</si>
  <si>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</si>
  <si>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</si>
  <si>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</si>
  <si>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</si>
  <si>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</si>
  <si>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</si>
  <si>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</si>
  <si>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</si>
  <si>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</si>
  <si>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</si>
  <si>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</si>
  <si>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</si>
  <si>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</si>
  <si>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</si>
  <si>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</si>
  <si>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</si>
  <si>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</si>
  <si>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</si>
  <si>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</si>
  <si>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</si>
  <si>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</si>
  <si>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</si>
  <si>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</si>
  <si>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</si>
  <si>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</si>
  <si>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</si>
  <si>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</si>
  <si>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</si>
  <si>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</si>
  <si>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</si>
  <si>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</si>
  <si>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</si>
  <si>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</si>
  <si>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</si>
  <si>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</si>
  <si>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</si>
  <si>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</si>
  <si>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</si>
  <si>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</si>
  <si>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</si>
  <si>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</si>
  <si>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</si>
  <si>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</si>
  <si>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</si>
  <si>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</si>
  <si>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</si>
  <si>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</si>
  <si>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</si>
  <si>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</si>
  <si>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</si>
  <si>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</si>
  <si>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</si>
  <si>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</si>
  <si>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</si>
  <si>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</si>
  <si>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</si>
  <si>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</si>
  <si>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</si>
  <si>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</si>
  <si>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</si>
  <si>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</si>
  <si>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</si>
  <si>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</si>
  <si>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</si>
  <si>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</si>
  <si>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</si>
  <si>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</si>
  <si>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</si>
  <si>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</si>
  <si>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</si>
  <si>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</si>
  <si>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</si>
  <si>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</si>
  <si>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</si>
  <si>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</si>
  <si>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</si>
  <si>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</si>
  <si>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</si>
  <si>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</si>
  <si>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</si>
  <si>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</si>
  <si>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</si>
  <si>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</si>
  <si>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</si>
  <si>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</si>
  <si>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</si>
  <si>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</si>
  <si>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</si>
  <si>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</si>
  <si>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</si>
  <si>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</si>
  <si>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</si>
  <si>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</si>
  <si>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</si>
  <si>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</si>
  <si>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</si>
  <si>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</si>
  <si>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</si>
  <si>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</si>
  <si>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</si>
  <si>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</si>
  <si>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</si>
  <si>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</si>
  <si>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</si>
  <si>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</si>
  <si>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</si>
  <si>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</si>
  <si>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</si>
  <si>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</si>
  <si>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</si>
  <si>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</si>
  <si>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</si>
  <si>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</si>
  <si>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</si>
  <si>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</si>
  <si>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</si>
  <si>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</si>
  <si>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</si>
  <si>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</si>
  <si>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</si>
  <si>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</si>
  <si>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</si>
  <si>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</si>
  <si>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</si>
  <si>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</si>
  <si>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</si>
  <si>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</si>
  <si>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</si>
  <si>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</si>
  <si>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</si>
  <si>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</si>
  <si>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</si>
  <si>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</si>
  <si>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</si>
  <si>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</si>
  <si>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</si>
  <si>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</si>
  <si>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</si>
  <si>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</si>
  <si>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</si>
  <si>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</si>
  <si>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</si>
  <si>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</si>
  <si>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</si>
  <si>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</si>
  <si>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</si>
  <si>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</si>
  <si>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</si>
  <si>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</si>
  <si>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</si>
  <si>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</si>
  <si>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</si>
  <si>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</si>
  <si>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</si>
  <si>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</si>
  <si>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</si>
  <si>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</si>
  <si>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</si>
  <si>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</si>
  <si>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</si>
  <si>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</si>
  <si>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</si>
  <si>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</si>
  <si>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</si>
  <si>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</si>
  <si>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</si>
  <si>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</si>
  <si>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</si>
  <si>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</si>
  <si>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</si>
  <si>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</si>
  <si>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</si>
  <si>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</si>
  <si>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</si>
  <si>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</si>
  <si>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</si>
  <si>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</si>
  <si>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</si>
  <si>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</si>
  <si>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</si>
  <si>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</si>
  <si>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</si>
  <si>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</si>
  <si>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</si>
  <si>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</si>
  <si>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</si>
  <si>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</si>
  <si>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</si>
  <si>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</si>
  <si>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</si>
  <si>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</si>
  <si>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</si>
  <si>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</si>
  <si>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</si>
  <si>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</si>
  <si>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</si>
  <si>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</si>
  <si>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</si>
  <si>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</si>
  <si>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</si>
  <si>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</si>
  <si>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</si>
  <si>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</si>
  <si>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</si>
  <si>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</si>
  <si>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</si>
  <si>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</si>
  <si>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</si>
  <si>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</si>
  <si>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</si>
  <si>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</si>
  <si>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</si>
  <si>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</si>
  <si>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</si>
  <si>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</si>
  <si>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</si>
  <si>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</si>
  <si>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</si>
  <si>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</si>
  <si>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</si>
  <si>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</si>
  <si>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</si>
  <si>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</si>
  <si>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</si>
  <si>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</si>
  <si>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</si>
  <si>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</si>
  <si>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</si>
  <si>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</si>
  <si>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</si>
  <si>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</si>
  <si>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</si>
  <si>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</si>
  <si>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</si>
  <si>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</si>
  <si>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</si>
  <si>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</si>
  <si>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</si>
  <si>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</si>
  <si>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</si>
  <si>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</si>
  <si>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</si>
  <si>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</si>
  <si>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</si>
  <si>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</si>
  <si>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</si>
  <si>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</si>
  <si>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</si>
  <si>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</si>
  <si>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</si>
  <si>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</si>
  <si>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</si>
  <si>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</si>
  <si>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</si>
  <si>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</si>
  <si>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</si>
  <si>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</si>
  <si>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</si>
  <si>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</si>
  <si>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</si>
  <si>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</si>
  <si>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</si>
  <si>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</si>
  <si>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</si>
  <si>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</si>
  <si>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</si>
  <si>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</si>
  <si>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</si>
  <si>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</si>
  <si>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</si>
  <si>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</si>
  <si>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</si>
  <si>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</si>
  <si>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</si>
  <si>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</si>
  <si>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</si>
  <si>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</si>
  <si>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</si>
  <si>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</si>
  <si>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</si>
  <si>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</si>
  <si>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</si>
  <si>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</si>
  <si>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</si>
  <si>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</si>
  <si>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</si>
  <si>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</si>
  <si>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</si>
  <si>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</si>
  <si>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</si>
  <si>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</si>
  <si>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</si>
  <si>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</si>
  <si>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</si>
  <si>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</si>
  <si>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</si>
  <si>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</si>
  <si>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</si>
  <si>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</si>
  <si>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</si>
  <si>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</si>
  <si>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</si>
  <si>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</si>
  <si>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</si>
  <si>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</si>
  <si>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</si>
  <si>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</si>
  <si>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</si>
  <si>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</si>
  <si>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</si>
  <si>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</si>
  <si>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</si>
  <si>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</si>
  <si>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</si>
  <si>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</si>
  <si>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</si>
  <si>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</si>
  <si>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</si>
  <si>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</si>
  <si>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</si>
  <si>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</si>
  <si>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</si>
  <si>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</si>
  <si>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</si>
  <si>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</si>
  <si>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</si>
  <si>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</si>
  <si>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</si>
  <si>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</si>
  <si>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</si>
  <si>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</si>
  <si>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</si>
  <si>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</si>
  <si>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</si>
  <si>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</si>
  <si>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</si>
  <si>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</si>
  <si>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</si>
  <si>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</si>
  <si>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</si>
  <si>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</si>
  <si>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</si>
  <si>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</si>
  <si>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</si>
  <si>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</si>
  <si>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</si>
  <si>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</si>
  <si>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</si>
  <si>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</si>
  <si>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</si>
  <si>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</si>
  <si>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</si>
  <si>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</si>
  <si>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</si>
  <si>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</si>
  <si>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</si>
  <si>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</si>
  <si>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</si>
  <si>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</si>
  <si>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</si>
  <si>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</si>
  <si>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</si>
  <si>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</si>
  <si>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</si>
  <si>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</si>
  <si>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</si>
  <si>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</si>
  <si>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</si>
  <si>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</si>
  <si>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</si>
  <si>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</si>
  <si>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</si>
  <si>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</si>
  <si>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</si>
  <si>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</si>
  <si>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</si>
  <si>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</si>
  <si>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</si>
  <si>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</si>
  <si>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</si>
  <si>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</si>
  <si>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</si>
  <si>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</si>
  <si>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</si>
  <si>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</si>
  <si>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</si>
  <si>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</si>
  <si>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</si>
  <si>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</si>
  <si>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</si>
  <si>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</si>
  <si>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</si>
  <si>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</si>
  <si>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</si>
  <si>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</si>
  <si>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</si>
  <si>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</si>
  <si>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</si>
  <si>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</si>
  <si>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</si>
  <si>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</si>
  <si>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</si>
  <si>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</si>
  <si>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</si>
  <si>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</si>
  <si>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</si>
  <si>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</si>
  <si>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</si>
  <si>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</si>
  <si>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</si>
  <si>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</si>
  <si>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</si>
  <si>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</si>
  <si>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</si>
  <si>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</si>
  <si>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</si>
  <si>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</si>
  <si>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</si>
  <si>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</si>
  <si>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</si>
  <si>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</si>
  <si>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</si>
  <si>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</si>
  <si>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</si>
  <si>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</si>
  <si>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</si>
  <si>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</si>
  <si>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</si>
  <si>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</si>
  <si>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</si>
  <si>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</si>
  <si>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</si>
  <si>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</si>
  <si>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</si>
  <si>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</si>
  <si>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</si>
  <si>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</si>
  <si>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</si>
  <si>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</si>
  <si>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</si>
  <si>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</si>
  <si>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</si>
  <si>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</si>
  <si>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</si>
  <si>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</si>
  <si>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</si>
  <si>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</si>
  <si>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</si>
  <si>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</si>
  <si>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</si>
  <si>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</si>
  <si>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</si>
  <si>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</si>
  <si>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</si>
  <si>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</si>
  <si>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</si>
  <si>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</si>
  <si>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</si>
  <si>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</si>
  <si>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</si>
  <si>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</si>
  <si>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</si>
  <si>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</si>
  <si>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</si>
  <si>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</si>
  <si>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</si>
  <si>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</si>
  <si>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</si>
  <si>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</si>
  <si>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</si>
  <si>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</si>
  <si>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</si>
  <si>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</si>
  <si>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</si>
  <si>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</si>
  <si>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</si>
  <si>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</si>
  <si>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</si>
  <si>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</si>
  <si>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</si>
  <si>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</si>
  <si>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</si>
  <si>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</si>
  <si>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</si>
  <si>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</si>
  <si>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</si>
  <si>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</si>
  <si>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</si>
  <si>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</si>
  <si>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</si>
  <si>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</si>
  <si>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</si>
  <si>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</si>
  <si>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</si>
  <si>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</si>
  <si>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</si>
  <si>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</si>
  <si>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</si>
  <si>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</si>
  <si>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</si>
  <si>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</si>
  <si>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</si>
  <si>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</si>
  <si>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</si>
  <si>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</si>
  <si>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</si>
  <si>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</si>
  <si>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</si>
  <si>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</si>
  <si>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</si>
  <si>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</si>
  <si>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</si>
  <si>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</si>
  <si>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</si>
  <si>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</si>
  <si>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</si>
  <si>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</si>
  <si>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</si>
  <si>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</si>
  <si>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</si>
  <si>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</si>
  <si>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</si>
  <si>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</si>
  <si>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</si>
  <si>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</si>
  <si>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</si>
  <si>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</si>
  <si>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</si>
  <si>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</si>
  <si>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</si>
  <si>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</si>
  <si>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</si>
  <si>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</si>
  <si>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</si>
  <si>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</si>
  <si>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</si>
  <si>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</si>
  <si>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</si>
  <si>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</si>
  <si>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</si>
  <si>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</si>
  <si>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</si>
  <si>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</si>
  <si>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</si>
  <si>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</si>
  <si>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</si>
  <si>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</si>
  <si>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</si>
  <si>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</si>
  <si>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</si>
  <si>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</si>
  <si>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</si>
  <si>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</si>
  <si>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</si>
  <si>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</si>
  <si>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</si>
  <si>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</si>
  <si>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</si>
  <si>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</si>
  <si>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</si>
  <si>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</si>
  <si>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</si>
  <si>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</si>
  <si>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</si>
  <si>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</si>
  <si>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</si>
  <si>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</si>
  <si>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</si>
  <si>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</si>
  <si>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</si>
  <si>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</si>
  <si>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</si>
  <si>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</si>
  <si>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</si>
  <si>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</si>
  <si>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</si>
  <si>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</si>
  <si>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</si>
  <si>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</si>
  <si>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</si>
  <si>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</si>
  <si>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</si>
  <si>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</si>
  <si>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</si>
  <si>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</si>
  <si>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</si>
  <si>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</si>
  <si>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</si>
  <si>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</si>
  <si>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</si>
  <si>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</si>
  <si>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</si>
  <si>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</si>
  <si>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</si>
  <si>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</si>
  <si>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</si>
  <si>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</si>
  <si>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</si>
  <si>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</si>
  <si>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</si>
  <si>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</si>
  <si>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</si>
  <si>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</si>
  <si>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</si>
  <si>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</si>
  <si>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</si>
  <si>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</si>
  <si>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</si>
  <si>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</si>
  <si>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</si>
  <si>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</si>
  <si>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</si>
  <si>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</si>
  <si>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</si>
  <si>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</si>
  <si>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</si>
  <si>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</si>
  <si>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</si>
  <si>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</si>
  <si>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</si>
  <si>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</si>
  <si>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</si>
  <si>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</si>
  <si>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</si>
  <si>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</si>
  <si>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</si>
  <si>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</si>
  <si>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</si>
  <si>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</si>
  <si>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</si>
  <si>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</si>
  <si>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</si>
  <si>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</si>
  <si>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运营人员</t>
    <phoneticPr fontId="8" type="noConversion"/>
  </si>
  <si>
    <t>住宿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</si>
  <si>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</si>
  <si>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</si>
  <si>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</si>
  <si>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</si>
  <si>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</si>
  <si>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</si>
  <si>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</si>
  <si>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</si>
  <si>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</si>
  <si>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</si>
  <si>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</si>
  <si>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</si>
  <si>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</si>
  <si>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</si>
  <si>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</si>
  <si>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</si>
  <si>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</si>
  <si>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</si>
  <si>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</si>
  <si>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高铁二等座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</si>
  <si>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</si>
  <si>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</si>
  <si>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</si>
  <si>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</si>
  <si>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450</t>
    <phoneticPr fontId="8" type="noConversion"/>
  </si>
  <si>
    <t>服务人员</t>
    <phoneticPr fontId="8" type="noConversion"/>
  </si>
  <si>
    <r>
      <t xml:space="preserve">2025抖音创作者大会
</t>
    </r>
    <r>
      <rPr>
        <sz val="9"/>
        <color theme="1"/>
        <rFont val="微软雅黑"/>
        <family val="2"/>
        <charset val="134"/>
      </rPr>
      <t>抖音-搜索-综合搜索</t>
    </r>
    <phoneticPr fontId="8" type="noConversion"/>
  </si>
  <si>
    <r>
      <t xml:space="preserve">2025抖音创作者大会 </t>
    </r>
    <r>
      <rPr>
        <b/>
        <sz val="14"/>
        <color theme="1"/>
        <rFont val="微软雅黑"/>
        <family val="2"/>
        <charset val="134"/>
      </rPr>
      <t>抖音-搜索-综合搜索会务接待报价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</si>
  <si>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t>谢若楠</t>
    <phoneticPr fontId="8" type="noConversion"/>
  </si>
  <si>
    <t>李肖</t>
    <phoneticPr fontId="8" type="noConversion"/>
  </si>
  <si>
    <t>郭燕雷</t>
    <phoneticPr fontId="8" type="noConversion"/>
  </si>
  <si>
    <t>guoyanlei@cct.cn</t>
    <phoneticPr fontId="8" type="noConversion"/>
  </si>
  <si>
    <t>酒店接待人员；9.18-22</t>
    <phoneticPr fontId="8" type="noConversion"/>
  </si>
  <si>
    <t>苏州-杭州东；133元/单程</t>
    <phoneticPr fontId="8" type="noConversion"/>
  </si>
  <si>
    <t>9.18、19、20、21</t>
    <phoneticPr fontId="8" type="noConversion"/>
  </si>
  <si>
    <t>lixiao.aimmyli@bytedance.com</t>
    <phoneticPr fontId="8" type="noConversion"/>
  </si>
  <si>
    <t>钱江君廷酒店</t>
    <phoneticPr fontId="8" type="noConversion"/>
  </si>
  <si>
    <t>花园双床</t>
    <phoneticPr fontId="8" type="noConversion"/>
  </si>
  <si>
    <t>餐饮</t>
    <phoneticPr fontId="8" type="noConversion"/>
  </si>
  <si>
    <t>商务套餐</t>
    <phoneticPr fontId="8" type="noConversion"/>
  </si>
  <si>
    <t>人</t>
    <phoneticPr fontId="8" type="noConversion"/>
  </si>
  <si>
    <t>商务套餐；9.20、21的中餐晚餐和22的中餐</t>
    <phoneticPr fontId="8" type="noConversion"/>
  </si>
  <si>
    <t>106</t>
    <phoneticPr fontId="8" type="noConversion"/>
  </si>
  <si>
    <t>140</t>
    <phoneticPr fontId="8" type="noConversion"/>
  </si>
  <si>
    <t>9.18、19、20、21、22</t>
    <phoneticPr fontId="8" type="noConversion"/>
  </si>
  <si>
    <t>ruonan@bytedance.com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</si>
</sst>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6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ruonan@bytedance.com" TargetMode="External"/><Relationship Id="rId2" Type="http://schemas.openxmlformats.org/officeDocument/2006/relationships/hyperlink" Target="mailto:lixiao.aimmyli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6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6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6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7" t="s">
        <v>140</v>
      </c>
      <c r="B6" s="153" t="s">
        <v>141</v>
      </c>
      <c r="C6" s="154"/>
    </row>
    <row r="7" spans="1:21" s="149" customFormat="1">
      <c r="A7" s="217"/>
      <c r="B7" s="153" t="s">
        <v>142</v>
      </c>
      <c r="C7" s="154"/>
    </row>
    <row r="8" spans="1:21" s="149" customFormat="1">
      <c r="A8" s="217"/>
      <c r="B8" s="154" t="s">
        <v>143</v>
      </c>
      <c r="C8" s="154"/>
    </row>
    <row r="9" spans="1:21" s="149" customFormat="1" ht="19" customHeight="1">
      <c r="A9" s="217"/>
      <c r="B9" s="153" t="s">
        <v>144</v>
      </c>
      <c r="C9" s="154"/>
    </row>
    <row r="10" spans="1:21" s="149" customFormat="1" ht="19" customHeight="1">
      <c r="A10" s="217"/>
      <c r="B10" s="153" t="s">
        <v>145</v>
      </c>
      <c r="C10" s="154"/>
    </row>
    <row r="11" spans="1:21" s="149" customFormat="1" ht="19" customHeight="1">
      <c r="A11" s="217" t="s">
        <v>146</v>
      </c>
      <c r="B11" s="153" t="s">
        <v>147</v>
      </c>
      <c r="C11" s="153"/>
    </row>
    <row r="12" spans="1:21" s="149" customFormat="1">
      <c r="A12" s="217"/>
      <c r="B12" s="153" t="s">
        <v>148</v>
      </c>
      <c r="C12" s="153"/>
    </row>
    <row r="13" spans="1:21" s="149" customFormat="1">
      <c r="A13" s="217"/>
      <c r="B13" s="153" t="s">
        <v>149</v>
      </c>
      <c r="C13" s="153"/>
    </row>
    <row r="14" spans="1:21" s="149" customFormat="1">
      <c r="A14" s="217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18" t="s">
        <v>89</v>
      </c>
      <c r="Q9" s="219"/>
      <c r="R9" s="220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8" t="s">
        <v>90</v>
      </c>
      <c r="Q18" s="219"/>
      <c r="R18" s="220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8" t="s">
        <v>91</v>
      </c>
      <c r="Q27" s="219"/>
      <c r="R27" s="220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8" t="s">
        <v>94</v>
      </c>
      <c r="Q36" s="219"/>
      <c r="R36" s="220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8" t="s">
        <v>95</v>
      </c>
      <c r="Q45" s="219"/>
      <c r="R45" s="220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8" t="s">
        <v>97</v>
      </c>
      <c r="Q51" s="219"/>
      <c r="R51" s="220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8" t="s">
        <v>96</v>
      </c>
      <c r="Q60" s="219"/>
      <c r="R60" s="220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8" t="s">
        <v>134</v>
      </c>
      <c r="Q69" s="219"/>
      <c r="R69" s="220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8" t="s">
        <v>120</v>
      </c>
      <c r="Q73" s="219"/>
      <c r="R73" s="220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2" t="s">
        <v>54</v>
      </c>
      <c r="Q75" s="222"/>
      <c r="R75" s="223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8" t="s">
        <v>121</v>
      </c>
      <c r="Q79" s="219"/>
      <c r="R79" s="220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2" t="s">
        <v>133</v>
      </c>
      <c r="Q82" s="222"/>
      <c r="R82" s="223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1"/>
      <c r="L84" s="221"/>
      <c r="M84" s="221"/>
      <c r="N84" s="221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1"/>
      <c r="L85" s="221"/>
      <c r="M85" s="221"/>
      <c r="N85" s="221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E26" sqref="E26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0" t="s">
        <v>2983</v>
      </c>
      <c r="B1" s="231"/>
      <c r="C1" s="231"/>
      <c r="D1" s="231"/>
      <c r="E1" s="231"/>
      <c r="F1" s="231"/>
      <c r="G1" s="231"/>
      <c r="H1" s="232"/>
    </row>
    <row r="2" spans="1:8" ht="30">
      <c r="A2" s="4" t="s">
        <v>0</v>
      </c>
      <c r="B2" s="10" t="s">
        <v>2982</v>
      </c>
      <c r="C2" s="11" t="s">
        <v>1</v>
      </c>
      <c r="D2" s="233" t="s">
        <v>2953</v>
      </c>
      <c r="E2" s="234"/>
      <c r="F2" s="234"/>
      <c r="G2" s="235" t="s">
        <v>37</v>
      </c>
      <c r="H2" s="236"/>
    </row>
    <row r="3" spans="1:8">
      <c r="A3" s="3" t="s">
        <v>2</v>
      </c>
      <c r="B3" s="13" t="s">
        <v>2971</v>
      </c>
      <c r="C3" s="14" t="s">
        <v>3</v>
      </c>
      <c r="D3" s="233">
        <v>75</v>
      </c>
      <c r="E3" s="234"/>
      <c r="F3" s="234"/>
      <c r="G3" s="237"/>
      <c r="H3" s="238"/>
    </row>
    <row r="4" spans="1:8" ht="16">
      <c r="A4" s="3" t="s">
        <v>23</v>
      </c>
      <c r="B4" s="10" t="s">
        <v>2984</v>
      </c>
      <c r="C4" s="1" t="s">
        <v>4</v>
      </c>
      <c r="D4" s="12">
        <v>15906441017</v>
      </c>
      <c r="E4" s="14" t="s">
        <v>5</v>
      </c>
      <c r="F4" s="212" t="s">
        <v>3001</v>
      </c>
      <c r="G4" s="36"/>
      <c r="H4" s="37" t="s">
        <v>17</v>
      </c>
    </row>
    <row r="5" spans="1:8" ht="16">
      <c r="A5" s="3" t="s">
        <v>24</v>
      </c>
      <c r="B5" s="10" t="s">
        <v>2985</v>
      </c>
      <c r="C5" s="1" t="s">
        <v>4</v>
      </c>
      <c r="D5" s="12"/>
      <c r="E5" s="14" t="s">
        <v>5</v>
      </c>
      <c r="F5" s="212" t="s">
        <v>2991</v>
      </c>
      <c r="G5" s="38"/>
      <c r="H5" s="37" t="s">
        <v>18</v>
      </c>
    </row>
    <row r="6" spans="1:8">
      <c r="A6" s="3" t="s">
        <v>6</v>
      </c>
      <c r="B6" s="239" t="s">
        <v>2952</v>
      </c>
      <c r="C6" s="240"/>
      <c r="D6" s="240"/>
      <c r="E6" s="240"/>
      <c r="F6" s="240"/>
      <c r="G6" s="39"/>
      <c r="H6" s="37" t="s">
        <v>19</v>
      </c>
    </row>
    <row r="7" spans="1:8" ht="16">
      <c r="A7" s="3" t="s">
        <v>7</v>
      </c>
      <c r="B7" s="10" t="s">
        <v>2986</v>
      </c>
      <c r="C7" s="1" t="s">
        <v>4</v>
      </c>
      <c r="D7" s="12">
        <v>15811515220</v>
      </c>
      <c r="E7" s="14" t="s">
        <v>5</v>
      </c>
      <c r="F7" s="199" t="s">
        <v>2987</v>
      </c>
      <c r="G7" s="40"/>
      <c r="H7" s="37" t="s">
        <v>20</v>
      </c>
    </row>
    <row r="8" spans="1:8" ht="18">
      <c r="A8" s="229" t="s">
        <v>38</v>
      </c>
      <c r="B8" s="229"/>
      <c r="C8" s="229"/>
      <c r="D8" s="229"/>
      <c r="E8" s="229"/>
      <c r="F8" s="229"/>
      <c r="G8" s="229"/>
      <c r="H8" s="229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'2.报价结算清单'!P4</f>
        <v>2650</v>
      </c>
      <c r="D12" s="6">
        <f>IFERROR(_xlfn.IFNA(C12/$C$21,""),"")</f>
        <v>2.0743940323206245E-2</v>
      </c>
      <c r="E12" s="8">
        <f>'2.报价结算清单'!Q4</f>
        <v>0</v>
      </c>
      <c r="F12" s="6" t="str">
        <f t="shared" si="0"/>
        <v/>
      </c>
      <c r="G12" s="8">
        <f t="shared" si="2"/>
        <v>-2650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'2.报价结算清单'!P13</f>
        <v>117418.5</v>
      </c>
      <c r="D14" s="6">
        <f t="shared" si="1"/>
        <v>0.91914051201524249</v>
      </c>
      <c r="E14" s="8">
        <f>'2.报价结算清单'!Q13</f>
        <v>0</v>
      </c>
      <c r="F14" s="6" t="str">
        <f t="shared" si="0"/>
        <v/>
      </c>
      <c r="G14" s="8">
        <f t="shared" si="2"/>
        <v>-117418.5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6" t="s">
        <v>53</v>
      </c>
      <c r="B19" s="227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28" t="s">
        <v>87</v>
      </c>
      <c r="B20" s="227"/>
      <c r="C20" s="9" t="str">
        <f>'2.报价结算清单'!J22</f>
        <v>0</v>
      </c>
      <c r="D20" s="6">
        <f>IFERROR(_xlfn.IFNA(C20/$C$22,""),"")</f>
        <v>0</v>
      </c>
      <c r="E20" s="9" t="str">
        <f>'2.报价结算清单'!K22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6" t="s">
        <v>13</v>
      </c>
      <c r="B21" s="226"/>
      <c r="C21" s="9">
        <f>'2.报价结算清单'!P24</f>
        <v>127748.15</v>
      </c>
      <c r="D21" s="6">
        <f>IFERROR(_xlfn.IFNA(C21/$C$22,""),"")</f>
        <v>1</v>
      </c>
      <c r="E21" s="9">
        <f>'2.报价结算清单'!Q24</f>
        <v>0</v>
      </c>
      <c r="F21" s="6" t="str">
        <f>IFERROR(_xlfn.IFNA(E21/$E$22,""),"")</f>
        <v/>
      </c>
      <c r="G21" s="8">
        <f>IFERROR(E21-C21,"")</f>
        <v>-127748.15</v>
      </c>
      <c r="H21" s="5"/>
    </row>
    <row r="22" spans="1:8">
      <c r="A22" s="224" t="s">
        <v>42</v>
      </c>
      <c r="B22" s="224"/>
      <c r="C22" s="225">
        <f>'2.报价结算清单'!P24</f>
        <v>127748.15</v>
      </c>
      <c r="D22" s="225"/>
      <c r="E22" s="225">
        <f>'2.报价结算清单'!Q24</f>
        <v>0</v>
      </c>
      <c r="F22" s="225"/>
      <c r="G22" s="7">
        <f>IFERROR(E22-C22,"")</f>
        <v>-127748.15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5C2961C3-ED03-DE41-89F4-E414E2CE99BC}"/>
    <hyperlink ref="F5" r:id="rId2" xr:uid="{CF6EB2D6-7909-FB45-A51A-68F424BB45C4}"/>
    <hyperlink ref="F4" r:id="rId3" xr:uid="{C4AAE977-CFE6-9F48-BDEA-1204F2CA58C9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28"/>
  <sheetViews>
    <sheetView zoomScaleNormal="55" workbookViewId="0">
      <selection activeCell="L16" sqref="L16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34">
      <c r="A2" s="173" t="s">
        <v>84</v>
      </c>
      <c r="B2" s="128" t="s">
        <v>2954</v>
      </c>
      <c r="C2" s="128" t="s">
        <v>2981</v>
      </c>
      <c r="D2" s="128" t="s">
        <v>2988</v>
      </c>
      <c r="E2" s="128" t="s">
        <v>132</v>
      </c>
      <c r="F2" s="174" t="s">
        <v>2911</v>
      </c>
      <c r="G2" s="128" t="str">
        <f>_xlfn.IFNA(IF(VLOOKUP($F2,'3.框架内物料'!$A:$E,2,0)=0,"请勿填写",VLOOKUP($F2,'3.框架内物料'!$A:$E,2,0)),"")</f>
        <v>M939882634395557889</v>
      </c>
      <c r="H2" s="201" t="str">
        <f>_xlfn.IFNA(VLOOKUP($F2,'3.框架内物料'!$A:$E,4,0),"")</f>
        <v>Onsite 人员-服务人员-地接上会服务人员-人员劳务费。不含住宿、交通、补贴等费用，每天不超过8小时</v>
      </c>
      <c r="I2" s="128" t="str">
        <f>_xlfn.IFNA(VLOOKUP($F2,'3.框架内物料'!$A:$E,5,0),"")</f>
        <v>人/天</v>
      </c>
      <c r="J2" s="188">
        <f>_xlfn.IFNA(VLOOKUP($F2,'3.框架内物料'!$A:$F,6,0),"")</f>
        <v>530</v>
      </c>
      <c r="K2" s="188">
        <f>_xlfn.IFNA(VLOOKUP($F2,'3.框架内物料'!$A:$F,6,0),"")</f>
        <v>530</v>
      </c>
      <c r="L2" s="67">
        <v>1</v>
      </c>
      <c r="M2" s="67"/>
      <c r="N2" s="67">
        <v>5</v>
      </c>
      <c r="O2" s="67"/>
      <c r="P2" s="175">
        <f>IFERROR(N2*L2*J2,0)</f>
        <v>2650</v>
      </c>
      <c r="Q2" s="175">
        <f t="shared" ref="Q2" si="0">IFERROR(O2*M2*K2,0)</f>
        <v>0</v>
      </c>
      <c r="R2" s="176">
        <f t="shared" ref="R2" si="1">Q2-P2</f>
        <v>-2650</v>
      </c>
      <c r="S2" s="177">
        <v>0.06</v>
      </c>
      <c r="T2" s="177">
        <v>0</v>
      </c>
      <c r="U2" s="179"/>
      <c r="V2" s="178"/>
    </row>
    <row r="3" spans="1:25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89"/>
      <c r="K3" s="189"/>
      <c r="L3" s="58"/>
      <c r="M3" s="58"/>
      <c r="N3" s="58"/>
      <c r="O3" s="58"/>
      <c r="P3" s="243" t="s">
        <v>91</v>
      </c>
      <c r="Q3" s="244"/>
      <c r="R3" s="245"/>
      <c r="S3" s="165"/>
      <c r="T3" s="165"/>
      <c r="U3" s="60"/>
      <c r="V3" s="60"/>
    </row>
    <row r="4" spans="1:25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0"/>
      <c r="K4" s="190"/>
      <c r="L4" s="55"/>
      <c r="M4" s="55"/>
      <c r="N4" s="55"/>
      <c r="O4" s="55"/>
      <c r="P4" s="158">
        <f>SUM(P2:P2)</f>
        <v>2650</v>
      </c>
      <c r="Q4" s="158">
        <f>SUM(Q2:Q2)</f>
        <v>0</v>
      </c>
      <c r="R4" s="158">
        <f>Q4-P4</f>
        <v>-2650</v>
      </c>
      <c r="S4" s="166"/>
      <c r="T4" s="171"/>
      <c r="U4" s="55"/>
      <c r="V4" s="56"/>
    </row>
    <row r="5" spans="1:25" s="214" customFormat="1" ht="22" customHeight="1">
      <c r="A5" s="204" t="s">
        <v>93</v>
      </c>
      <c r="B5" s="200" t="s">
        <v>2955</v>
      </c>
      <c r="C5" s="200" t="s">
        <v>2955</v>
      </c>
      <c r="D5" s="200" t="s">
        <v>2992</v>
      </c>
      <c r="E5" s="200" t="s">
        <v>129</v>
      </c>
      <c r="F5" s="205"/>
      <c r="G5" s="200" t="str">
        <f>_xlfn.IFNA(IF(VLOOKUP($F5,'3.框架内物料'!$A:$E,2,0)=0,"请勿填写",VLOOKUP($F5,'3.框架内物料'!$A:$E,2,0)),"")</f>
        <v/>
      </c>
      <c r="H5" s="206" t="s">
        <v>2993</v>
      </c>
      <c r="I5" s="200" t="s">
        <v>2961</v>
      </c>
      <c r="J5" s="207" t="s">
        <v>2980</v>
      </c>
      <c r="K5" s="207" t="str">
        <f>_xlfn.IFNA(VLOOKUP($F5,'3.框架内物料'!$A:$F,6,0),"")</f>
        <v/>
      </c>
      <c r="L5" s="208">
        <v>75</v>
      </c>
      <c r="M5" s="208"/>
      <c r="N5" s="208">
        <v>3</v>
      </c>
      <c r="O5" s="208"/>
      <c r="P5" s="209">
        <f t="shared" ref="P5:P11" si="2">IFERROR(N5*L5*J5,0)</f>
        <v>101250</v>
      </c>
      <c r="Q5" s="209">
        <f t="shared" ref="Q5" si="3">IFERROR(O5*M5*K5,0)</f>
        <v>0</v>
      </c>
      <c r="R5" s="210">
        <f t="shared" ref="R5" si="4">Q5-P5</f>
        <v>-101250</v>
      </c>
      <c r="S5" s="177">
        <v>0.06</v>
      </c>
      <c r="T5" s="177">
        <v>0</v>
      </c>
      <c r="U5" s="213"/>
      <c r="V5" s="204"/>
      <c r="Y5" s="215"/>
    </row>
    <row r="6" spans="1:25" s="214" customFormat="1" ht="22" customHeight="1">
      <c r="A6" s="204" t="s">
        <v>93</v>
      </c>
      <c r="B6" s="200" t="s">
        <v>2994</v>
      </c>
      <c r="C6" s="200" t="s">
        <v>2994</v>
      </c>
      <c r="D6" s="200" t="s">
        <v>2995</v>
      </c>
      <c r="E6" s="200" t="s">
        <v>129</v>
      </c>
      <c r="F6" s="205"/>
      <c r="G6" s="200" t="str">
        <f>_xlfn.IFNA(IF(VLOOKUP($F6,'3.框架内物料'!$A:$E,2,0)=0,"请勿填写",VLOOKUP($F6,'3.框架内物料'!$A:$E,2,0)),"")</f>
        <v/>
      </c>
      <c r="H6" s="206" t="s">
        <v>2997</v>
      </c>
      <c r="I6" s="200" t="s">
        <v>2996</v>
      </c>
      <c r="J6" s="207" t="s">
        <v>2998</v>
      </c>
      <c r="K6" s="207" t="str">
        <f>_xlfn.IFNA(VLOOKUP($F6,'3.框架内物料'!$A:$F,6,0),"")</f>
        <v/>
      </c>
      <c r="L6" s="208">
        <v>25</v>
      </c>
      <c r="M6" s="208"/>
      <c r="N6" s="208">
        <v>5</v>
      </c>
      <c r="O6" s="208"/>
      <c r="P6" s="209">
        <f t="shared" si="2"/>
        <v>13250</v>
      </c>
      <c r="Q6" s="209">
        <f t="shared" ref="Q6" si="5">IFERROR(O6*M6*K6,0)</f>
        <v>0</v>
      </c>
      <c r="R6" s="210">
        <f t="shared" ref="R6" si="6">Q6-P6</f>
        <v>-13250</v>
      </c>
      <c r="S6" s="177">
        <v>0.06</v>
      </c>
      <c r="T6" s="177">
        <v>0</v>
      </c>
      <c r="U6" s="213"/>
      <c r="V6" s="204"/>
      <c r="Y6" s="215"/>
    </row>
    <row r="7" spans="1:25" s="211" customFormat="1" ht="22" customHeight="1">
      <c r="A7" s="204" t="s">
        <v>93</v>
      </c>
      <c r="B7" s="204" t="s">
        <v>2972</v>
      </c>
      <c r="C7" s="200" t="s">
        <v>2973</v>
      </c>
      <c r="D7" s="200" t="s">
        <v>2975</v>
      </c>
      <c r="E7" s="200" t="s">
        <v>129</v>
      </c>
      <c r="F7" s="205"/>
      <c r="G7" s="200"/>
      <c r="H7" s="201" t="s">
        <v>2989</v>
      </c>
      <c r="I7" s="200" t="s">
        <v>2974</v>
      </c>
      <c r="J7" s="207" t="s">
        <v>2999</v>
      </c>
      <c r="K7" s="207"/>
      <c r="L7" s="208">
        <v>1</v>
      </c>
      <c r="M7" s="208"/>
      <c r="N7" s="208">
        <v>2</v>
      </c>
      <c r="O7" s="208"/>
      <c r="P7" s="175">
        <f t="shared" si="2"/>
        <v>280</v>
      </c>
      <c r="Q7" s="209">
        <f t="shared" ref="Q7" si="7">IFERROR(O7*M7*K7,0)</f>
        <v>0</v>
      </c>
      <c r="R7" s="210">
        <f t="shared" ref="R7" si="8">Q7-P7</f>
        <v>-280</v>
      </c>
      <c r="S7" s="177">
        <v>0.06</v>
      </c>
      <c r="T7" s="177">
        <v>0</v>
      </c>
      <c r="U7" s="204"/>
      <c r="V7" s="204"/>
    </row>
    <row r="8" spans="1:25" s="211" customFormat="1" ht="22" customHeight="1">
      <c r="A8" s="204" t="s">
        <v>93</v>
      </c>
      <c r="B8" s="204" t="s">
        <v>2956</v>
      </c>
      <c r="C8" s="200" t="s">
        <v>2958</v>
      </c>
      <c r="D8" s="200" t="s">
        <v>2958</v>
      </c>
      <c r="E8" s="200" t="s">
        <v>129</v>
      </c>
      <c r="F8" s="205"/>
      <c r="G8" s="200"/>
      <c r="H8" s="206" t="s">
        <v>2990</v>
      </c>
      <c r="I8" s="200" t="s">
        <v>2961</v>
      </c>
      <c r="J8" s="207" t="s">
        <v>2970</v>
      </c>
      <c r="K8" s="207"/>
      <c r="L8" s="208">
        <v>1</v>
      </c>
      <c r="M8" s="208"/>
      <c r="N8" s="208">
        <v>4</v>
      </c>
      <c r="O8" s="208"/>
      <c r="P8" s="175">
        <f t="shared" si="2"/>
        <v>1400</v>
      </c>
      <c r="Q8" s="209">
        <f t="shared" ref="Q8:Q11" si="9">IFERROR(O8*M8*K8,0)</f>
        <v>0</v>
      </c>
      <c r="R8" s="210">
        <f t="shared" ref="R8:R11" si="10">Q8-P8</f>
        <v>-1400</v>
      </c>
      <c r="S8" s="177">
        <v>0.06</v>
      </c>
      <c r="T8" s="177">
        <v>0</v>
      </c>
      <c r="U8" s="204"/>
      <c r="V8" s="204"/>
    </row>
    <row r="9" spans="1:25" s="211" customFormat="1" ht="22" customHeight="1">
      <c r="A9" s="204" t="s">
        <v>93</v>
      </c>
      <c r="B9" s="204" t="s">
        <v>2957</v>
      </c>
      <c r="C9" s="200" t="s">
        <v>2959</v>
      </c>
      <c r="D9" s="200" t="s">
        <v>2959</v>
      </c>
      <c r="E9" s="200" t="s">
        <v>129</v>
      </c>
      <c r="F9" s="205"/>
      <c r="G9" s="200"/>
      <c r="H9" s="206" t="s">
        <v>3000</v>
      </c>
      <c r="I9" s="200" t="s">
        <v>2962</v>
      </c>
      <c r="J9" s="207" t="s">
        <v>2967</v>
      </c>
      <c r="K9" s="207"/>
      <c r="L9" s="208">
        <v>1</v>
      </c>
      <c r="M9" s="208"/>
      <c r="N9" s="208">
        <v>5</v>
      </c>
      <c r="O9" s="208"/>
      <c r="P9" s="175">
        <f t="shared" si="2"/>
        <v>500</v>
      </c>
      <c r="Q9" s="209">
        <f t="shared" si="9"/>
        <v>0</v>
      </c>
      <c r="R9" s="210">
        <f t="shared" si="10"/>
        <v>-500</v>
      </c>
      <c r="S9" s="177">
        <v>0.06</v>
      </c>
      <c r="T9" s="177">
        <v>0</v>
      </c>
      <c r="U9" s="204"/>
      <c r="V9" s="204"/>
    </row>
    <row r="10" spans="1:25" s="211" customFormat="1" ht="22" customHeight="1">
      <c r="A10" s="204" t="s">
        <v>93</v>
      </c>
      <c r="B10" s="204" t="s">
        <v>2957</v>
      </c>
      <c r="C10" s="200" t="s">
        <v>2960</v>
      </c>
      <c r="D10" s="200" t="s">
        <v>2960</v>
      </c>
      <c r="E10" s="200" t="s">
        <v>129</v>
      </c>
      <c r="F10" s="205"/>
      <c r="G10" s="200"/>
      <c r="H10" s="206" t="s">
        <v>3000</v>
      </c>
      <c r="I10" s="200" t="s">
        <v>2962</v>
      </c>
      <c r="J10" s="207" t="s">
        <v>2967</v>
      </c>
      <c r="K10" s="207"/>
      <c r="L10" s="208">
        <v>1</v>
      </c>
      <c r="M10" s="208"/>
      <c r="N10" s="208">
        <v>5</v>
      </c>
      <c r="O10" s="208"/>
      <c r="P10" s="175">
        <f t="shared" si="2"/>
        <v>500</v>
      </c>
      <c r="Q10" s="209">
        <f t="shared" ref="Q10" si="11">IFERROR(O10*M10*K10,0)</f>
        <v>0</v>
      </c>
      <c r="R10" s="210">
        <f t="shared" ref="R10" si="12">Q10-P10</f>
        <v>-500</v>
      </c>
      <c r="S10" s="177">
        <v>0.06</v>
      </c>
      <c r="T10" s="177">
        <v>0</v>
      </c>
      <c r="U10" s="204"/>
      <c r="V10" s="204"/>
    </row>
    <row r="11" spans="1:25" s="211" customFormat="1" ht="22" customHeight="1">
      <c r="A11" s="204" t="s">
        <v>93</v>
      </c>
      <c r="B11" s="204" t="s">
        <v>2976</v>
      </c>
      <c r="C11" s="204" t="s">
        <v>2976</v>
      </c>
      <c r="D11" s="200" t="s">
        <v>2977</v>
      </c>
      <c r="E11" s="200" t="s">
        <v>129</v>
      </c>
      <c r="F11" s="205"/>
      <c r="G11" s="200"/>
      <c r="H11" s="206" t="s">
        <v>2978</v>
      </c>
      <c r="I11" s="200" t="s">
        <v>2962</v>
      </c>
      <c r="J11" s="207" t="s">
        <v>2979</v>
      </c>
      <c r="K11" s="207"/>
      <c r="L11" s="208">
        <v>75</v>
      </c>
      <c r="M11" s="208"/>
      <c r="N11" s="208">
        <v>30</v>
      </c>
      <c r="O11" s="208"/>
      <c r="P11" s="175">
        <f t="shared" si="2"/>
        <v>238.5</v>
      </c>
      <c r="Q11" s="209">
        <f t="shared" si="9"/>
        <v>0</v>
      </c>
      <c r="R11" s="210">
        <f t="shared" si="10"/>
        <v>-238.5</v>
      </c>
      <c r="S11" s="177">
        <v>0.06</v>
      </c>
      <c r="T11" s="177">
        <v>0</v>
      </c>
      <c r="U11" s="204"/>
      <c r="V11" s="204"/>
    </row>
    <row r="12" spans="1:25" s="75" customFormat="1" ht="18">
      <c r="A12" s="57"/>
      <c r="B12" s="61"/>
      <c r="C12" s="61"/>
      <c r="D12" s="61"/>
      <c r="E12" s="61"/>
      <c r="F12" s="58"/>
      <c r="G12" s="58"/>
      <c r="H12" s="58"/>
      <c r="I12" s="58"/>
      <c r="J12" s="189"/>
      <c r="K12" s="189"/>
      <c r="L12" s="58"/>
      <c r="M12" s="58"/>
      <c r="N12" s="58"/>
      <c r="O12" s="58"/>
      <c r="P12" s="243" t="s">
        <v>95</v>
      </c>
      <c r="Q12" s="244"/>
      <c r="R12" s="245"/>
      <c r="S12" s="165"/>
      <c r="T12" s="165"/>
      <c r="U12" s="60"/>
      <c r="V12" s="60"/>
    </row>
    <row r="13" spans="1:25" s="75" customFormat="1" ht="18">
      <c r="A13" s="54"/>
      <c r="B13" s="62"/>
      <c r="C13" s="62"/>
      <c r="D13" s="62"/>
      <c r="E13" s="62"/>
      <c r="F13" s="55"/>
      <c r="G13" s="55"/>
      <c r="H13" s="55"/>
      <c r="I13" s="55"/>
      <c r="J13" s="190"/>
      <c r="K13" s="190"/>
      <c r="L13" s="55"/>
      <c r="M13" s="55"/>
      <c r="N13" s="55"/>
      <c r="O13" s="55"/>
      <c r="P13" s="158">
        <f>SUM(P5:P11)</f>
        <v>117418.5</v>
      </c>
      <c r="Q13" s="158">
        <f>SUM(Q5:Q11)</f>
        <v>0</v>
      </c>
      <c r="R13" s="158">
        <f>Q13-P13</f>
        <v>-117418.5</v>
      </c>
      <c r="S13" s="166"/>
      <c r="T13" s="171"/>
      <c r="U13" s="55"/>
      <c r="V13" s="56"/>
    </row>
    <row r="14" spans="1:25" s="180" customFormat="1" ht="22" customHeight="1">
      <c r="A14" s="181" t="s">
        <v>2940</v>
      </c>
      <c r="B14" s="178" t="s">
        <v>2968</v>
      </c>
      <c r="C14" s="178" t="s">
        <v>2968</v>
      </c>
      <c r="D14" s="178" t="s">
        <v>2968</v>
      </c>
      <c r="E14" s="128" t="s">
        <v>132</v>
      </c>
      <c r="F14" s="174" t="s">
        <v>2943</v>
      </c>
      <c r="G14" s="128" t="str">
        <f>_xlfn.IFNA(IF(VLOOKUP($F14,'[1]3.框架内物料'!$A:$E,2,0)=0,"请勿填写",VLOOKUP($F14,'[1]3.框架内物料'!$A:$E,2,0)),"")</f>
        <v>M939882581652185090</v>
      </c>
      <c r="H14" s="201" t="str">
        <f>_xlfn.IFNA(VLOOKUP($F14,'[1]3.框架内物料'!$A:$E,4,0),"")</f>
        <v>服务费税费-项目服务费-项目服务费-制作搭建、AVL设备、第三方人员服务费-服务费比例</v>
      </c>
      <c r="I14" s="128" t="str">
        <f>_xlfn.IFNA(VLOOKUP($F14,'[1]3.框架内物料'!$A:$E,5,0),"")</f>
        <v>项</v>
      </c>
      <c r="J14" s="188">
        <f>_xlfn.IFNA(VLOOKUP($F14,'[1]3.框架内物料'!$A:$F,6,0),"")</f>
        <v>0.1</v>
      </c>
      <c r="K14" s="188">
        <f>_xlfn.IFNA(VLOOKUP($F14,'[1]3.框架内物料'!$A:$F,6,0),"")</f>
        <v>0.1</v>
      </c>
      <c r="L14" s="67">
        <f>P4</f>
        <v>2650</v>
      </c>
      <c r="M14" s="67"/>
      <c r="N14" s="67">
        <v>1</v>
      </c>
      <c r="O14" s="67"/>
      <c r="P14" s="175">
        <f>IFERROR(N14*L14*J14,0)</f>
        <v>265</v>
      </c>
      <c r="Q14" s="175">
        <f t="shared" ref="Q14:Q17" si="13">IFERROR(O14*M14*K14,0)</f>
        <v>0</v>
      </c>
      <c r="R14" s="182">
        <f t="shared" ref="R14" si="14">Q14-P14</f>
        <v>-265</v>
      </c>
      <c r="S14" s="177">
        <v>0.06</v>
      </c>
      <c r="T14" s="177">
        <v>0</v>
      </c>
      <c r="U14" s="179"/>
      <c r="V14" s="178"/>
    </row>
    <row r="15" spans="1:25" s="180" customFormat="1" ht="22" customHeight="1">
      <c r="A15" s="181" t="s">
        <v>2940</v>
      </c>
      <c r="B15" s="178" t="s">
        <v>2968</v>
      </c>
      <c r="C15" s="178" t="s">
        <v>2968</v>
      </c>
      <c r="D15" s="178" t="s">
        <v>2968</v>
      </c>
      <c r="E15" s="128" t="s">
        <v>132</v>
      </c>
      <c r="F15" s="174" t="s">
        <v>2942</v>
      </c>
      <c r="G15" s="128" t="str">
        <f>_xlfn.IFNA(IF(VLOOKUP($F15,'[1]3.框架内物料'!$A:$E,2,0)=0,"请勿填写",VLOOKUP($F15,'[1]3.框架内物料'!$A:$E,2,0)),"")</f>
        <v>M939882610784714754</v>
      </c>
      <c r="H15" s="201" t="str">
        <f>_xlfn.IFNA(VLOOKUP($F15,'[1]3.框架内物料'!$A:$E,4,0),"")</f>
        <v>服务费税费-项目服务费-项目服务费-机票、用车、用餐等第三方资源-服务费比例</v>
      </c>
      <c r="I15" s="128" t="str">
        <f>_xlfn.IFNA(VLOOKUP($F15,'[1]3.框架内物料'!$A:$E,5,0),"")</f>
        <v>项</v>
      </c>
      <c r="J15" s="188">
        <f>_xlfn.IFNA(VLOOKUP($F15,'[1]3.框架内物料'!$A:$F,6,0),"")</f>
        <v>0.06</v>
      </c>
      <c r="K15" s="188">
        <f>_xlfn.IFNA(VLOOKUP($F15,'[1]3.框架内物料'!$A:$F,6,0),"")</f>
        <v>0.06</v>
      </c>
      <c r="L15" s="67">
        <f>P13-P5-P8</f>
        <v>14768.5</v>
      </c>
      <c r="M15" s="67"/>
      <c r="N15" s="67">
        <v>1</v>
      </c>
      <c r="O15" s="67"/>
      <c r="P15" s="175">
        <f>IFERROR(N15*L15*J15,0)</f>
        <v>886.11</v>
      </c>
      <c r="Q15" s="175">
        <f t="shared" si="13"/>
        <v>0</v>
      </c>
      <c r="R15" s="182">
        <f t="shared" ref="R15" si="15">Q15-P15</f>
        <v>-886.11</v>
      </c>
      <c r="S15" s="177">
        <v>0.06</v>
      </c>
      <c r="T15" s="177">
        <v>0</v>
      </c>
      <c r="U15" s="179" t="s">
        <v>2965</v>
      </c>
      <c r="V15" s="178"/>
    </row>
    <row r="16" spans="1:25" s="180" customFormat="1" ht="22" customHeight="1">
      <c r="A16" s="181" t="s">
        <v>2940</v>
      </c>
      <c r="B16" s="178" t="s">
        <v>2968</v>
      </c>
      <c r="C16" s="178" t="s">
        <v>2968</v>
      </c>
      <c r="D16" s="178" t="s">
        <v>2968</v>
      </c>
      <c r="E16" s="128" t="s">
        <v>132</v>
      </c>
      <c r="F16" s="174" t="s">
        <v>2942</v>
      </c>
      <c r="G16" s="128" t="str">
        <f>_xlfn.IFNA(IF(VLOOKUP($F16,'[1]3.框架内物料'!$A:$E,2,0)=0,"请勿填写",VLOOKUP($F16,'[1]3.框架内物料'!$A:$E,2,0)),"")</f>
        <v>M939882610784714754</v>
      </c>
      <c r="H16" s="201" t="str">
        <f>_xlfn.IFNA(VLOOKUP($F16,'[1]3.框架内物料'!$A:$E,4,0),"")</f>
        <v>服务费税费-项目服务费-项目服务费-机票、用车、用餐等第三方资源-服务费比例</v>
      </c>
      <c r="I16" s="128" t="str">
        <f>_xlfn.IFNA(VLOOKUP($F16,'[1]3.框架内物料'!$A:$E,5,0),"")</f>
        <v>项</v>
      </c>
      <c r="J16" s="188">
        <f>_xlfn.IFNA(VLOOKUP($F16,'[1]3.框架内物料'!$A:$F,6,0),"")</f>
        <v>0.06</v>
      </c>
      <c r="K16" s="188">
        <f>_xlfn.IFNA(VLOOKUP($F16,'[1]3.框架内物料'!$A:$F,6,0),"")</f>
        <v>0.06</v>
      </c>
      <c r="L16" s="67">
        <f>P5+P8</f>
        <v>102650</v>
      </c>
      <c r="M16" s="67"/>
      <c r="N16" s="67">
        <v>1</v>
      </c>
      <c r="O16" s="67"/>
      <c r="P16" s="175">
        <f>IFERROR(N16*L16*J16,0)</f>
        <v>6159</v>
      </c>
      <c r="Q16" s="175">
        <f t="shared" si="13"/>
        <v>0</v>
      </c>
      <c r="R16" s="182">
        <f t="shared" ref="R16" si="16">Q16-P16</f>
        <v>-6159</v>
      </c>
      <c r="S16" s="177">
        <v>0.06</v>
      </c>
      <c r="T16" s="177">
        <v>0</v>
      </c>
      <c r="U16" s="179" t="s">
        <v>2964</v>
      </c>
      <c r="V16" s="178"/>
    </row>
    <row r="17" spans="1:22" s="180" customFormat="1" ht="22" customHeight="1">
      <c r="A17" s="181" t="s">
        <v>2947</v>
      </c>
      <c r="B17" s="178" t="s">
        <v>2969</v>
      </c>
      <c r="C17" s="178" t="s">
        <v>2969</v>
      </c>
      <c r="D17" s="178" t="s">
        <v>2969</v>
      </c>
      <c r="E17" s="128" t="s">
        <v>132</v>
      </c>
      <c r="F17" s="174" t="s">
        <v>2946</v>
      </c>
      <c r="G17" s="128" t="str">
        <f>_xlfn.IFNA(IF(VLOOKUP($F17,'[1]3.框架内物料'!$A:$E,2,0)=0,"请勿填写",VLOOKUP($F17,'[1]3.框架内物料'!$A:$E,2,0)),"")</f>
        <v>M939882723582132226</v>
      </c>
      <c r="H17" s="201" t="str">
        <f>_xlfn.IFNA(VLOOKUP($F17,'[1]3.框架内物料'!$A:$E,4,0),"")</f>
        <v>服务费税费-项目税费-项目税费-机票、用车、用餐等第三方资源-增值税比例</v>
      </c>
      <c r="I17" s="128" t="str">
        <f>_xlfn.IFNA(VLOOKUP($F17,'[1]3.框架内物料'!$A:$E,5,0),"")</f>
        <v>项</v>
      </c>
      <c r="J17" s="188">
        <f>_xlfn.IFNA(VLOOKUP($F17,'[1]3.框架内物料'!$A:$F,6,0),"")</f>
        <v>0.06</v>
      </c>
      <c r="K17" s="188">
        <f>_xlfn.IFNA(VLOOKUP($F17,'[1]3.框架内物料'!$A:$F,6,0),"")</f>
        <v>0.06</v>
      </c>
      <c r="L17" s="67">
        <f>P16</f>
        <v>6159</v>
      </c>
      <c r="M17" s="67"/>
      <c r="N17" s="67">
        <v>1</v>
      </c>
      <c r="O17" s="67"/>
      <c r="P17" s="175">
        <f>IFERROR(N17*L17*J17,0)</f>
        <v>369.53999999999996</v>
      </c>
      <c r="Q17" s="175">
        <f t="shared" si="13"/>
        <v>0</v>
      </c>
      <c r="R17" s="182">
        <f t="shared" ref="R17" si="17">Q17-P17</f>
        <v>-369.53999999999996</v>
      </c>
      <c r="S17" s="177">
        <v>0.06</v>
      </c>
      <c r="T17" s="177">
        <v>0</v>
      </c>
      <c r="U17" s="179" t="s">
        <v>2963</v>
      </c>
      <c r="V17" s="178"/>
    </row>
    <row r="18" spans="1:22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189"/>
      <c r="K18" s="189"/>
      <c r="L18" s="58"/>
      <c r="M18" s="58"/>
      <c r="N18" s="58"/>
      <c r="O18" s="58"/>
      <c r="P18" s="243" t="s">
        <v>121</v>
      </c>
      <c r="Q18" s="244"/>
      <c r="R18" s="245"/>
      <c r="S18" s="165"/>
      <c r="T18" s="165"/>
      <c r="U18" s="60"/>
      <c r="V18" s="60" t="s">
        <v>170</v>
      </c>
    </row>
    <row r="19" spans="1:22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190"/>
      <c r="K19" s="190"/>
      <c r="L19" s="55"/>
      <c r="M19" s="55"/>
      <c r="N19" s="55"/>
      <c r="O19" s="55"/>
      <c r="P19" s="158">
        <f>SUM(P14:P17)</f>
        <v>7679.6500000000005</v>
      </c>
      <c r="Q19" s="158">
        <f>SUM(Q14:Q17)</f>
        <v>0</v>
      </c>
      <c r="R19" s="158">
        <f>Q19-P19</f>
        <v>-7679.6500000000005</v>
      </c>
      <c r="S19" s="166"/>
      <c r="T19" s="171"/>
      <c r="U19" s="55"/>
      <c r="V19" s="56"/>
    </row>
    <row r="20" spans="1:22" s="75" customFormat="1" ht="18">
      <c r="A20" s="59"/>
      <c r="B20" s="85"/>
      <c r="C20" s="85"/>
      <c r="D20" s="85"/>
      <c r="E20" s="85"/>
      <c r="F20" s="86"/>
      <c r="G20" s="85"/>
      <c r="H20" s="202"/>
      <c r="I20" s="85"/>
      <c r="J20" s="191"/>
      <c r="K20" s="192"/>
      <c r="L20" s="89"/>
      <c r="M20" s="89"/>
      <c r="N20" s="89"/>
      <c r="O20" s="89"/>
      <c r="P20" s="241" t="s">
        <v>169</v>
      </c>
      <c r="Q20" s="241"/>
      <c r="R20" s="242"/>
      <c r="S20" s="167"/>
      <c r="T20" s="167"/>
      <c r="U20" s="141"/>
      <c r="V20" s="141"/>
    </row>
    <row r="21" spans="1:22" ht="18">
      <c r="A21" s="90"/>
      <c r="B21" s="92"/>
      <c r="C21" s="92"/>
      <c r="D21" s="92"/>
      <c r="E21" s="92"/>
      <c r="F21" s="91"/>
      <c r="G21" s="91"/>
      <c r="H21" s="91"/>
      <c r="I21" s="91"/>
      <c r="J21" s="193"/>
      <c r="K21" s="193"/>
      <c r="L21" s="91"/>
      <c r="M21" s="91"/>
      <c r="N21" s="91"/>
      <c r="O21" s="91"/>
      <c r="P21" s="159">
        <f>SUM(P19,P13,P4)</f>
        <v>127748.15</v>
      </c>
      <c r="Q21" s="159">
        <f>SUM(Q19,Q13,Q4)</f>
        <v>0</v>
      </c>
      <c r="R21" s="159">
        <f>Q21-P21</f>
        <v>-127748.15</v>
      </c>
      <c r="S21" s="168"/>
      <c r="T21" s="172"/>
      <c r="U21" s="94"/>
      <c r="V21" s="95"/>
    </row>
    <row r="22" spans="1:22" s="180" customFormat="1" ht="22" customHeight="1">
      <c r="A22" s="173" t="s">
        <v>126</v>
      </c>
      <c r="B22" s="183"/>
      <c r="C22" s="183"/>
      <c r="D22" s="183"/>
      <c r="E22" s="173" t="s">
        <v>126</v>
      </c>
      <c r="F22" s="183"/>
      <c r="G22" s="183"/>
      <c r="H22" s="184" t="s">
        <v>127</v>
      </c>
      <c r="I22" s="128" t="s">
        <v>15</v>
      </c>
      <c r="J22" s="198" t="s">
        <v>2966</v>
      </c>
      <c r="K22" s="198" t="s">
        <v>2966</v>
      </c>
      <c r="L22" s="185">
        <v>1</v>
      </c>
      <c r="M22" s="185">
        <v>1</v>
      </c>
      <c r="N22" s="185">
        <v>1</v>
      </c>
      <c r="O22" s="185">
        <v>1</v>
      </c>
      <c r="P22" s="175">
        <f>J22*L22*N22</f>
        <v>0</v>
      </c>
      <c r="Q22" s="176">
        <f>K22*M22*O22</f>
        <v>0</v>
      </c>
      <c r="R22" s="176">
        <f>Q22-P22</f>
        <v>0</v>
      </c>
      <c r="S22" s="177">
        <v>0.06</v>
      </c>
      <c r="T22" s="177">
        <v>0</v>
      </c>
      <c r="U22" s="179"/>
      <c r="V22" s="179"/>
    </row>
    <row r="23" spans="1:22" s="75" customFormat="1" ht="18">
      <c r="A23" s="59"/>
      <c r="B23" s="85"/>
      <c r="C23" s="85"/>
      <c r="D23" s="85"/>
      <c r="E23" s="85"/>
      <c r="F23" s="86"/>
      <c r="G23" s="85"/>
      <c r="H23" s="202"/>
      <c r="I23" s="85"/>
      <c r="J23" s="191"/>
      <c r="K23" s="192"/>
      <c r="L23" s="89"/>
      <c r="M23" s="89"/>
      <c r="N23" s="89"/>
      <c r="O23" s="89"/>
      <c r="P23" s="241" t="s">
        <v>133</v>
      </c>
      <c r="Q23" s="241"/>
      <c r="R23" s="242"/>
      <c r="S23" s="167"/>
      <c r="T23" s="167"/>
      <c r="U23" s="141"/>
      <c r="V23" s="141"/>
    </row>
    <row r="24" spans="1:22" ht="18">
      <c r="A24" s="90"/>
      <c r="B24" s="92"/>
      <c r="C24" s="92"/>
      <c r="D24" s="92"/>
      <c r="E24" s="92"/>
      <c r="F24" s="91"/>
      <c r="G24" s="91"/>
      <c r="H24" s="91"/>
      <c r="I24" s="91"/>
      <c r="J24" s="193"/>
      <c r="K24" s="193"/>
      <c r="L24" s="91"/>
      <c r="M24" s="91"/>
      <c r="N24" s="91"/>
      <c r="O24" s="91"/>
      <c r="P24" s="159">
        <f>SUM(P21,P22)</f>
        <v>127748.15</v>
      </c>
      <c r="Q24" s="159">
        <f>SUM(Q21,Q22)</f>
        <v>0</v>
      </c>
      <c r="R24" s="159">
        <f>Q24-P24</f>
        <v>-127748.15</v>
      </c>
      <c r="S24" s="168"/>
      <c r="T24" s="172"/>
      <c r="U24" s="94"/>
      <c r="V24" s="95"/>
    </row>
    <row r="25" spans="1:22" ht="54" customHeight="1">
      <c r="A25" s="99"/>
      <c r="C25" s="100"/>
      <c r="D25" s="100"/>
      <c r="E25" s="100"/>
      <c r="F25" s="99"/>
      <c r="G25" s="99"/>
      <c r="H25" s="99"/>
      <c r="I25" s="99"/>
      <c r="J25" s="194"/>
      <c r="K25" s="221"/>
      <c r="L25" s="221"/>
      <c r="M25" s="221"/>
      <c r="N25" s="221"/>
      <c r="P25" s="160">
        <f>SUMIF(E1:E21,"框架内",P1:P21)/(P24-P22)</f>
        <v>8.0859487984757519E-2</v>
      </c>
      <c r="Q25" s="160" t="e">
        <f>SUMIF(E1:E21,"框架内",Q1:Q21)/(Q24-Q22)</f>
        <v>#DIV/0!</v>
      </c>
      <c r="R25" s="161" t="s">
        <v>100</v>
      </c>
      <c r="S25" s="169"/>
      <c r="T25" s="169"/>
    </row>
    <row r="26" spans="1:22" ht="54" customHeight="1">
      <c r="A26" s="99"/>
      <c r="C26" s="100"/>
      <c r="D26" s="100"/>
      <c r="E26" s="100"/>
      <c r="F26" s="99"/>
      <c r="G26" s="99"/>
      <c r="H26" s="99"/>
      <c r="I26" s="99"/>
      <c r="J26" s="194"/>
      <c r="K26" s="221"/>
      <c r="L26" s="221"/>
      <c r="M26" s="221"/>
      <c r="N26" s="221"/>
      <c r="P26" s="160">
        <f ca="1">SUMIF(E1:E22,"框架外",P1:P21)/(P24-P22)</f>
        <v>0</v>
      </c>
      <c r="Q26" s="160" t="e">
        <f ca="1">SUMIF(E1:E22,"框架外",Q1:Q21)/(Q24-Q22)</f>
        <v>#DIV/0!</v>
      </c>
      <c r="R26" s="161" t="s">
        <v>99</v>
      </c>
      <c r="S26" s="169"/>
      <c r="T26" s="169"/>
    </row>
    <row r="27" spans="1:22" ht="54" customHeight="1">
      <c r="A27" s="99"/>
      <c r="C27" s="100"/>
      <c r="D27" s="100"/>
      <c r="E27" s="100"/>
      <c r="F27" s="99"/>
      <c r="G27" s="99"/>
      <c r="H27" s="99"/>
      <c r="I27" s="99"/>
      <c r="J27" s="194"/>
      <c r="P27" s="160">
        <f ca="1">SUMIF(E1:E22,"据实结算",P1:P21)/(P24-P22)</f>
        <v>0.91914051201524249</v>
      </c>
      <c r="Q27" s="160" t="e">
        <f ca="1">SUMIF(E1:E22,"据实结算",Q1:Q21)/(Q24-Q22)</f>
        <v>#DIV/0!</v>
      </c>
      <c r="R27" s="161" t="s">
        <v>98</v>
      </c>
      <c r="S27" s="169"/>
      <c r="T27" s="169"/>
    </row>
    <row r="28" spans="1:22">
      <c r="K28" s="197"/>
      <c r="L28" s="104"/>
      <c r="M28" s="104"/>
      <c r="N28" s="104"/>
    </row>
  </sheetData>
  <sheetProtection formatCells="0" formatColumns="0" formatRows="0" insertRows="0" insertHyperlinks="0" deleteRows="0" autoFilter="0"/>
  <mergeCells count="7">
    <mergeCell ref="K25:N25"/>
    <mergeCell ref="K26:N26"/>
    <mergeCell ref="P23:R23"/>
    <mergeCell ref="P3:R3"/>
    <mergeCell ref="P20:R20"/>
    <mergeCell ref="P12:R12"/>
    <mergeCell ref="P18:R18"/>
  </mergeCells>
  <phoneticPr fontId="8" type="noConversion"/>
  <conditionalFormatting sqref="A2:A13">
    <cfRule type="containsText" dxfId="4" priority="1" operator="containsText" text="填写">
      <formula>NOT(ISERROR(SEARCH("填写",A2)))</formula>
    </cfRule>
  </conditionalFormatting>
  <conditionalFormatting sqref="A14:A17">
    <cfRule type="containsText" dxfId="3" priority="2" operator="containsText" text="填写">
      <formula>NOT(ISERROR(SEARCH("填写",A14)))</formula>
    </cfRule>
  </conditionalFormatting>
  <conditionalFormatting sqref="A18:A20">
    <cfRule type="containsText" dxfId="2" priority="12" operator="containsText" text="填写">
      <formula>NOT(ISERROR(SEARCH("填写",A18)))</formula>
    </cfRule>
  </conditionalFormatting>
  <conditionalFormatting sqref="A22:A23">
    <cfRule type="containsText" dxfId="1" priority="13" operator="containsText" text="填写">
      <formula>NOT(ISERROR(SEARCH("填写",A22)))</formula>
    </cfRule>
  </conditionalFormatting>
  <conditionalFormatting sqref="E22">
    <cfRule type="containsText" dxfId="0" priority="14" operator="containsText" text="填写">
      <formula>NOT(ISERROR(SEARCH("填写",E22)))</formula>
    </cfRule>
  </conditionalFormatting>
  <dataValidations count="7">
    <dataValidation type="list" allowBlank="1" showInputMessage="1" showErrorMessage="1" sqref="H24" xr:uid="{00000000-0002-0000-0100-000000000000}">
      <formula1>"是,否"</formula1>
    </dataValidation>
    <dataValidation type="list" allowBlank="1" showInputMessage="1" showErrorMessage="1" sqref="K24" xr:uid="{C24F6F68-857E-5647-839A-4F75562B89C0}">
      <formula1>"0%,1%,3%,6%,13%"</formula1>
    </dataValidation>
    <dataValidation type="list" allowBlank="1" showInputMessage="1" showErrorMessage="1" sqref="D24" xr:uid="{9D1B43E1-175E-4C49-8176-43558324F529}">
      <formula1>"CNY, USD, JPY , HKD"</formula1>
    </dataValidation>
    <dataValidation type="list" allowBlank="1" showInputMessage="1" showErrorMessage="1" sqref="S22 S14:S17 S2 S5:S11" xr:uid="{D7CC39CF-95DC-A64C-A7F7-4CBF33920DCC}">
      <formula1>"0%,1%,3%,6%,9%"</formula1>
    </dataValidation>
    <dataValidation type="list" allowBlank="1" showInputMessage="1" showErrorMessage="1" sqref="A22 E2:E1048576" xr:uid="{E31F6826-CA0D-4785-A20D-8ABED6E0F88E}">
      <formula1>"框架内,框架外,据实结算"</formula1>
    </dataValidation>
    <dataValidation type="list" allowBlank="1" showInputMessage="1" showErrorMessage="1" sqref="A23:A1048576 A2:A21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F23 F20 F14:F17 F5:F11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248" activePane="bottomLeft" state="frozen"/>
      <selection activeCell="C23" sqref="C23:D23"/>
      <selection pane="bottomLeft" activeCell="D546" sqref="D546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2025-08-13T07:04:20Z</dcterms:modified>
</cp:coreProperties>
</file>