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0F6D83A0-167C-454B-A30F-C9F1C5CA2DE8}" xr6:coauthVersionLast="47" xr6:coauthVersionMax="47" xr10:uidLastSave="{00000000-0000-0000-0000-000000000000}"/>
  <bookViews>
    <workbookView xWindow="0" yWindow="0" windowWidth="30720" windowHeight="192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结算汇总" sheetId="15" r:id="rId4"/>
    <sheet name="2.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'2.结算清单'!$A$1:$V$32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4" l="1"/>
  <c r="Q27" i="14"/>
  <c r="Q25" i="14"/>
  <c r="Q19" i="14"/>
  <c r="Q5" i="14"/>
  <c r="P5" i="14"/>
  <c r="Q10" i="14"/>
  <c r="Q9" i="14"/>
  <c r="Q8" i="14"/>
  <c r="Q7" i="14"/>
  <c r="Q6" i="14"/>
  <c r="K2" i="14"/>
  <c r="Q2" i="14" s="1"/>
  <c r="J2" i="14"/>
  <c r="P2" i="14" s="1"/>
  <c r="I2" i="14"/>
  <c r="H2" i="14"/>
  <c r="G2" i="14"/>
  <c r="Q16" i="14"/>
  <c r="Q12" i="14"/>
  <c r="R12" i="14" s="1"/>
  <c r="K11" i="14"/>
  <c r="Q11" i="14" s="1"/>
  <c r="R11" i="14" s="1"/>
  <c r="I11" i="14"/>
  <c r="H11" i="14"/>
  <c r="G11" i="14"/>
  <c r="K10" i="14"/>
  <c r="R10" i="14" s="1"/>
  <c r="I10" i="14"/>
  <c r="H10" i="14"/>
  <c r="G10" i="14"/>
  <c r="K9" i="14"/>
  <c r="I9" i="14"/>
  <c r="H9" i="14"/>
  <c r="G9" i="14"/>
  <c r="G7" i="14"/>
  <c r="R2" i="14" l="1"/>
  <c r="R16" i="14"/>
  <c r="R9" i="14"/>
  <c r="R7" i="14"/>
  <c r="C15" i="15"/>
  <c r="K21" i="14" l="1"/>
  <c r="J21" i="14"/>
  <c r="I21" i="14"/>
  <c r="H21" i="14"/>
  <c r="G21" i="14"/>
  <c r="Q3" i="14"/>
  <c r="J3" i="14"/>
  <c r="I3" i="14"/>
  <c r="P13" i="14"/>
  <c r="Q13" i="14"/>
  <c r="L20" i="14" l="1"/>
  <c r="C12" i="15"/>
  <c r="R13" i="14"/>
  <c r="R3" i="14"/>
  <c r="R5" i="14" l="1"/>
  <c r="M20" i="14"/>
  <c r="E12" i="15"/>
  <c r="P17" i="14"/>
  <c r="P15" i="14"/>
  <c r="P14" i="14"/>
  <c r="P8" i="14"/>
  <c r="L22" i="14" s="1"/>
  <c r="P6" i="14"/>
  <c r="Q17" i="14"/>
  <c r="Q15" i="14"/>
  <c r="Q14" i="14"/>
  <c r="K23" i="14"/>
  <c r="J23" i="14"/>
  <c r="I23" i="14"/>
  <c r="H23" i="14"/>
  <c r="G23" i="14"/>
  <c r="K22" i="14"/>
  <c r="J22" i="14"/>
  <c r="I22" i="14"/>
  <c r="H22" i="14"/>
  <c r="G22" i="14"/>
  <c r="P19" i="14" l="1"/>
  <c r="R17" i="14"/>
  <c r="R14" i="14"/>
  <c r="R15" i="14"/>
  <c r="C13" i="15"/>
  <c r="C14" i="15" l="1"/>
  <c r="L21" i="14"/>
  <c r="K20" i="14"/>
  <c r="Q20" i="14" s="1"/>
  <c r="J20" i="14"/>
  <c r="I20" i="14"/>
  <c r="H20" i="14"/>
  <c r="G20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22" i="14"/>
  <c r="L23" i="14" s="1"/>
  <c r="Q22" i="14"/>
  <c r="M23" i="14" s="1"/>
  <c r="Q23" i="14" s="1"/>
  <c r="Q28" i="14"/>
  <c r="P28" i="14"/>
  <c r="R22" i="14" l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8" i="14"/>
  <c r="P20" i="14" l="1"/>
  <c r="R37" i="23"/>
  <c r="R70" i="23"/>
  <c r="R61" i="23"/>
  <c r="Q76" i="23"/>
  <c r="M77" i="23" s="1"/>
  <c r="Q77" i="23" s="1"/>
  <c r="R52" i="23"/>
  <c r="R19" i="23"/>
  <c r="P76" i="23"/>
  <c r="R46" i="23"/>
  <c r="R28" i="23"/>
  <c r="P21" i="14" l="1"/>
  <c r="R76" i="23"/>
  <c r="L77" i="23"/>
  <c r="P77" i="23" s="1"/>
  <c r="P80" i="23" s="1"/>
  <c r="P83" i="23" s="1"/>
  <c r="Q80" i="23"/>
  <c r="P86" i="23" l="1"/>
  <c r="P85" i="23"/>
  <c r="P84" i="23"/>
  <c r="R80" i="23"/>
  <c r="Q83" i="23"/>
  <c r="R77" i="23"/>
  <c r="R83" i="23" s="1"/>
  <c r="G8" i="14"/>
  <c r="M21" i="14"/>
  <c r="Q21" i="14" s="1"/>
  <c r="R21" i="14" s="1"/>
  <c r="G6" i="14"/>
  <c r="Q86" i="23" l="1"/>
  <c r="Q85" i="23"/>
  <c r="Q84" i="23"/>
  <c r="C16" i="15" l="1"/>
  <c r="E16" i="15"/>
  <c r="E15" i="15"/>
  <c r="E14" i="15"/>
  <c r="E13" i="15"/>
  <c r="C11" i="15"/>
  <c r="E11" i="15"/>
  <c r="R6" i="14"/>
  <c r="R8" i="14"/>
  <c r="E17" i="15" l="1"/>
  <c r="C17" i="15"/>
  <c r="R19" i="14"/>
  <c r="P23" i="14" l="1"/>
  <c r="R20" i="14"/>
  <c r="G20" i="15"/>
  <c r="P25" i="14" l="1"/>
  <c r="P27" i="14" s="1"/>
  <c r="R23" i="14"/>
  <c r="E18" i="15"/>
  <c r="C10" i="15"/>
  <c r="E10" i="15" l="1"/>
  <c r="C18" i="15"/>
  <c r="P30" i="14" l="1"/>
  <c r="G13" i="15"/>
  <c r="R25" i="14" l="1"/>
  <c r="C21" i="15"/>
  <c r="D12" i="15" l="1"/>
  <c r="D15" i="15"/>
  <c r="D14" i="15"/>
  <c r="D10" i="15"/>
  <c r="Q30" i="14"/>
  <c r="R30" i="14" s="1"/>
  <c r="R27" i="14"/>
  <c r="G14" i="15"/>
  <c r="G17" i="15"/>
  <c r="G18" i="15"/>
  <c r="G15" i="15" l="1"/>
  <c r="G16" i="15"/>
  <c r="G11" i="15"/>
  <c r="G10" i="15"/>
  <c r="G12" i="15"/>
  <c r="Q31" i="14" l="1"/>
  <c r="E22" i="15"/>
  <c r="Q33" i="14" l="1"/>
  <c r="Q32" i="14"/>
  <c r="E21" i="15"/>
  <c r="F20" i="15" l="1"/>
  <c r="C22" i="15" l="1"/>
  <c r="D20" i="15" s="1"/>
  <c r="P33" i="14"/>
  <c r="P32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1" i="14"/>
  <c r="D11" i="15" l="1"/>
  <c r="D21" i="15"/>
  <c r="D17" i="15"/>
  <c r="D16" i="15"/>
  <c r="G21" i="15"/>
  <c r="D13" i="15"/>
</calcChain>
</file>

<file path=xl/sharedStrings.xml><?xml version="1.0" encoding="utf-8"?>
<sst xmlns="http://schemas.openxmlformats.org/spreadsheetml/2006/main" count="8095" uniqueCount="3029">
  <si>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</si>
  <si>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</si>
  <si>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</si>
  <si>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</si>
  <si>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</si>
  <si>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</si>
  <si>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</si>
  <si>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</si>
  <si>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</si>
  <si>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</si>
  <si>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</si>
  <si>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</si>
  <si>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</si>
  <si>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</si>
  <si>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</si>
  <si>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</si>
  <si>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</si>
  <si>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</si>
  <si>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</si>
  <si>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</si>
  <si>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</si>
  <si>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</si>
  <si>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</si>
  <si>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</si>
  <si>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</si>
  <si>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</si>
  <si>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</si>
  <si>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</si>
  <si>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</si>
  <si>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</si>
  <si>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</si>
  <si>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</si>
  <si>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</si>
  <si>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</si>
  <si>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</si>
  <si>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</si>
  <si>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</si>
  <si>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</si>
  <si>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</si>
  <si>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</si>
  <si>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</si>
  <si>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</si>
  <si>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</si>
  <si>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</si>
  <si>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</si>
  <si>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</si>
  <si>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</si>
  <si>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</si>
  <si>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</si>
  <si>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</si>
  <si>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</si>
  <si>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</si>
  <si>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</si>
  <si>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</si>
  <si>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</si>
  <si>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</si>
  <si>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</si>
  <si>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</si>
  <si>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</si>
  <si>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</si>
  <si>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</si>
  <si>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</si>
  <si>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</si>
  <si>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</si>
  <si>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</si>
  <si>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</si>
  <si>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</si>
  <si>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</si>
  <si>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</si>
  <si>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</si>
  <si>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</si>
  <si>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</si>
  <si>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</si>
  <si>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</si>
  <si>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</si>
  <si>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</si>
  <si>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</si>
  <si>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</si>
  <si>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</si>
  <si>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</si>
  <si>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</si>
  <si>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</si>
  <si>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</si>
  <si>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</si>
  <si>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</si>
  <si>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</si>
  <si>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</si>
  <si>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</si>
  <si>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</si>
  <si>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</si>
  <si>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</si>
  <si>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</si>
  <si>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</si>
  <si>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</si>
  <si>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</si>
  <si>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</si>
  <si>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</si>
  <si>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</si>
  <si>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</si>
  <si>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</si>
  <si>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</si>
  <si>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</si>
  <si>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</si>
  <si>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</si>
  <si>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</si>
  <si>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</si>
  <si>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</si>
  <si>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</si>
  <si>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</si>
  <si>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</si>
  <si>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</si>
  <si>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</si>
  <si>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</si>
  <si>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</si>
  <si>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</si>
  <si>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</si>
  <si>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</si>
  <si>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</si>
  <si>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</si>
  <si>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</si>
  <si>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</si>
  <si>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</si>
  <si>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</si>
  <si>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</si>
  <si>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</si>
  <si>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</si>
  <si>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</si>
  <si>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</si>
  <si>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</si>
  <si>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</si>
  <si>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</si>
  <si>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</si>
  <si>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</si>
  <si>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</si>
  <si>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</si>
  <si>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</si>
  <si>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</si>
  <si>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</si>
  <si>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</si>
  <si>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</si>
  <si>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</si>
  <si>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</si>
  <si>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</si>
  <si>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</si>
  <si>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</si>
  <si>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</si>
  <si>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</si>
  <si>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</si>
  <si>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</si>
  <si>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</si>
  <si>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</si>
  <si>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</si>
  <si>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</si>
  <si>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</si>
  <si>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</si>
  <si>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</si>
  <si>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</si>
  <si>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</si>
  <si>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</si>
  <si>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</si>
  <si>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</si>
  <si>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</si>
  <si>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</si>
  <si>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</si>
  <si>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</si>
  <si>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</si>
  <si>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</si>
  <si>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</si>
  <si>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</si>
  <si>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</si>
  <si>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</si>
  <si>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</si>
  <si>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</si>
  <si>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</si>
  <si>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</si>
  <si>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</si>
  <si>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</si>
  <si>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</si>
  <si>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</si>
  <si>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</si>
  <si>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</si>
  <si>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</si>
  <si>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</si>
  <si>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</si>
  <si>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</si>
  <si>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</si>
  <si>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</si>
  <si>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</si>
  <si>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</si>
  <si>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</si>
  <si>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</si>
  <si>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</si>
  <si>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</si>
  <si>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</si>
  <si>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</si>
  <si>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</si>
  <si>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</si>
  <si>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</si>
  <si>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</si>
  <si>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</si>
  <si>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</si>
  <si>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</si>
  <si>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</si>
  <si>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</si>
  <si>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</si>
  <si>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</si>
  <si>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</si>
  <si>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</si>
  <si>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</si>
  <si>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</si>
  <si>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</si>
  <si>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</si>
  <si>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</si>
  <si>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</si>
  <si>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</si>
  <si>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</si>
  <si>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</si>
  <si>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</si>
  <si>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</si>
  <si>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</si>
  <si>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</si>
  <si>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</si>
  <si>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</si>
  <si>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</si>
  <si>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</si>
  <si>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</si>
  <si>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</si>
  <si>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</si>
  <si>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</si>
  <si>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</si>
  <si>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</si>
  <si>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</si>
  <si>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</si>
  <si>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</si>
  <si>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</si>
  <si>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</si>
  <si>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</si>
  <si>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</si>
  <si>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</si>
  <si>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</si>
  <si>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</si>
  <si>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</si>
  <si>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</si>
  <si>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</si>
  <si>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</si>
  <si>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</si>
  <si>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</si>
  <si>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</si>
  <si>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</si>
  <si>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</si>
  <si>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</si>
  <si>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</si>
  <si>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</si>
  <si>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</si>
  <si>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</si>
  <si>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</si>
  <si>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</si>
  <si>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</si>
  <si>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</si>
  <si>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</si>
  <si>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</si>
  <si>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</si>
  <si>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</si>
  <si>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</si>
  <si>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</si>
  <si>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</si>
  <si>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</si>
  <si>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</si>
  <si>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</si>
  <si>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</si>
  <si>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</si>
  <si>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</si>
  <si>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</si>
  <si>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</si>
  <si>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</si>
  <si>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</si>
  <si>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</si>
  <si>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</si>
  <si>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</si>
  <si>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</si>
  <si>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</si>
  <si>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</si>
  <si>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</si>
  <si>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</si>
  <si>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</si>
  <si>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</si>
  <si>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</si>
  <si>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</si>
  <si>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</si>
  <si>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</si>
  <si>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</si>
  <si>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</si>
  <si>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</si>
  <si>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</si>
  <si>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</si>
  <si>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</si>
  <si>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</si>
  <si>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</si>
  <si>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</si>
  <si>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</si>
  <si>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</si>
  <si>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</si>
  <si>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</si>
  <si>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</si>
  <si>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</si>
  <si>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</si>
  <si>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</si>
  <si>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</si>
  <si>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</si>
  <si>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</si>
  <si>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</si>
  <si>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</si>
  <si>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</si>
  <si>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</si>
  <si>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</si>
  <si>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</si>
  <si>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</si>
  <si>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</si>
  <si>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</si>
  <si>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</si>
  <si>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</si>
  <si>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</si>
  <si>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</si>
  <si>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</si>
  <si>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</si>
  <si>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</si>
  <si>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</si>
  <si>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</si>
  <si>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</si>
  <si>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</si>
  <si>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</si>
  <si>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</si>
  <si>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</si>
  <si>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</si>
  <si>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</si>
  <si>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</si>
  <si>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</si>
  <si>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</si>
  <si>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</si>
  <si>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</si>
  <si>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</si>
  <si>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</si>
  <si>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</si>
  <si>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</si>
  <si>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</si>
  <si>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</si>
  <si>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</si>
  <si>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</si>
  <si>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</si>
  <si>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</si>
  <si>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</si>
  <si>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</si>
  <si>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</si>
  <si>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</si>
  <si>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</si>
  <si>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</si>
  <si>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</si>
  <si>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</si>
  <si>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</si>
  <si>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</si>
  <si>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</si>
  <si>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</si>
  <si>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</si>
  <si>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</si>
  <si>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</si>
  <si>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</si>
  <si>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</si>
  <si>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</si>
  <si>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</si>
  <si>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</si>
  <si>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</si>
  <si>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</si>
  <si>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</si>
  <si>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</si>
  <si>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</si>
  <si>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</si>
  <si>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</si>
  <si>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</si>
  <si>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</si>
  <si>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</si>
  <si>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</si>
  <si>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</si>
  <si>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</si>
  <si>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</si>
  <si>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</si>
  <si>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</si>
  <si>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</si>
  <si>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</si>
  <si>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</si>
  <si>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</si>
  <si>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</si>
  <si>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</si>
  <si>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</si>
  <si>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</si>
  <si>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</si>
  <si>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</si>
  <si>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</si>
  <si>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</si>
  <si>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</si>
  <si>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</si>
  <si>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</si>
  <si>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</si>
  <si>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</si>
  <si>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</si>
  <si>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</si>
  <si>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</si>
  <si>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</si>
  <si>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</si>
  <si>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</si>
  <si>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</si>
  <si>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</si>
  <si>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</si>
  <si>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</si>
  <si>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</si>
  <si>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</si>
  <si>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</si>
  <si>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</si>
  <si>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</si>
  <si>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</si>
  <si>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</si>
  <si>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</si>
  <si>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</si>
  <si>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</si>
  <si>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</si>
  <si>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</si>
  <si>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</si>
  <si>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</si>
  <si>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</si>
  <si>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</si>
  <si>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</si>
  <si>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</si>
  <si>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</si>
  <si>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</si>
  <si>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</si>
  <si>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</si>
  <si>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</si>
  <si>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</si>
  <si>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</si>
  <si>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</si>
  <si>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</si>
  <si>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</si>
  <si>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</si>
  <si>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</si>
  <si>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</si>
  <si>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</si>
  <si>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</si>
  <si>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</si>
  <si>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</si>
  <si>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</si>
  <si>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</si>
  <si>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</si>
  <si>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</si>
  <si>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</si>
  <si>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</si>
  <si>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</si>
  <si>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</si>
  <si>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</si>
  <si>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</si>
  <si>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</si>
  <si>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</si>
  <si>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</si>
  <si>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</si>
  <si>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</si>
  <si>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</si>
  <si>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</si>
  <si>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</si>
  <si>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</si>
  <si>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</si>
  <si>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</si>
  <si>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</si>
  <si>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</si>
  <si>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</si>
  <si>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</si>
  <si>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</si>
  <si>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</si>
  <si>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</si>
  <si>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</si>
  <si>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</si>
  <si>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</si>
  <si>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</si>
  <si>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</si>
  <si>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</si>
  <si>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</si>
  <si>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</si>
  <si>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</si>
  <si>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</si>
  <si>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</si>
  <si>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</si>
  <si>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</si>
  <si>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</si>
  <si>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</si>
  <si>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</si>
  <si>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</si>
  <si>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</si>
  <si>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</si>
  <si>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</si>
  <si>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</si>
  <si>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</si>
  <si>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</si>
  <si>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</si>
  <si>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</si>
  <si>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</si>
  <si>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</si>
  <si>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</si>
  <si>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</si>
  <si>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</si>
  <si>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</si>
  <si>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</si>
  <si>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</si>
  <si>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</si>
  <si>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</si>
  <si>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</si>
  <si>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</si>
  <si>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</si>
  <si>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</si>
  <si>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</si>
  <si>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</si>
  <si>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</si>
  <si>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</si>
  <si>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</si>
  <si>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</si>
  <si>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</si>
  <si>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</si>
  <si>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</si>
  <si>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</si>
  <si>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</si>
  <si>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</si>
  <si>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</si>
  <si>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</si>
  <si>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</si>
  <si>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</si>
  <si>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</si>
  <si>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</si>
  <si>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</si>
  <si>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</si>
  <si>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</si>
  <si>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</si>
  <si>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</si>
  <si>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</si>
  <si>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</si>
  <si>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</si>
  <si>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</si>
  <si>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</si>
  <si>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</si>
  <si>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</si>
  <si>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</si>
  <si>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</si>
  <si>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</si>
  <si>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</si>
  <si>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</si>
  <si>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</si>
  <si>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</si>
  <si>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</si>
  <si>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</si>
  <si>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</si>
  <si>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</si>
  <si>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</si>
  <si>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</si>
  <si>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</si>
  <si>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</si>
  <si>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</si>
  <si>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</si>
  <si>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</si>
  <si>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</si>
  <si>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</si>
  <si>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</si>
  <si>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</si>
  <si>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</si>
  <si>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</si>
  <si>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</si>
  <si>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</si>
  <si>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</si>
  <si>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</si>
  <si>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</si>
  <si>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</si>
  <si>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</si>
  <si>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</si>
  <si>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</si>
  <si>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</si>
  <si>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</si>
  <si>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</si>
  <si>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</si>
  <si>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</si>
  <si>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</si>
  <si>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</si>
  <si>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</si>
  <si>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</si>
  <si>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</si>
  <si>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</si>
  <si>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</si>
  <si>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</si>
  <si>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</si>
  <si>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</si>
  <si>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</si>
  <si>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</si>
  <si>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</si>
  <si>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</si>
  <si>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</si>
  <si>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</si>
  <si>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</si>
  <si>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</si>
  <si>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</si>
  <si>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</si>
  <si>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</si>
  <si>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</si>
  <si>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</si>
  <si>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</si>
  <si>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</si>
  <si>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</si>
  <si>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</si>
  <si>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</si>
  <si>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</si>
  <si>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</si>
  <si>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</si>
  <si>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</si>
  <si>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</si>
  <si>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</si>
  <si>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</si>
  <si>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</si>
  <si>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</si>
  <si>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</si>
  <si>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</si>
  <si>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</si>
  <si>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</si>
  <si>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</si>
  <si>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</si>
  <si>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</si>
  <si>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</si>
  <si>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</si>
  <si>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</si>
  <si>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</si>
  <si>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</si>
  <si>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</si>
  <si>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</si>
  <si>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</si>
  <si>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</si>
  <si>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</si>
  <si>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</si>
  <si>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</si>
  <si>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</si>
  <si>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</si>
  <si>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</si>
  <si>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</si>
  <si>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</si>
  <si>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</si>
  <si>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</si>
  <si>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</si>
  <si>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</si>
  <si>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</si>
  <si>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</si>
  <si>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</si>
  <si>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</si>
  <si>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</si>
  <si>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</si>
  <si>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</si>
  <si>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</si>
  <si>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</si>
  <si>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</si>
  <si>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</si>
  <si>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</si>
  <si>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</si>
  <si>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</si>
  <si>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</si>
  <si>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</si>
  <si>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</si>
  <si>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</si>
  <si>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</si>
  <si>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</si>
  <si>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</si>
  <si>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</si>
  <si>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</si>
  <si>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</si>
  <si>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</si>
  <si>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</si>
  <si>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</si>
  <si>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</si>
  <si>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</si>
  <si>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</si>
  <si>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</si>
  <si>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</si>
  <si>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</si>
  <si>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</si>
  <si>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</si>
  <si>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</si>
  <si>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</si>
  <si>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</si>
  <si>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</si>
  <si>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</si>
  <si>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</si>
  <si>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</si>
  <si>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</si>
  <si>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</si>
  <si>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</si>
  <si>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</si>
  <si>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</si>
  <si>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</si>
  <si>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</si>
  <si>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</si>
  <si>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</si>
  <si>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</si>
  <si>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</si>
  <si>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</si>
  <si>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</si>
  <si>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</si>
  <si>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</si>
  <si>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</si>
  <si>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</si>
  <si>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</si>
  <si>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</si>
  <si>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</si>
  <si>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</si>
  <si>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</si>
  <si>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</si>
  <si>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</si>
  <si>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</si>
  <si>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</si>
  <si>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</si>
  <si>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</si>
  <si>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</si>
  <si>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</si>
  <si>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</si>
  <si>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</si>
  <si>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</si>
  <si>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</si>
  <si>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</si>
  <si>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</si>
  <si>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</si>
  <si>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</si>
  <si>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</si>
  <si>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</si>
  <si>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</si>
  <si>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</si>
  <si>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</si>
  <si>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</si>
  <si>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</si>
  <si>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</si>
  <si>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</si>
  <si>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</si>
  <si>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</si>
  <si>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</si>
  <si>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</si>
  <si>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</si>
  <si>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</si>
  <si>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</si>
  <si>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</si>
  <si>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</si>
  <si>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</si>
  <si>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</si>
  <si>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</si>
  <si>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</si>
  <si>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</si>
  <si>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</si>
  <si>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</si>
  <si>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</si>
  <si>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</si>
  <si>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</si>
  <si>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</si>
  <si>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</si>
  <si>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</si>
  <si>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</si>
  <si>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</si>
  <si>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</si>
  <si>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</si>
  <si>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</si>
  <si>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</si>
  <si>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</si>
  <si>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</si>
  <si>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</si>
  <si>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</si>
  <si>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</si>
  <si>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</si>
  <si>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</si>
  <si>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</si>
  <si>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</si>
  <si>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</si>
  <si>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</si>
  <si>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</si>
  <si>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</si>
  <si>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</si>
  <si>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</si>
  <si>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</si>
  <si>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</si>
  <si>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</si>
  <si>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</si>
  <si>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</si>
  <si>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</si>
  <si>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</si>
  <si>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</si>
  <si>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</si>
  <si>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</si>
  <si>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</si>
  <si>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</si>
  <si>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</si>
  <si>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</si>
  <si>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</si>
  <si>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</si>
  <si>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</si>
  <si>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</si>
  <si>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</si>
  <si>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</si>
  <si>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</si>
  <si>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</si>
  <si>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</si>
  <si>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</si>
  <si>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</si>
  <si>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</si>
  <si>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</si>
  <si>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</si>
  <si>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</si>
  <si>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</si>
  <si>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</si>
  <si>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</si>
  <si>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</si>
  <si>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</si>
  <si>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</si>
  <si>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</si>
  <si>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</si>
  <si>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</si>
  <si>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</si>
  <si>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</si>
  <si>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</si>
  <si>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</si>
  <si>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</si>
  <si>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</si>
  <si>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</si>
  <si>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</si>
  <si>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</si>
  <si>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</si>
  <si>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</si>
  <si>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</si>
  <si>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</si>
  <si>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</si>
  <si>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</si>
  <si>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</si>
  <si>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</si>
  <si>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</si>
  <si>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</si>
  <si>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</si>
  <si>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</si>
  <si>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</si>
  <si>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</si>
  <si>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</si>
  <si>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</si>
  <si>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</si>
  <si>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</si>
  <si>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</si>
  <si>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</si>
  <si>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</si>
  <si>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</si>
  <si>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</si>
  <si>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</si>
  <si>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</si>
  <si>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</si>
  <si>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</si>
  <si>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</si>
  <si>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</si>
  <si>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</si>
  <si>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</si>
  <si>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</si>
  <si>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</si>
  <si>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</si>
  <si>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</si>
  <si>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</si>
  <si>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</si>
  <si>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</si>
  <si>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</si>
  <si>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</si>
  <si>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</si>
  <si>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</si>
  <si>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</si>
  <si>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</si>
  <si>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</si>
  <si>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</si>
  <si>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</si>
  <si>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</si>
  <si>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</si>
  <si>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</si>
  <si>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</si>
  <si>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</si>
  <si>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</si>
  <si>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</si>
  <si>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</si>
  <si>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</si>
  <si>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</si>
  <si>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</si>
  <si>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</si>
  <si>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</si>
  <si>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</si>
  <si>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</si>
  <si>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</si>
  <si>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</si>
  <si>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</si>
  <si>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</si>
  <si>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</si>
  <si>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</si>
  <si>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</si>
  <si>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</si>
  <si>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</si>
  <si>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</si>
  <si>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</si>
  <si>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</si>
  <si>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</si>
  <si>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</si>
  <si>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</si>
  <si>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</si>
  <si>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</si>
  <si>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</si>
  <si>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</si>
  <si>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</si>
  <si>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</si>
  <si>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</si>
  <si>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</si>
  <si>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</si>
  <si>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</si>
  <si>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</si>
  <si>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</si>
  <si>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</si>
  <si>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</si>
  <si>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</si>
  <si>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</si>
  <si>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</si>
  <si>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</si>
  <si>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</si>
  <si>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</si>
  <si>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</si>
  <si>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</si>
  <si>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</si>
  <si>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</si>
  <si>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</si>
  <si>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</si>
  <si>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</si>
  <si>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</si>
  <si>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</si>
  <si>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</si>
  <si>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</si>
  <si>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</si>
  <si>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</si>
  <si>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</si>
  <si>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</si>
  <si>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</si>
  <si>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</si>
  <si>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</si>
  <si>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</si>
  <si>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</si>
  <si>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</si>
  <si>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</si>
  <si>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</si>
  <si>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</si>
  <si>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</si>
  <si>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</si>
  <si>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</si>
  <si>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</si>
  <si>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</si>
  <si>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</si>
  <si>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</si>
  <si>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</si>
  <si>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</si>
  <si>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</si>
  <si>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</si>
  <si>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</si>
  <si>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</si>
  <si>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</si>
  <si>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</si>
  <si>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</si>
  <si>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</si>
  <si>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</si>
  <si>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</si>
  <si>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</si>
  <si>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</si>
  <si>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</si>
  <si>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</si>
  <si>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</si>
  <si>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</si>
  <si>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</si>
  <si>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</si>
  <si>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</si>
  <si>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</si>
  <si>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</si>
  <si>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</si>
  <si>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</si>
  <si>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</si>
  <si>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</si>
  <si>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</si>
  <si>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</si>
  <si>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</si>
  <si>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</si>
  <si>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</si>
  <si>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</si>
  <si>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</si>
  <si>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</si>
  <si>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</si>
  <si>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</si>
  <si>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</si>
  <si>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</si>
  <si>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</si>
  <si>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</si>
  <si>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</si>
  <si>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</si>
  <si>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</si>
  <si>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</si>
  <si>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</si>
  <si>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</si>
  <si>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</si>
  <si>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</si>
  <si>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</si>
  <si>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</si>
  <si>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</si>
  <si>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</si>
  <si>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</si>
  <si>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</si>
  <si>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</si>
  <si>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</si>
  <si>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</si>
  <si>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</si>
  <si>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</si>
  <si>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</si>
  <si>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</si>
  <si>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</si>
  <si>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</si>
  <si>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</si>
  <si>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</si>
  <si>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</si>
  <si>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</si>
  <si>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</si>
  <si>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</si>
  <si>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</si>
  <si>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</si>
  <si>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</si>
  <si>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</si>
  <si>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</si>
  <si>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</si>
  <si>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</si>
  <si>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</si>
  <si>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</si>
  <si>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</si>
  <si>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</si>
  <si>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</si>
  <si>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</si>
  <si>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</si>
  <si>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</si>
  <si>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</si>
  <si>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</si>
  <si>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</si>
  <si>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</si>
  <si>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</si>
  <si>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</si>
  <si>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</si>
  <si>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</si>
  <si>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</si>
  <si>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</si>
  <si>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</si>
  <si>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</si>
  <si>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</si>
  <si>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</si>
  <si>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</si>
  <si>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</si>
  <si>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</si>
  <si>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</si>
  <si>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</si>
  <si>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</si>
  <si>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</si>
  <si>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</si>
  <si>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</si>
  <si>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</si>
  <si>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</si>
  <si>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</si>
  <si>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</si>
  <si>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</si>
  <si>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</si>
  <si>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</si>
  <si>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</si>
  <si>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</si>
  <si>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</si>
  <si>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</si>
  <si>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</si>
  <si>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</si>
  <si>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</si>
  <si>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</si>
  <si>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</si>
  <si>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</si>
  <si>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</si>
  <si>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</si>
  <si>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</si>
  <si>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</si>
  <si>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</si>
  <si>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</si>
  <si>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</si>
  <si>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</si>
  <si>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</si>
  <si>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</si>
  <si>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</si>
  <si>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</si>
  <si>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</si>
  <si>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</si>
  <si>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</si>
  <si>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</si>
  <si>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</si>
  <si>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</si>
  <si>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</si>
  <si>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</si>
  <si>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</si>
  <si>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</si>
  <si>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</si>
  <si>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</si>
  <si>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</si>
  <si>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</si>
  <si>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</si>
  <si>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</si>
  <si>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</si>
  <si>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</si>
  <si>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</si>
  <si>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</si>
  <si>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</si>
  <si>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</si>
  <si>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</si>
  <si>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</si>
  <si>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</si>
  <si>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</si>
  <si>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</si>
  <si>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</si>
  <si>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</si>
  <si>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</si>
  <si>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</si>
  <si>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</si>
  <si>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</si>
  <si>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</si>
  <si>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</si>
  <si>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</si>
  <si>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</si>
  <si>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</si>
  <si>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</si>
  <si>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</si>
  <si>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</si>
  <si>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</si>
  <si>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</si>
  <si>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</si>
  <si>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</si>
  <si>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</si>
  <si>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</si>
  <si>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</si>
  <si>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</si>
  <si>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</si>
  <si>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</si>
  <si>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</si>
  <si>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</si>
  <si>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</si>
  <si>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</si>
  <si>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</si>
  <si>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</si>
  <si>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</si>
  <si>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</si>
  <si>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</si>
  <si>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</si>
  <si>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</si>
  <si>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</si>
  <si>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</si>
  <si>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</si>
  <si>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</si>
  <si>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</si>
  <si>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</si>
  <si>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</si>
  <si>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</si>
  <si>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</si>
  <si>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</si>
  <si>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</si>
  <si>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</si>
  <si>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</si>
  <si>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</si>
  <si>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</si>
  <si>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</si>
  <si>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</si>
  <si>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</si>
  <si>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</si>
  <si>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</si>
  <si>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</si>
  <si>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</si>
  <si>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</si>
  <si>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</si>
  <si>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</si>
  <si>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</si>
  <si>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</si>
  <si>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</si>
  <si>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</si>
  <si>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</si>
  <si>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</si>
  <si>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</si>
  <si>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</si>
  <si>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</si>
  <si>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</si>
  <si>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</si>
  <si>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</si>
  <si>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</si>
  <si>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</si>
  <si>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</si>
  <si>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</si>
  <si>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</si>
  <si>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</si>
  <si>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</si>
  <si>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</si>
  <si>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</si>
  <si>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</si>
  <si>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</si>
  <si>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</si>
  <si>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</si>
  <si>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</si>
  <si>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</si>
  <si>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</si>
  <si>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</si>
  <si>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</si>
  <si>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</si>
  <si>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</si>
  <si>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</si>
  <si>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</si>
  <si>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</si>
  <si>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</si>
  <si>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</si>
  <si>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</si>
  <si>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</si>
  <si>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</si>
  <si>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</si>
  <si>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</si>
  <si>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</si>
  <si>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</si>
  <si>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</si>
  <si>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</si>
  <si>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</si>
  <si>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</si>
  <si>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</si>
  <si>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</si>
  <si>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</si>
  <si>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</si>
  <si>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</si>
  <si>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</si>
  <si>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</si>
  <si>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</si>
  <si>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</si>
  <si>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</si>
  <si>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</si>
  <si>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</si>
  <si>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</si>
  <si>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</si>
  <si>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</si>
  <si>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</si>
  <si>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</si>
  <si>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</si>
  <si>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</si>
  <si>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</si>
  <si>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</si>
  <si>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</si>
  <si>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</si>
  <si>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</si>
  <si>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</si>
  <si>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</si>
  <si>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</si>
  <si>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</si>
  <si>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</si>
  <si>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</si>
  <si>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</si>
  <si>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</si>
  <si>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</si>
  <si>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</si>
  <si>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</si>
  <si>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</si>
  <si>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</si>
  <si>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</si>
  <si>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</si>
  <si>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</si>
  <si>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</si>
  <si>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</si>
  <si>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</si>
  <si>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</si>
  <si>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</si>
  <si>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</si>
  <si>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</si>
  <si>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</si>
  <si>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</si>
  <si>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</si>
  <si>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</si>
  <si>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</si>
  <si>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</si>
  <si>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</si>
  <si>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</si>
  <si>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</si>
  <si>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</si>
  <si>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</si>
  <si>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</si>
  <si>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</si>
  <si>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</si>
  <si>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</si>
  <si>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</si>
  <si>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</si>
  <si>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</si>
  <si>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</si>
  <si>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</si>
  <si>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</si>
  <si>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</si>
  <si>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</si>
  <si>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</si>
  <si>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</si>
  <si>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</si>
  <si>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</si>
  <si>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</si>
  <si>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</si>
  <si>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</si>
  <si>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</si>
  <si>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</si>
  <si>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</si>
  <si>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</si>
  <si>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</si>
  <si>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</si>
  <si>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</si>
  <si>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</si>
  <si>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</si>
  <si>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</si>
  <si>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</si>
  <si>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</si>
  <si>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</si>
  <si>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</si>
  <si>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</si>
  <si>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</si>
  <si>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</si>
  <si>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</si>
  <si>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</si>
  <si>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</si>
  <si>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</si>
  <si>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</si>
  <si>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</si>
  <si>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</si>
  <si>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</si>
  <si>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</si>
  <si>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</si>
  <si>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</si>
  <si>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</si>
  <si>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</si>
  <si>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</si>
  <si>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</si>
  <si>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</si>
  <si>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</si>
  <si>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</si>
  <si>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</si>
  <si>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</si>
  <si>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</si>
  <si>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</si>
  <si>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</si>
  <si>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</si>
  <si>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</si>
  <si>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</si>
  <si>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</si>
  <si>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</si>
  <si>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</si>
  <si>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</si>
  <si>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</si>
  <si>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</si>
  <si>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</si>
  <si>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</si>
  <si>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</si>
  <si>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</si>
  <si>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</si>
  <si>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</si>
  <si>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</si>
  <si>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</si>
  <si>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</si>
  <si>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</si>
  <si>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</si>
  <si>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</si>
  <si>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</si>
  <si>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</si>
  <si>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</si>
  <si>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</si>
  <si>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</si>
  <si>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</si>
  <si>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</si>
  <si>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</si>
  <si>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</si>
  <si>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</si>
  <si>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</si>
  <si>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</si>
  <si>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</si>
  <si>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</si>
  <si>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</si>
  <si>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</si>
  <si>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</si>
  <si>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</si>
  <si>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</si>
  <si>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</si>
  <si>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</si>
  <si>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</si>
  <si>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</si>
  <si>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</si>
  <si>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</si>
  <si>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</si>
  <si>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</si>
  <si>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</si>
  <si>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</si>
  <si>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</si>
  <si>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</si>
  <si>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</si>
  <si>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</si>
  <si>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</si>
  <si>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</si>
  <si>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</si>
  <si>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</si>
  <si>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</si>
  <si>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</si>
  <si>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</si>
  <si>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</si>
  <si>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</si>
  <si>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</si>
  <si>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</si>
  <si>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</si>
  <si>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</si>
  <si>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</si>
  <si>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</si>
  <si>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</si>
  <si>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</si>
  <si>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</si>
  <si>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</si>
  <si>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</si>
  <si>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</si>
  <si>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</si>
  <si>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</si>
  <si>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</si>
  <si>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</si>
  <si>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</si>
  <si>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</si>
  <si>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</si>
  <si>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</si>
  <si>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</si>
  <si>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</si>
  <si>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</si>
  <si>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</si>
  <si>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</si>
  <si>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</si>
  <si>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</si>
  <si>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</si>
  <si>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</si>
  <si>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</si>
  <si>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</si>
  <si>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</si>
  <si>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</si>
  <si>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</si>
  <si>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</si>
  <si>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</si>
  <si>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</si>
  <si>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</si>
  <si>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</si>
  <si>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</si>
  <si>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</si>
  <si>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</si>
  <si>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</si>
  <si>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</si>
  <si>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</si>
  <si>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</si>
  <si>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</si>
  <si>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</si>
  <si>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</si>
  <si>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</si>
  <si>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</si>
  <si>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</si>
  <si>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</si>
  <si>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</si>
  <si>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</si>
  <si>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</si>
  <si>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</si>
  <si>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</si>
  <si>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</si>
  <si>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</si>
  <si>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</si>
  <si>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</si>
  <si>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</si>
  <si>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</si>
  <si>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</si>
  <si>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</si>
  <si>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</si>
  <si>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</si>
  <si>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</si>
  <si>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</si>
  <si>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</si>
  <si>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</si>
  <si>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</si>
  <si>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</si>
  <si>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</si>
  <si>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</si>
  <si>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</si>
  <si>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</si>
  <si>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</si>
  <si>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</si>
  <si>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</si>
  <si>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</si>
  <si>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</si>
  <si>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</si>
  <si>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</si>
  <si>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</si>
  <si>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</si>
  <si>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</si>
  <si>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</si>
  <si>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</si>
  <si>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</si>
  <si>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</si>
  <si>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</si>
  <si>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</si>
  <si>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</si>
  <si>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</si>
  <si>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</si>
  <si>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</si>
  <si>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</si>
  <si>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</si>
  <si>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</si>
  <si>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</si>
  <si>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</si>
  <si>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</si>
  <si>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</si>
  <si>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</si>
  <si>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</si>
  <si>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</si>
  <si>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</si>
  <si>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</si>
  <si>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</si>
  <si>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</si>
  <si>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</si>
  <si>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</si>
  <si>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</si>
  <si>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</si>
  <si>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</si>
  <si>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</si>
  <si>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</si>
  <si>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</si>
  <si>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</si>
  <si>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</si>
  <si>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</si>
  <si>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</si>
  <si>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</si>
  <si>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</si>
  <si>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</si>
  <si>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</si>
  <si>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</si>
  <si>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</si>
  <si>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</si>
  <si>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</si>
  <si>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</si>
  <si>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</si>
  <si>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</si>
  <si>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</si>
  <si>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</si>
  <si>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</si>
  <si>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</si>
  <si>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</si>
  <si>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</si>
  <si>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</si>
  <si>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</si>
  <si>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</si>
  <si>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</si>
  <si>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</si>
  <si>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</si>
  <si>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</si>
  <si>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</si>
  <si>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</si>
  <si>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</si>
  <si>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</si>
  <si>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</si>
  <si>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</si>
  <si>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</si>
  <si>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</si>
  <si>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</si>
  <si>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</si>
  <si>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</si>
  <si>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</si>
  <si>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</si>
  <si>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</si>
  <si>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</si>
  <si>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</si>
  <si>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</si>
  <si>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</si>
  <si>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</si>
  <si>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</si>
  <si>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</si>
  <si>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</si>
  <si>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</si>
  <si>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</si>
  <si>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</si>
  <si>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</si>
  <si>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</si>
  <si>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</si>
  <si>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</si>
  <si>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</si>
  <si>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</si>
  <si>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</si>
  <si>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</si>
  <si>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</si>
  <si>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</si>
  <si>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</si>
  <si>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</si>
  <si>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</si>
  <si>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</si>
  <si>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</si>
  <si>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</si>
  <si>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</si>
  <si>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</si>
  <si>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</si>
  <si>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</si>
  <si>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</si>
  <si>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</si>
  <si>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</si>
  <si>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</si>
  <si>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</si>
  <si>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</si>
  <si>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</si>
  <si>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</si>
  <si>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</si>
  <si>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</si>
  <si>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</si>
  <si>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</si>
  <si>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</si>
  <si>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</si>
  <si>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</si>
  <si>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</si>
  <si>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</si>
  <si>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</si>
  <si>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</si>
  <si>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</si>
  <si>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</si>
  <si>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</si>
  <si>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</si>
  <si>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</si>
  <si>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</si>
  <si>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</si>
  <si>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</si>
  <si>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</si>
  <si>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</si>
  <si>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</si>
  <si>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</si>
  <si>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</si>
  <si>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</si>
  <si>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</si>
  <si>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</si>
  <si>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</si>
  <si>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</si>
  <si>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</si>
  <si>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</si>
  <si>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</si>
  <si>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</si>
  <si>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</si>
  <si>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</si>
  <si>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</si>
  <si>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</si>
  <si>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</si>
  <si>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</si>
  <si>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</si>
  <si>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</si>
  <si>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</si>
  <si>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</si>
  <si>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</si>
  <si>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</si>
  <si>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</si>
  <si>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</si>
  <si>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</si>
  <si>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</si>
  <si>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</si>
  <si>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</si>
  <si>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</si>
  <si>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</si>
  <si>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</si>
  <si>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</si>
  <si>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</si>
  <si>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</si>
  <si>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</si>
  <si>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</si>
  <si>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</si>
  <si>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</si>
  <si>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</si>
  <si>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</si>
  <si>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</si>
  <si>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</si>
  <si>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</si>
  <si>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</si>
  <si>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</si>
  <si>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</si>
  <si>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</si>
  <si>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</si>
  <si>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</si>
  <si>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</si>
  <si>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</si>
  <si>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</si>
  <si>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</si>
  <si>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</si>
  <si>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</si>
  <si>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</si>
  <si>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</si>
  <si>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</si>
  <si>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</si>
  <si>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</si>
  <si>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</si>
  <si>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</si>
  <si>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</si>
  <si>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</si>
  <si>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</si>
  <si>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</si>
  <si>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</si>
  <si>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</si>
  <si>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</si>
  <si>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</si>
  <si>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</si>
  <si>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</si>
  <si>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</si>
  <si>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</si>
  <si>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</si>
  <si>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</si>
  <si>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</si>
  <si>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</si>
  <si>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</si>
  <si>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</si>
  <si>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</si>
  <si>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</si>
  <si>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</si>
  <si>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</si>
  <si>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</si>
  <si>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</si>
  <si>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</si>
  <si>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</si>
  <si>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</si>
  <si>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</si>
  <si>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</si>
  <si>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</si>
  <si>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</si>
  <si>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</si>
  <si>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</si>
  <si>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</si>
  <si>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</si>
  <si>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</si>
  <si>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</si>
  <si>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</si>
  <si>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</si>
  <si>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</si>
  <si>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</si>
  <si>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</si>
  <si>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</si>
  <si>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</si>
  <si>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</si>
  <si>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</si>
  <si>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</si>
  <si>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</si>
  <si>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</si>
  <si>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</si>
  <si>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</si>
  <si>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</si>
  <si>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</si>
  <si>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</si>
  <si>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</si>
  <si>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</si>
  <si>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</si>
  <si>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</si>
  <si>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</si>
  <si>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</si>
  <si>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</si>
  <si>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</si>
  <si>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</si>
  <si>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</si>
  <si>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</si>
  <si>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</si>
  <si>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</si>
  <si>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</si>
  <si>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</si>
  <si>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</si>
  <si>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</si>
  <si>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</si>
  <si>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</si>
  <si>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</si>
  <si>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</si>
  <si>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</si>
  <si>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</si>
  <si>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</si>
  <si>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</si>
  <si>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</si>
  <si>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</si>
  <si>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</si>
  <si>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</si>
  <si>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</si>
  <si>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</si>
  <si>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</si>
  <si>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</si>
  <si>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</si>
  <si>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</si>
  <si>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</si>
  <si>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</si>
  <si>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</si>
  <si>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</si>
  <si>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</si>
  <si>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</si>
  <si>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</si>
  <si>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</si>
  <si>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</si>
  <si>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</si>
  <si>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</si>
  <si>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</si>
  <si>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</si>
  <si>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</si>
  <si>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</si>
  <si>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</si>
  <si>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</si>
  <si>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</si>
  <si>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</si>
  <si>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</si>
  <si>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</si>
  <si>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</si>
  <si>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</si>
  <si>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</si>
  <si>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</si>
  <si>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</si>
  <si>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</si>
  <si>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</si>
  <si>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</si>
  <si>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</si>
  <si>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</si>
  <si>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</si>
  <si>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</si>
  <si>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</si>
  <si>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</si>
  <si>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</si>
  <si>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</si>
  <si>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</si>
  <si>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</si>
  <si>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</si>
  <si>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</si>
  <si>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</si>
  <si>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</si>
  <si>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</si>
  <si>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</si>
  <si>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</si>
  <si>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</si>
  <si>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</si>
  <si>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</si>
  <si>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</si>
  <si>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</si>
  <si>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</si>
  <si>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</si>
  <si>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</si>
  <si>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</si>
  <si>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</si>
  <si>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</si>
  <si>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</si>
  <si>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</si>
  <si>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</si>
  <si>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</si>
  <si>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</si>
  <si>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</si>
  <si>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</si>
  <si>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</si>
  <si>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</si>
  <si>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</si>
  <si>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</si>
  <si>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</si>
  <si>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</si>
  <si>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</si>
  <si>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</si>
  <si>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</si>
  <si>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</si>
  <si>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</si>
  <si>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</si>
  <si>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</si>
  <si>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</si>
  <si>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</si>
  <si>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</si>
  <si>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</si>
  <si>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</si>
  <si>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</si>
  <si>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</si>
  <si>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</si>
  <si>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</si>
  <si>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</si>
  <si>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</si>
  <si>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</si>
  <si>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</si>
  <si>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</si>
  <si>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</si>
  <si>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</si>
  <si>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</si>
  <si>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</si>
  <si>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</si>
  <si>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</si>
  <si>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</si>
  <si>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</si>
  <si>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</si>
  <si>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</si>
  <si>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</si>
  <si>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</si>
  <si>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</si>
  <si>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</si>
  <si>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</si>
  <si>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</si>
  <si>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</si>
  <si>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</si>
  <si>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</si>
  <si>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</si>
  <si>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</si>
  <si>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</si>
  <si>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</si>
  <si>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</si>
  <si>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</si>
  <si>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</si>
  <si>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</si>
  <si>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</si>
  <si>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</si>
  <si>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</si>
  <si>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</si>
  <si>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</si>
  <si>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</si>
  <si>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</si>
  <si>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</si>
  <si>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</si>
  <si>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</si>
  <si>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</si>
  <si>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</si>
  <si>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</si>
  <si>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</si>
  <si>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</si>
  <si>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</si>
  <si>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</si>
  <si>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</si>
  <si>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</si>
  <si>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</si>
  <si>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</si>
  <si>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</si>
  <si>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</si>
  <si>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</si>
  <si>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</si>
  <si>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</si>
  <si>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</si>
  <si>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</si>
  <si>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</si>
  <si>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</si>
  <si>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</si>
  <si>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</si>
  <si>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</si>
  <si>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</si>
  <si>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</si>
  <si>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</si>
  <si>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</si>
  <si>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</si>
  <si>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</si>
  <si>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</si>
  <si>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</si>
  <si>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</si>
  <si>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</si>
  <si>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</si>
  <si>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</si>
  <si>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</si>
  <si>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</si>
  <si>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</si>
  <si>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</si>
  <si>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</si>
  <si>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</si>
  <si>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</si>
  <si>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</si>
  <si>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</si>
  <si>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</si>
  <si>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</si>
  <si>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</si>
  <si>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</si>
  <si>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</si>
  <si>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</si>
  <si>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</si>
  <si>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</si>
  <si>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</si>
  <si>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</si>
  <si>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</si>
  <si>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</si>
  <si>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</si>
  <si>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</si>
  <si>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</si>
  <si>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</si>
  <si>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</si>
  <si>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</si>
  <si>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</si>
  <si>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</si>
  <si>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</si>
  <si>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</si>
  <si>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</si>
  <si>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</si>
  <si>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</si>
  <si>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</si>
  <si>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</si>
  <si>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</si>
  <si>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</si>
  <si>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</si>
  <si>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</si>
  <si>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</si>
  <si>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</si>
  <si>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</si>
  <si>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</si>
  <si>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</si>
  <si>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</si>
  <si>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</si>
  <si>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</si>
  <si>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</si>
  <si>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</si>
  <si>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</si>
  <si>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</si>
  <si>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</si>
  <si>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</si>
  <si>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</si>
  <si>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</si>
  <si>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</si>
  <si>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</si>
  <si>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</si>
  <si>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</si>
  <si>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</si>
  <si>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</si>
  <si>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</si>
  <si>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</si>
  <si>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</si>
  <si>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</si>
  <si>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</si>
  <si>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</si>
  <si>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</si>
  <si>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</si>
  <si>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</si>
  <si>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</si>
  <si>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</si>
  <si>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</si>
  <si>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</si>
  <si>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</si>
  <si>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</si>
  <si>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</si>
  <si>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</si>
  <si>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</si>
  <si>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</si>
  <si>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</si>
  <si>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</si>
  <si>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</si>
  <si>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</si>
  <si>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</si>
  <si>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</si>
  <si>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</si>
  <si>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</si>
  <si>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</si>
  <si>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</si>
  <si>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</si>
  <si>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</si>
  <si>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</si>
  <si>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</si>
  <si>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</si>
  <si>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</si>
  <si>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</si>
  <si>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</si>
  <si>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</si>
  <si>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</si>
  <si>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</si>
  <si>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</si>
  <si>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</si>
  <si>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</si>
  <si>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</si>
  <si>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</si>
  <si>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</si>
  <si>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</si>
  <si>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</si>
  <si>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</si>
  <si>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</si>
  <si>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</si>
  <si>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</si>
  <si>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</si>
  <si>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</si>
  <si>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</si>
  <si>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</si>
  <si>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</si>
  <si>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</si>
  <si>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</si>
  <si>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</si>
  <si>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</si>
  <si>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</si>
  <si>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</si>
  <si>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</si>
  <si>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</si>
  <si>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</si>
  <si>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</si>
  <si>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</si>
  <si>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</si>
  <si>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</si>
  <si>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</si>
  <si>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</si>
  <si>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</si>
  <si>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</si>
  <si>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</si>
  <si>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</si>
  <si>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</si>
  <si>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</si>
  <si>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</si>
  <si>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</si>
  <si>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</si>
  <si>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</si>
  <si>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</si>
  <si>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</si>
  <si>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</si>
  <si>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</si>
  <si>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</si>
  <si>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</si>
  <si>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</si>
  <si>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</si>
  <si>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</si>
  <si>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</si>
  <si>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</si>
  <si>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</si>
  <si>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</si>
  <si>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</si>
  <si>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</si>
  <si>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</si>
  <si>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</si>
  <si>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</si>
  <si>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</si>
  <si>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</si>
  <si>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</si>
  <si>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</si>
  <si>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</si>
  <si>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</si>
  <si>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</si>
  <si>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</si>
  <si>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</si>
  <si>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</si>
  <si>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</si>
  <si>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</si>
  <si>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</si>
  <si>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</si>
  <si>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</si>
  <si>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</si>
  <si>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</si>
  <si>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</si>
  <si>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</si>
  <si>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</si>
  <si>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</si>
  <si>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</si>
  <si>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</si>
  <si>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</si>
  <si>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</si>
  <si>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</si>
  <si>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</si>
  <si>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</si>
  <si>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</si>
  <si>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</si>
  <si>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</si>
  <si>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</si>
  <si>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</si>
  <si>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</si>
  <si>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</si>
  <si>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</si>
  <si>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</si>
  <si>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</si>
  <si>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</si>
  <si>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</si>
  <si>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</si>
  <si>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</si>
  <si>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</si>
  <si>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</si>
  <si>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</si>
  <si>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</si>
  <si>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</si>
  <si>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</si>
  <si>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</si>
  <si>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</si>
  <si>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</si>
  <si>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</si>
  <si>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</si>
  <si>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</si>
  <si>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</si>
  <si>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</si>
  <si>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</si>
  <si>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</si>
  <si>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</si>
  <si>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</si>
  <si>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</si>
  <si>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</si>
  <si>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</si>
  <si>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</si>
  <si>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</si>
  <si>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</si>
  <si>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</si>
  <si>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</si>
  <si>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</si>
  <si>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</si>
  <si>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</si>
  <si>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</si>
  <si>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</si>
  <si>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</si>
  <si>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</si>
  <si>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</si>
  <si>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</si>
  <si>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</si>
  <si>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</si>
  <si>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</si>
  <si>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</si>
  <si>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</si>
  <si>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</si>
  <si>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</si>
  <si>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</si>
  <si>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</si>
  <si>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</si>
  <si>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</si>
  <si>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</si>
  <si>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</si>
  <si>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</si>
  <si>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</si>
  <si>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</si>
  <si>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</si>
  <si>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</si>
  <si>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</si>
  <si>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</si>
  <si>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</si>
  <si>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</si>
  <si>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</si>
  <si>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</si>
  <si>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</si>
  <si>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</si>
  <si>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</si>
  <si>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</si>
  <si>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</si>
  <si>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</si>
  <si>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</si>
  <si>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</si>
  <si>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</si>
  <si>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</si>
  <si>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</si>
  <si>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</si>
  <si>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</si>
  <si>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</si>
  <si>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</si>
  <si>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</si>
  <si>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</si>
  <si>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</si>
  <si>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</si>
  <si>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</si>
  <si>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</si>
  <si>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</si>
  <si>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</si>
  <si>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</si>
  <si>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</si>
  <si>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</si>
  <si>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</si>
  <si>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</si>
  <si>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</si>
  <si>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</si>
  <si>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</si>
  <si>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</si>
  <si>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</si>
  <si>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</si>
  <si>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</si>
  <si>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</si>
  <si>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</si>
  <si>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</si>
  <si>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</si>
  <si>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</si>
  <si>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</si>
  <si>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</si>
  <si>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</si>
  <si>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</si>
  <si>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</si>
  <si>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</si>
  <si>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</si>
  <si>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</si>
  <si>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</si>
  <si>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</si>
  <si>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</si>
  <si>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</si>
  <si>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</si>
  <si>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</si>
  <si>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</si>
  <si>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</si>
  <si>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</si>
  <si>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</si>
  <si>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</si>
  <si>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</si>
  <si>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</si>
  <si>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</si>
  <si>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</si>
  <si>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</si>
  <si>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</si>
  <si>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</si>
  <si>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</si>
  <si>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</si>
  <si>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</si>
  <si>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</si>
  <si>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</si>
  <si>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</si>
  <si>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</si>
  <si>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</si>
  <si>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</si>
  <si>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</si>
  <si>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</si>
  <si>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</si>
  <si>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</si>
  <si>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</si>
  <si>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</si>
  <si>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</si>
  <si>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</si>
  <si>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</si>
  <si>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</si>
  <si>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</si>
  <si>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</si>
  <si>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</si>
  <si>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</si>
  <si>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</si>
  <si>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</si>
  <si>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</si>
  <si>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</si>
  <si>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</si>
  <si>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</si>
  <si>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</si>
  <si>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</si>
  <si>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</si>
  <si>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</si>
  <si>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</si>
  <si>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</si>
  <si>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</si>
  <si>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</si>
  <si>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</si>
  <si>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</si>
  <si>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</si>
  <si>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</si>
  <si>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</si>
  <si>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</si>
  <si>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</si>
  <si>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</si>
  <si>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</si>
  <si>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</si>
  <si>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</si>
  <si>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</si>
  <si>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</si>
  <si>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</si>
  <si>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</si>
  <si>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</si>
  <si>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</si>
  <si>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</si>
  <si>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</si>
  <si>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</si>
  <si>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</si>
  <si>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</si>
  <si>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</si>
  <si>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</si>
  <si>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</si>
  <si>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</si>
  <si>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</si>
  <si>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</si>
  <si>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</si>
  <si>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</si>
  <si>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</si>
  <si>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</si>
  <si>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</si>
  <si>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</si>
  <si>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</si>
  <si>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</si>
  <si>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</si>
  <si>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</si>
  <si>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</si>
  <si>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</si>
  <si>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</si>
  <si>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</si>
  <si>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</si>
  <si>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</si>
  <si>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</si>
  <si>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</si>
  <si>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</si>
  <si>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</si>
  <si>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</si>
  <si>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</si>
  <si>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</si>
  <si>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</si>
  <si>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</si>
  <si>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</si>
  <si>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</si>
  <si>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</si>
  <si>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</si>
  <si>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</si>
  <si>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</si>
  <si>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</si>
  <si>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</si>
  <si>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</si>
  <si>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</si>
  <si>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</si>
  <si>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</si>
  <si>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</si>
  <si>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</si>
  <si>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</si>
  <si>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</si>
  <si>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</si>
  <si>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</si>
  <si>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</si>
  <si>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</si>
  <si>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</si>
  <si>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</si>
  <si>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</si>
  <si>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</si>
  <si>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</si>
  <si>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</si>
  <si>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</si>
  <si>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</si>
  <si>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</si>
  <si>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</si>
  <si>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</si>
  <si>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</si>
  <si>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</si>
  <si>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</si>
  <si>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</si>
  <si>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</si>
  <si>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</si>
  <si>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</si>
  <si>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</si>
  <si>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</si>
  <si>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</si>
  <si>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</si>
  <si>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</si>
  <si>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</si>
  <si>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</si>
  <si>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</si>
  <si>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</si>
  <si>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</si>
  <si>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</si>
  <si>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</si>
  <si>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</si>
  <si>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</si>
  <si>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</si>
  <si>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</si>
  <si>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</si>
  <si>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</si>
  <si>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</si>
  <si>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</si>
  <si>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</si>
  <si>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</si>
  <si>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</si>
  <si>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</si>
  <si>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</si>
  <si>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</si>
  <si>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</si>
  <si>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</si>
  <si>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</si>
  <si>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</si>
  <si>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</si>
  <si>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</si>
  <si>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</si>
  <si>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</si>
  <si>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</si>
  <si>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</si>
  <si>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</si>
  <si>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</si>
  <si>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</si>
  <si>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</si>
  <si>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</si>
  <si>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</si>
  <si>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</si>
  <si>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</si>
  <si>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</si>
  <si>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</si>
  <si>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</si>
  <si>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</si>
  <si>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</si>
  <si>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</si>
  <si>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</si>
  <si>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</si>
  <si>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</si>
  <si>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</si>
  <si>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</si>
  <si>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</si>
  <si>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</si>
  <si>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</si>
  <si>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</si>
  <si>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</si>
  <si>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</si>
  <si>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</si>
  <si>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</si>
  <si>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</si>
  <si>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</si>
  <si>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</si>
  <si>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</si>
  <si>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</si>
  <si>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</si>
  <si>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</si>
  <si>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</si>
  <si>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</si>
  <si>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</si>
  <si>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</si>
  <si>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</si>
  <si>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</si>
  <si>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</si>
  <si>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</si>
  <si>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</si>
  <si>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</si>
  <si>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</si>
  <si>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</si>
  <si>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</si>
  <si>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</si>
  <si>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</si>
  <si>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</si>
  <si>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</si>
  <si>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</si>
  <si>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</si>
  <si>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</si>
  <si>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</si>
  <si>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</si>
  <si>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</si>
  <si>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</si>
  <si>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</si>
  <si>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</si>
  <si>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</si>
  <si>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</si>
  <si>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</si>
  <si>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</si>
  <si>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</si>
  <si>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</si>
  <si>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</si>
  <si>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</si>
  <si>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</si>
  <si>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</si>
  <si>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</si>
  <si>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</si>
  <si>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</si>
  <si>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</si>
  <si>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</si>
  <si>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</si>
  <si>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</si>
  <si>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</si>
  <si>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</si>
  <si>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</si>
  <si>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</si>
  <si>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</si>
  <si>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</si>
  <si>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</si>
  <si>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</si>
  <si>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</si>
  <si>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</si>
  <si>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</si>
  <si>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</si>
  <si>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</si>
  <si>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</si>
  <si>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</si>
  <si>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</si>
  <si>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</si>
  <si>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</si>
  <si>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</si>
  <si>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</si>
  <si>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</si>
  <si>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</si>
  <si>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</si>
  <si>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</si>
  <si>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</si>
  <si>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</si>
  <si>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</si>
  <si>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</si>
  <si>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</si>
  <si>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</si>
  <si>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</si>
  <si>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</si>
  <si>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</si>
  <si>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</si>
  <si>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</si>
  <si>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</si>
  <si>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</si>
  <si>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</si>
  <si>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</si>
  <si>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</si>
  <si>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</si>
  <si>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</si>
  <si>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</si>
  <si>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</si>
  <si>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</si>
  <si>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</si>
  <si>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</si>
  <si>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</si>
  <si>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</si>
  <si>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</si>
  <si>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</si>
  <si>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</si>
  <si>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</si>
  <si>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</si>
  <si>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</si>
  <si>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</si>
  <si>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</si>
  <si>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</si>
  <si>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</si>
  <si>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</si>
  <si>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</si>
  <si>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</si>
  <si>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</si>
  <si>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</si>
  <si>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</si>
  <si>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</si>
  <si>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</si>
  <si>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</si>
  <si>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</si>
  <si>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</si>
  <si>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</si>
  <si>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</si>
  <si>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</si>
  <si>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</si>
  <si>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</si>
  <si>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</si>
  <si>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</si>
  <si>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</si>
  <si>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</si>
  <si>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</si>
  <si>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</si>
  <si>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</si>
  <si>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</si>
  <si>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</si>
  <si>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</si>
  <si>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</si>
  <si>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</si>
  <si>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</si>
  <si>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</si>
  <si>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</si>
  <si>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</si>
  <si>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</si>
  <si>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</si>
  <si>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</si>
  <si>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</si>
  <si>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</si>
  <si>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</si>
  <si>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</si>
  <si>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</si>
  <si>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</si>
  <si>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</si>
  <si>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</si>
  <si>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</si>
  <si>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</si>
  <si>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</si>
  <si>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</si>
  <si>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</si>
  <si>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</si>
  <si>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</si>
  <si>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</si>
  <si>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</si>
  <si>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</si>
  <si>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</si>
  <si>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</si>
  <si>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</si>
  <si>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</si>
  <si>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</si>
  <si>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</si>
  <si>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</si>
  <si>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</si>
  <si>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</si>
  <si>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</si>
  <si>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</si>
  <si>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</si>
  <si>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</si>
  <si>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</si>
  <si>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</si>
  <si>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</si>
  <si>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</si>
  <si>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</si>
  <si>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</si>
  <si>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</si>
  <si>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</si>
  <si>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</si>
  <si>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</si>
  <si>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</si>
  <si>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</si>
  <si>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</si>
  <si>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</si>
  <si>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</si>
  <si>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</si>
  <si>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</si>
  <si>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</si>
  <si>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</si>
  <si>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</si>
  <si>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</si>
  <si>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</si>
  <si>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</si>
  <si>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</si>
  <si>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</si>
  <si>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</si>
  <si>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</si>
  <si>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</si>
  <si>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</si>
  <si>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</si>
  <si>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</si>
  <si>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</si>
  <si>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</si>
  <si>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</si>
  <si>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</si>
  <si>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</si>
  <si>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</si>
  <si>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</si>
  <si>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</si>
  <si>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</si>
  <si>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</si>
  <si>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</si>
  <si>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</si>
  <si>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</si>
  <si>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</si>
  <si>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</si>
  <si>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</si>
  <si>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</si>
  <si>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</si>
  <si>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</si>
  <si>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</si>
  <si>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</si>
  <si>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</si>
  <si>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</si>
  <si>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</si>
  <si>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</si>
  <si>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</si>
  <si>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</si>
  <si>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</si>
  <si>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</si>
  <si>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</si>
  <si>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</si>
  <si>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</si>
  <si>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</si>
  <si>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</si>
  <si>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</si>
  <si>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</si>
  <si>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</si>
  <si>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</si>
  <si>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</si>
  <si>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</si>
  <si>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</si>
  <si>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</si>
  <si>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</si>
  <si>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</si>
  <si>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</si>
  <si>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</si>
  <si>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</si>
  <si>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</si>
  <si>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</si>
  <si>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</si>
  <si>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</si>
  <si>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</si>
  <si>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</si>
  <si>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</si>
  <si>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</si>
  <si>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</si>
  <si>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</si>
  <si>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</si>
  <si>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</si>
  <si>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</si>
  <si>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</si>
  <si>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</si>
  <si>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</si>
  <si>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</si>
  <si>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</si>
  <si>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</si>
  <si>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</si>
  <si>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</si>
  <si>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</si>
  <si>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</si>
  <si>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</si>
  <si>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</si>
  <si>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</si>
  <si>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</si>
  <si>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</si>
  <si>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</si>
  <si>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</si>
  <si>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</si>
  <si>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</si>
  <si>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</si>
  <si>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</si>
  <si>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</si>
  <si>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</si>
  <si>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</si>
  <si>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</si>
  <si>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</si>
  <si>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</si>
  <si>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</si>
  <si>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</si>
  <si>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</si>
  <si>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</si>
  <si>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</si>
  <si>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</si>
  <si>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</si>
  <si>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</si>
  <si>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</si>
  <si>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</si>
  <si>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</si>
  <si>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</si>
  <si>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</si>
  <si>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</si>
  <si>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</si>
  <si>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</si>
  <si>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</si>
  <si>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</si>
  <si>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</si>
  <si>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</si>
  <si>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</si>
  <si>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</si>
  <si>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</si>
  <si>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</si>
  <si>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</si>
  <si>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</si>
  <si>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</si>
  <si>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</si>
  <si>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</si>
  <si>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</si>
  <si>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</si>
  <si>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</si>
  <si>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</si>
  <si>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</si>
  <si>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</si>
  <si>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</si>
  <si>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</si>
  <si>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</si>
  <si>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</si>
  <si>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</si>
  <si>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</si>
  <si>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</si>
  <si>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</si>
  <si>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</si>
  <si>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</si>
  <si>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</si>
  <si>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</si>
  <si>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</si>
  <si>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</si>
  <si>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</si>
  <si>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</si>
  <si>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</si>
  <si>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</si>
  <si>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</si>
  <si>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</si>
  <si>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</si>
  <si>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</si>
  <si>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</si>
  <si>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</si>
  <si>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</si>
  <si>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</si>
  <si>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</si>
  <si>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</si>
  <si>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</si>
  <si>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</si>
  <si>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</si>
  <si>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</si>
  <si>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</si>
  <si>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</si>
  <si>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</si>
  <si>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</si>
  <si>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</si>
  <si>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</si>
  <si>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</si>
  <si>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</si>
  <si>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</si>
  <si>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</si>
  <si>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</si>
  <si>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</si>
  <si>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</si>
  <si>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</si>
  <si>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</si>
  <si>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</si>
  <si>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</si>
  <si>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</si>
  <si>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</si>
  <si>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</si>
  <si>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</si>
  <si>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</si>
  <si>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</si>
  <si>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</si>
  <si>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</si>
  <si>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</si>
  <si>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</si>
  <si>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</si>
  <si>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</si>
  <si>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</si>
  <si>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</si>
  <si>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</si>
  <si>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</si>
  <si>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</si>
  <si>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</si>
  <si>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</si>
  <si>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</si>
  <si>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</si>
  <si>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</si>
  <si>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</si>
  <si>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</si>
  <si>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</si>
  <si>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</si>
  <si>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</si>
  <si>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</si>
  <si>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</si>
  <si>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</si>
  <si>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</si>
  <si>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</si>
  <si>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</si>
  <si>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</si>
  <si>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</si>
  <si>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</si>
  <si>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</si>
  <si>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</si>
  <si>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</si>
  <si>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</si>
  <si>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</si>
  <si>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</si>
  <si>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</si>
  <si>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</si>
  <si>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</si>
  <si>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</si>
  <si>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</si>
  <si>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</si>
  <si>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</si>
  <si>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</si>
  <si>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</si>
  <si>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</si>
  <si>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</si>
  <si>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</si>
  <si>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</si>
  <si>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</si>
  <si>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</si>
  <si>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</si>
  <si>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</si>
  <si>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</si>
  <si>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</si>
  <si>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</si>
  <si>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</si>
  <si>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</si>
  <si>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</si>
  <si>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</si>
  <si>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</si>
  <si>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</si>
  <si>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</si>
  <si>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</si>
  <si>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</si>
  <si>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</si>
  <si>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</si>
  <si>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</si>
  <si>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</si>
  <si>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</si>
  <si>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</si>
  <si>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</si>
  <si>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</si>
  <si>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</si>
  <si>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</si>
  <si>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</si>
  <si>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</si>
  <si>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</si>
  <si>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</si>
  <si>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</si>
  <si>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</si>
  <si>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</si>
  <si>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</si>
  <si>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</si>
  <si>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</si>
  <si>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</si>
  <si>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</si>
  <si>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</si>
  <si>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</si>
  <si>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</si>
  <si>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</si>
  <si>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</si>
  <si>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</si>
  <si>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</si>
  <si>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</si>
  <si>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</si>
  <si>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</si>
  <si>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</si>
  <si>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</si>
  <si>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</si>
  <si>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</si>
  <si>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</si>
  <si>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</si>
  <si>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</si>
  <si>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</si>
  <si>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郭燕雷</t>
    <phoneticPr fontId="8" type="noConversion"/>
  </si>
  <si>
    <t>guoyanlei@cct.cn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</si>
  <si>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</si>
  <si>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</si>
  <si>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</si>
  <si>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</si>
  <si>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</si>
  <si>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</si>
  <si>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</si>
  <si>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</si>
  <si>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</si>
  <si>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</si>
  <si>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</si>
  <si>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</si>
  <si>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</si>
  <si>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</si>
  <si>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</si>
  <si>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</si>
  <si>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李肖</t>
    <phoneticPr fontId="8" type="noConversion"/>
  </si>
  <si>
    <t>lixiao.aimmyli@bytedance.com</t>
    <phoneticPr fontId="8" type="noConversion"/>
  </si>
  <si>
    <t>工作人员高铁</t>
    <phoneticPr fontId="8" type="noConversion"/>
  </si>
  <si>
    <t>单程</t>
    <phoneticPr fontId="8" type="noConversion"/>
  </si>
  <si>
    <t>9.19、20；1人2天</t>
    <phoneticPr fontId="8" type="noConversion"/>
  </si>
  <si>
    <t>onsite人员</t>
    <phoneticPr fontId="8" type="noConversion"/>
  </si>
  <si>
    <t>140</t>
    <phoneticPr fontId="8" type="noConversion"/>
  </si>
  <si>
    <t>高铁二等座</t>
    <phoneticPr fontId="8" type="noConversion"/>
  </si>
  <si>
    <t>服务人员</t>
    <phoneticPr fontId="8" type="noConversion"/>
  </si>
  <si>
    <t>甲方嘉宾</t>
    <phoneticPr fontId="8" type="noConversion"/>
  </si>
  <si>
    <t>大交通-机票</t>
    <phoneticPr fontId="8" type="noConversion"/>
  </si>
  <si>
    <t>乙方人员</t>
    <phoneticPr fontId="8" type="noConversion"/>
  </si>
  <si>
    <t>09.19&amp;09.20：苏州-杭州东 高铁二等座 133元/单程</t>
    <phoneticPr fontId="8" type="noConversion"/>
  </si>
  <si>
    <t>09.19~09.20：1人、2天小交通补助，报销上限100元/人/天</t>
    <phoneticPr fontId="8" type="noConversion"/>
  </si>
  <si>
    <t>32人</t>
    <phoneticPr fontId="8" type="noConversion"/>
  </si>
  <si>
    <t>住宿-海宁海洲大饭店</t>
    <phoneticPr fontId="8" type="noConversion"/>
  </si>
  <si>
    <t>【议价过程】第一版报价350、第二版报价340，最终报价320
【优惠折扣】9折
【报价包含】含早餐
【入住日期】入住共4晚，2025.9.19入住~2025.9.23离店</t>
    <phoneticPr fontId="8" type="noConversion"/>
  </si>
  <si>
    <t>320</t>
    <phoneticPr fontId="8" type="noConversion"/>
  </si>
  <si>
    <t>标准大/双床房</t>
    <phoneticPr fontId="8" type="noConversion"/>
  </si>
  <si>
    <t>孙元雪</t>
    <phoneticPr fontId="8" type="noConversion"/>
  </si>
  <si>
    <t>2025抖音创作者大会
抖音-图文-垂类运营</t>
    <phoneticPr fontId="8" type="noConversion"/>
  </si>
  <si>
    <t>sunyuanxue@bytedance.com</t>
    <phoneticPr fontId="8" type="noConversion"/>
  </si>
  <si>
    <t>9.19-9.23；国内往返杭州经济舱；实际出票金额：38960元</t>
    <phoneticPr fontId="8" type="noConversion"/>
  </si>
  <si>
    <t>大交通-高铁</t>
    <phoneticPr fontId="8" type="noConversion"/>
  </si>
  <si>
    <t>往返二等座</t>
    <phoneticPr fontId="8" type="noConversion"/>
  </si>
  <si>
    <t>9.19-9.23；国内往返杭州二等座；实际出票金额：2613元</t>
    <phoneticPr fontId="8" type="noConversion"/>
  </si>
  <si>
    <t>2769.78</t>
    <phoneticPr fontId="8" type="noConversion"/>
  </si>
  <si>
    <t>41297.6</t>
    <phoneticPr fontId="8" type="noConversion"/>
  </si>
  <si>
    <t>小交通</t>
    <phoneticPr fontId="8" type="noConversion"/>
  </si>
  <si>
    <t>G#008</t>
    <phoneticPr fontId="8" type="noConversion"/>
  </si>
  <si>
    <t>9.20、21、22；沈月团队用车</t>
    <phoneticPr fontId="8" type="noConversion"/>
  </si>
  <si>
    <t>G#009</t>
    <phoneticPr fontId="8" type="noConversion"/>
  </si>
  <si>
    <t>9.20、21、22；沈月团队用车超时；见备注</t>
    <phoneticPr fontId="8" type="noConversion"/>
  </si>
  <si>
    <t>9.20、21、22；沈月团队用车超公里；见备注</t>
    <phoneticPr fontId="8" type="noConversion"/>
  </si>
  <si>
    <t>G#010</t>
    <phoneticPr fontId="8" type="noConversion"/>
  </si>
  <si>
    <t>车辆1
09.20：盐官-萧山机场-酒店-盐官-萧山机场-酒店，超公里91公里
09.22：酒店-萧山T4-酒店-萧山T4-酒店-萧山T3-酒店-海宁西站，超公里192公里
车辆2
09.20：盐官--萧山机场--酒店--杭州慧康实业--萧山机场--酒店，超公里97公里
09.22：盐官--上海凯越酒店--附近两点--上海薇凯国际医疗总部，超公里76公里</t>
    <phoneticPr fontId="8" type="noConversion"/>
  </si>
  <si>
    <t>高速/过路费</t>
    <phoneticPr fontId="8" type="noConversion"/>
  </si>
  <si>
    <t>高速/过路费：130+187+123+60；500元</t>
    <phoneticPr fontId="8" type="noConversion"/>
  </si>
  <si>
    <t>项</t>
    <phoneticPr fontId="8" type="noConversion"/>
  </si>
  <si>
    <t>530</t>
    <phoneticPr fontId="8" type="noConversion"/>
  </si>
  <si>
    <t>9.20、21、22；2人3天</t>
    <phoneticPr fontId="8" type="noConversion"/>
  </si>
  <si>
    <t>31.8</t>
    <phoneticPr fontId="8" type="noConversion"/>
  </si>
  <si>
    <t>9.18、19、20；1间2晚</t>
    <phoneticPr fontId="8" type="noConversion"/>
  </si>
  <si>
    <t>09.19~09.20：1人、1间房、3晚</t>
    <phoneticPr fontId="8" type="noConversion"/>
  </si>
  <si>
    <t>09.20~09.22：司机2人、3天用餐补助，5餐，30元/餐/人</t>
    <phoneticPr fontId="8" type="noConversion"/>
  </si>
  <si>
    <t>酒店接待人员；超时</t>
    <phoneticPr fontId="8" type="noConversion"/>
  </si>
  <si>
    <t>66.25</t>
    <phoneticPr fontId="8" type="noConversion"/>
  </si>
  <si>
    <t>09.19：09:00-01:00 -超时8小时；2辆
09.21：09:00-23:00 -超时6小时；2辆
09.22：06:00-17:00 -超时3小时；1辆</t>
    <phoneticPr fontId="8" type="noConversion"/>
  </si>
  <si>
    <t>酒店接待人员；9.18/19/20</t>
    <phoneticPr fontId="8" type="noConversion"/>
  </si>
  <si>
    <t>09.19：09:30-24:30 超时7小时
09.20：09:00-24:00 超时7小时</t>
    <phoneticPr fontId="8" type="noConversion"/>
  </si>
  <si>
    <t>09.18~09.21：1人、3天用餐通补助，报销上限100元/人/天；结算用餐&amp;小交通补助100元/人/天</t>
    <phoneticPr fontId="8" type="noConversion"/>
  </si>
  <si>
    <t>9.18、19、20、21；1人3天</t>
    <phoneticPr fontId="8" type="noConversion"/>
  </si>
  <si>
    <t>P4-5（地接账单）</t>
    <phoneticPr fontId="8" type="noConversion"/>
  </si>
  <si>
    <t>/</t>
    <phoneticPr fontId="8" type="noConversion"/>
  </si>
  <si>
    <t>P6</t>
    <phoneticPr fontId="8" type="noConversion"/>
  </si>
  <si>
    <t>P7</t>
    <phoneticPr fontId="8" type="noConversion"/>
  </si>
  <si>
    <t>P8</t>
    <phoneticPr fontId="8" type="noConversion"/>
  </si>
  <si>
    <t>2025抖音创作者大会 抖音-图文-垂类运营接待结算单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</si>
</sst>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178" fontId="26" fillId="3" borderId="0" xfId="0" applyNumberFormat="1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5" fillId="0" borderId="0" xfId="26"/>
    <xf numFmtId="0" fontId="26" fillId="3" borderId="1" xfId="0" applyFont="1" applyFill="1" applyBorder="1" applyAlignment="1" applyProtection="1">
      <alignment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0" fontId="26" fillId="14" borderId="1" xfId="0" applyFont="1" applyFill="1" applyBorder="1" applyAlignment="1" applyProtection="1">
      <alignment horizontal="center" vertical="center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25253;&#20215;/&#12304;&#24247;&#36745;&#20250;&#23637;-&#25253;&#20215;&#12305;PR2508110522-&#20852;&#36259;&#29233;&#22909;-&#21016;&#26149;&#38632;-0815.xlsx" TargetMode="External"/><Relationship Id="rId1" Type="http://schemas.openxmlformats.org/officeDocument/2006/relationships/externalLinkPath" Target="&#29420;&#31435;PR&#25253;&#20215;/&#25253;&#20215;&#30830;&#35748;&#37038;&#20214;/&#12304;&#24247;&#36745;&#20250;&#23637;-&#25253;&#20215;&#12305;PR2508110522-&#20852;&#36259;&#29233;&#22909;-&#21016;&#26149;&#38632;-08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29420;&#31435;PR&#25253;&#20215;/&#25253;&#20215;&#30830;&#35748;&#37038;&#20214;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nyuanxue@bytedance.com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6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6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6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7" t="s">
        <v>140</v>
      </c>
      <c r="B6" s="153" t="s">
        <v>141</v>
      </c>
      <c r="C6" s="154"/>
    </row>
    <row r="7" spans="1:21" s="149" customFormat="1">
      <c r="A7" s="217"/>
      <c r="B7" s="153" t="s">
        <v>142</v>
      </c>
      <c r="C7" s="154"/>
    </row>
    <row r="8" spans="1:21" s="149" customFormat="1">
      <c r="A8" s="217"/>
      <c r="B8" s="154" t="s">
        <v>143</v>
      </c>
      <c r="C8" s="154"/>
    </row>
    <row r="9" spans="1:21" s="149" customFormat="1" ht="19" customHeight="1">
      <c r="A9" s="217"/>
      <c r="B9" s="153" t="s">
        <v>144</v>
      </c>
      <c r="C9" s="154"/>
    </row>
    <row r="10" spans="1:21" s="149" customFormat="1" ht="19" customHeight="1">
      <c r="A10" s="217"/>
      <c r="B10" s="153" t="s">
        <v>145</v>
      </c>
      <c r="C10" s="154"/>
    </row>
    <row r="11" spans="1:21" s="149" customFormat="1" ht="19" customHeight="1">
      <c r="A11" s="217" t="s">
        <v>146</v>
      </c>
      <c r="B11" s="153" t="s">
        <v>147</v>
      </c>
      <c r="C11" s="153"/>
    </row>
    <row r="12" spans="1:21" s="149" customFormat="1">
      <c r="A12" s="217"/>
      <c r="B12" s="153" t="s">
        <v>148</v>
      </c>
      <c r="C12" s="153"/>
    </row>
    <row r="13" spans="1:21" s="149" customFormat="1">
      <c r="A13" s="217"/>
      <c r="B13" s="153" t="s">
        <v>149</v>
      </c>
      <c r="C13" s="153"/>
    </row>
    <row r="14" spans="1:21" s="149" customFormat="1">
      <c r="A14" s="217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9" t="s">
        <v>89</v>
      </c>
      <c r="Q9" s="220"/>
      <c r="R9" s="221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9" t="s">
        <v>90</v>
      </c>
      <c r="Q18" s="220"/>
      <c r="R18" s="221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9" t="s">
        <v>91</v>
      </c>
      <c r="Q27" s="220"/>
      <c r="R27" s="221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9" t="s">
        <v>94</v>
      </c>
      <c r="Q36" s="220"/>
      <c r="R36" s="221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9" t="s">
        <v>95</v>
      </c>
      <c r="Q45" s="220"/>
      <c r="R45" s="221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9" t="s">
        <v>97</v>
      </c>
      <c r="Q51" s="220"/>
      <c r="R51" s="221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9" t="s">
        <v>96</v>
      </c>
      <c r="Q60" s="220"/>
      <c r="R60" s="221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9" t="s">
        <v>134</v>
      </c>
      <c r="Q69" s="220"/>
      <c r="R69" s="221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9" t="s">
        <v>120</v>
      </c>
      <c r="Q73" s="220"/>
      <c r="R73" s="221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2" t="s">
        <v>54</v>
      </c>
      <c r="Q75" s="222"/>
      <c r="R75" s="223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9" t="s">
        <v>121</v>
      </c>
      <c r="Q79" s="220"/>
      <c r="R79" s="221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2" t="s">
        <v>133</v>
      </c>
      <c r="Q82" s="222"/>
      <c r="R82" s="223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8"/>
      <c r="L84" s="218"/>
      <c r="M84" s="218"/>
      <c r="N84" s="218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8"/>
      <c r="L85" s="218"/>
      <c r="M85" s="218"/>
      <c r="N85" s="218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F26" sqref="F2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5" t="s">
        <v>3028</v>
      </c>
      <c r="B1" s="226"/>
      <c r="C1" s="226"/>
      <c r="D1" s="226"/>
      <c r="E1" s="226"/>
      <c r="F1" s="226"/>
      <c r="G1" s="226"/>
      <c r="H1" s="227"/>
    </row>
    <row r="2" spans="1:8" ht="30">
      <c r="A2" s="4" t="s">
        <v>0</v>
      </c>
      <c r="B2" s="10" t="s">
        <v>2991</v>
      </c>
      <c r="C2" s="11" t="s">
        <v>1</v>
      </c>
      <c r="D2" s="228" t="s">
        <v>2955</v>
      </c>
      <c r="E2" s="229"/>
      <c r="F2" s="229"/>
      <c r="G2" s="230" t="s">
        <v>37</v>
      </c>
      <c r="H2" s="231"/>
    </row>
    <row r="3" spans="1:8">
      <c r="A3" s="3" t="s">
        <v>2</v>
      </c>
      <c r="B3" s="13" t="s">
        <v>2970</v>
      </c>
      <c r="C3" s="14" t="s">
        <v>3</v>
      </c>
      <c r="D3" s="228" t="s">
        <v>2985</v>
      </c>
      <c r="E3" s="229"/>
      <c r="F3" s="229"/>
      <c r="G3" s="232"/>
      <c r="H3" s="233"/>
    </row>
    <row r="4" spans="1:8">
      <c r="A4" s="3" t="s">
        <v>23</v>
      </c>
      <c r="B4" s="10" t="s">
        <v>2990</v>
      </c>
      <c r="C4" s="1" t="s">
        <v>4</v>
      </c>
      <c r="D4" s="12"/>
      <c r="E4" s="14" t="s">
        <v>5</v>
      </c>
      <c r="F4" s="214" t="s">
        <v>2992</v>
      </c>
      <c r="G4" s="36"/>
      <c r="H4" s="37" t="s">
        <v>17</v>
      </c>
    </row>
    <row r="5" spans="1:8" ht="16">
      <c r="A5" s="3" t="s">
        <v>24</v>
      </c>
      <c r="B5" s="10" t="s">
        <v>2971</v>
      </c>
      <c r="C5" s="1" t="s">
        <v>4</v>
      </c>
      <c r="D5" s="12"/>
      <c r="E5" s="14" t="s">
        <v>5</v>
      </c>
      <c r="F5" s="213" t="s">
        <v>2972</v>
      </c>
      <c r="G5" s="38"/>
      <c r="H5" s="37" t="s">
        <v>18</v>
      </c>
    </row>
    <row r="6" spans="1:8">
      <c r="A6" s="3" t="s">
        <v>6</v>
      </c>
      <c r="B6" s="234" t="s">
        <v>2952</v>
      </c>
      <c r="C6" s="235"/>
      <c r="D6" s="235"/>
      <c r="E6" s="235"/>
      <c r="F6" s="235"/>
      <c r="G6" s="39"/>
      <c r="H6" s="37" t="s">
        <v>19</v>
      </c>
    </row>
    <row r="7" spans="1:8" ht="16">
      <c r="A7" s="3" t="s">
        <v>7</v>
      </c>
      <c r="B7" s="10" t="s">
        <v>2953</v>
      </c>
      <c r="C7" s="1" t="s">
        <v>4</v>
      </c>
      <c r="D7" s="12">
        <v>15811515220</v>
      </c>
      <c r="E7" s="14" t="s">
        <v>5</v>
      </c>
      <c r="F7" s="200" t="s">
        <v>2954</v>
      </c>
      <c r="G7" s="40"/>
      <c r="H7" s="37" t="s">
        <v>20</v>
      </c>
    </row>
    <row r="8" spans="1:8" ht="18">
      <c r="A8" s="224" t="s">
        <v>38</v>
      </c>
      <c r="B8" s="224"/>
      <c r="C8" s="224"/>
      <c r="D8" s="224"/>
      <c r="E8" s="224"/>
      <c r="F8" s="224"/>
      <c r="G8" s="224"/>
      <c r="H8" s="22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'2.结算清单'!#REF!</f>
        <v>#REF!</v>
      </c>
      <c r="D10" s="6" t="str">
        <f>IFERROR(_xlfn.IFNA(C10/$C$21,""),"")</f>
        <v/>
      </c>
      <c r="E10" s="8" t="e">
        <f>'2.结算清单'!#REF!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'2.结算清单'!#REF!</f>
        <v>#REF!</v>
      </c>
      <c r="D11" s="6" t="str">
        <f t="shared" ref="D11:D18" si="1">IFERROR(_xlfn.IFNA(C11/$C$21,""),"")</f>
        <v/>
      </c>
      <c r="E11" s="8" t="e">
        <f>'2.结算清单'!#REF!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'2.结算清单'!P5</f>
        <v>1060</v>
      </c>
      <c r="D12" s="6">
        <f>IFERROR(_xlfn.IFNA(C12/$C$21,""),"")</f>
        <v>7.4143096063488418E-3</v>
      </c>
      <c r="E12" s="8">
        <f>'2.结算清单'!Q5</f>
        <v>2517.5</v>
      </c>
      <c r="F12" s="6">
        <f t="shared" si="0"/>
        <v>2.5761035530307844E-2</v>
      </c>
      <c r="G12" s="8">
        <f t="shared" si="2"/>
        <v>1457.5</v>
      </c>
      <c r="H12" s="5"/>
    </row>
    <row r="13" spans="1:8">
      <c r="A13" s="41">
        <v>4</v>
      </c>
      <c r="B13" s="42" t="s">
        <v>47</v>
      </c>
      <c r="C13" s="8" t="e">
        <f>'2.结算清单'!#REF!</f>
        <v>#REF!</v>
      </c>
      <c r="D13" s="6" t="str">
        <f t="shared" si="1"/>
        <v/>
      </c>
      <c r="E13" s="8" t="e">
        <f>'2.结算清单'!#REF!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'2.结算清单'!P19</f>
        <v>133620</v>
      </c>
      <c r="D14" s="6">
        <f>IFERROR(_xlfn.IFNA(C14/$C$21,""),"")</f>
        <v>0.93462268830220019</v>
      </c>
      <c r="E14" s="8">
        <f>'2.结算清单'!Q19</f>
        <v>89475.58</v>
      </c>
      <c r="F14" s="6">
        <f t="shared" si="0"/>
        <v>0.91558434775567121</v>
      </c>
      <c r="G14" s="8">
        <f t="shared" si="2"/>
        <v>-44144.42</v>
      </c>
      <c r="H14" s="5"/>
    </row>
    <row r="15" spans="1:8">
      <c r="A15" s="41">
        <v>6</v>
      </c>
      <c r="B15" s="42" t="s">
        <v>30</v>
      </c>
      <c r="C15" s="8" t="e">
        <f>'2.结算清单'!#REF!</f>
        <v>#REF!</v>
      </c>
      <c r="D15" s="6" t="str">
        <f>IFERROR(_xlfn.IFNA(C15/$C$21,""),"")</f>
        <v/>
      </c>
      <c r="E15" s="8" t="e">
        <f>'2.结算清单'!#REF!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'2.结算清单'!#REF!</f>
        <v>#REF!</v>
      </c>
      <c r="D16" s="6" t="str">
        <f t="shared" si="1"/>
        <v/>
      </c>
      <c r="E16" s="8" t="e">
        <f>'2.结算清单'!#REF!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'2.结算清单'!#REF!</f>
        <v>#REF!</v>
      </c>
      <c r="D17" s="6" t="str">
        <f t="shared" si="1"/>
        <v/>
      </c>
      <c r="E17" s="8" t="e">
        <f>'2.结算清单'!#REF!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'2.结算清单'!#REF!</f>
        <v>#REF!</v>
      </c>
      <c r="D18" s="6" t="str">
        <f t="shared" si="1"/>
        <v/>
      </c>
      <c r="E18" s="8" t="e">
        <f>'2.结算清单'!#REF!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8" t="s">
        <v>53</v>
      </c>
      <c r="B19" s="23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0" t="s">
        <v>87</v>
      </c>
      <c r="B20" s="239"/>
      <c r="C20" s="9" t="str">
        <f>'2.结算清单'!J28</f>
        <v>0</v>
      </c>
      <c r="D20" s="6">
        <f>IFERROR(_xlfn.IFNA(C20/$C$22,""),"")</f>
        <v>0</v>
      </c>
      <c r="E20" s="9" t="str">
        <f>'2.结算清单'!K28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38" t="s">
        <v>13</v>
      </c>
      <c r="B21" s="238"/>
      <c r="C21" s="9">
        <f>'2.结算清单'!P30</f>
        <v>142966.78400000001</v>
      </c>
      <c r="D21" s="6">
        <f>IFERROR(_xlfn.IFNA(C21/$C$22,""),"")</f>
        <v>1</v>
      </c>
      <c r="E21" s="9">
        <f>'2.结算清单'!Q30</f>
        <v>97725.108800000002</v>
      </c>
      <c r="F21" s="6">
        <f>IFERROR(_xlfn.IFNA(E21/$E$22,""),"")</f>
        <v>1</v>
      </c>
      <c r="G21" s="8">
        <f>IFERROR(E21-C21,"")</f>
        <v>-45241.675200000012</v>
      </c>
      <c r="H21" s="5"/>
    </row>
    <row r="22" spans="1:8">
      <c r="A22" s="236" t="s">
        <v>42</v>
      </c>
      <c r="B22" s="236"/>
      <c r="C22" s="237">
        <f>'2.结算清单'!P30</f>
        <v>142966.78400000001</v>
      </c>
      <c r="D22" s="237"/>
      <c r="E22" s="237">
        <f>'2.结算清单'!Q30</f>
        <v>97725.108800000002</v>
      </c>
      <c r="F22" s="237"/>
      <c r="G22" s="7">
        <f>IFERROR(E22-C22,"")</f>
        <v>-45241.675200000012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3E2AFC1C-54AF-F14B-9996-22D23F8D5F48}"/>
    <hyperlink ref="F5" r:id="rId2" xr:uid="{4DAE9F03-FCD1-8C46-B604-A2D890D191DB}"/>
    <hyperlink ref="F4" r:id="rId3" xr:uid="{DA3E0715-C0DC-8947-B8E3-57BD1D39DB74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4"/>
  <sheetViews>
    <sheetView topLeftCell="H8" zoomScale="90" zoomScaleNormal="90" workbookViewId="0">
      <selection activeCell="Q19" activeCellId="1" sqref="Q5 Q19"/>
    </sheetView>
  </sheetViews>
  <sheetFormatPr baseColWidth="10" defaultColWidth="9" defaultRowHeight="16" outlineLevelCol="1"/>
  <cols>
    <col min="1" max="1" width="12" style="77" bestFit="1" customWidth="1"/>
    <col min="2" max="2" width="13" style="93" customWidth="1"/>
    <col min="3" max="3" width="17.5" style="93" bestFit="1" customWidth="1"/>
    <col min="4" max="4" width="27.83203125" style="93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74.16406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49.5" style="77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34">
      <c r="A2" s="173" t="s">
        <v>84</v>
      </c>
      <c r="B2" s="128" t="s">
        <v>2976</v>
      </c>
      <c r="C2" s="128" t="s">
        <v>2979</v>
      </c>
      <c r="D2" s="128" t="s">
        <v>3019</v>
      </c>
      <c r="E2" s="128" t="s">
        <v>132</v>
      </c>
      <c r="F2" s="174" t="s">
        <v>2911</v>
      </c>
      <c r="G2" s="128" t="str">
        <f>_xlfn.IFNA(IF(VLOOKUP($F2,'[1]3.框架内物料'!$A:$E,2,0)=0,"请勿填写",VLOOKUP($F2,'[1]3.框架内物料'!$A:$E,2,0)),"")</f>
        <v>M939882634395557889</v>
      </c>
      <c r="H2" s="202" t="str">
        <f>_xlfn.IFNA(VLOOKUP($F2,'[1]3.框架内物料'!$A:$E,4,0),"")</f>
        <v>Onsite 人员-服务人员-地接上会服务人员-人员劳务费。不含住宿、交通、补贴等费用，每天不超过8小时</v>
      </c>
      <c r="I2" s="128" t="str">
        <f>_xlfn.IFNA(VLOOKUP($F2,'[1]3.框架内物料'!$A:$E,5,0),"")</f>
        <v>人/天</v>
      </c>
      <c r="J2" s="189">
        <f>_xlfn.IFNA(VLOOKUP($F2,'[1]3.框架内物料'!$A:$F,6,0),"")</f>
        <v>530</v>
      </c>
      <c r="K2" s="189">
        <f>_xlfn.IFNA(VLOOKUP($F2,'[1]3.框架内物料'!$A:$F,6,0),"")</f>
        <v>530</v>
      </c>
      <c r="L2" s="67">
        <v>1</v>
      </c>
      <c r="M2" s="67">
        <v>1</v>
      </c>
      <c r="N2" s="67">
        <v>2</v>
      </c>
      <c r="O2" s="67">
        <v>3</v>
      </c>
      <c r="P2" s="175">
        <f>IFERROR(N2*L2*J2,0)</f>
        <v>1060</v>
      </c>
      <c r="Q2" s="175">
        <f t="shared" ref="Q2" si="0">IFERROR(O2*M2*K2,0)</f>
        <v>1590</v>
      </c>
      <c r="R2" s="176">
        <f t="shared" ref="R2" si="1">Q2-P2</f>
        <v>530</v>
      </c>
      <c r="S2" s="177">
        <v>0.06</v>
      </c>
      <c r="T2" s="177">
        <v>0</v>
      </c>
      <c r="U2" s="179"/>
      <c r="V2" s="246" t="s">
        <v>3023</v>
      </c>
    </row>
    <row r="3" spans="1:25" s="180" customFormat="1" ht="34">
      <c r="A3" s="173" t="s">
        <v>84</v>
      </c>
      <c r="B3" s="128" t="s">
        <v>2976</v>
      </c>
      <c r="C3" s="128" t="s">
        <v>2979</v>
      </c>
      <c r="D3" s="128" t="s">
        <v>3016</v>
      </c>
      <c r="E3" s="128" t="s">
        <v>129</v>
      </c>
      <c r="F3" s="174"/>
      <c r="G3" s="128"/>
      <c r="H3" s="202" t="s">
        <v>3020</v>
      </c>
      <c r="I3" s="128" t="str">
        <f>_xlfn.IFNA(VLOOKUP($F3,'[1]3.框架内物料'!$A:$E,5,0),"")</f>
        <v/>
      </c>
      <c r="J3" s="189" t="str">
        <f>_xlfn.IFNA(VLOOKUP($F3,'[1]3.框架内物料'!$A:$F,6,0),"")</f>
        <v/>
      </c>
      <c r="K3" s="189" t="s">
        <v>3017</v>
      </c>
      <c r="L3" s="67"/>
      <c r="M3" s="67">
        <v>2</v>
      </c>
      <c r="N3" s="67"/>
      <c r="O3" s="67">
        <v>7</v>
      </c>
      <c r="P3" s="175"/>
      <c r="Q3" s="175">
        <f t="shared" ref="Q3" si="2">IFERROR(O3*M3*K3,0)</f>
        <v>927.5</v>
      </c>
      <c r="R3" s="176">
        <f t="shared" ref="R3" si="3">Q3-P3</f>
        <v>927.5</v>
      </c>
      <c r="S3" s="177">
        <v>0.06</v>
      </c>
      <c r="T3" s="177">
        <v>0</v>
      </c>
      <c r="U3" s="179"/>
      <c r="V3" s="246" t="s">
        <v>3023</v>
      </c>
    </row>
    <row r="4" spans="1:25" s="71" customFormat="1" ht="18">
      <c r="A4" s="57"/>
      <c r="B4" s="61"/>
      <c r="C4" s="61"/>
      <c r="D4" s="61"/>
      <c r="E4" s="61"/>
      <c r="F4" s="58"/>
      <c r="G4" s="58"/>
      <c r="H4" s="58"/>
      <c r="I4" s="58"/>
      <c r="J4" s="190"/>
      <c r="K4" s="190"/>
      <c r="L4" s="58"/>
      <c r="M4" s="58"/>
      <c r="N4" s="58"/>
      <c r="O4" s="58"/>
      <c r="P4" s="241" t="s">
        <v>91</v>
      </c>
      <c r="Q4" s="242"/>
      <c r="R4" s="243"/>
      <c r="S4" s="165"/>
      <c r="T4" s="165"/>
      <c r="U4" s="60"/>
      <c r="V4" s="60"/>
    </row>
    <row r="5" spans="1:25" s="71" customFormat="1" ht="18">
      <c r="A5" s="54"/>
      <c r="B5" s="62"/>
      <c r="C5" s="62"/>
      <c r="D5" s="62"/>
      <c r="E5" s="62"/>
      <c r="F5" s="55"/>
      <c r="G5" s="55"/>
      <c r="H5" s="55"/>
      <c r="I5" s="55"/>
      <c r="J5" s="191"/>
      <c r="K5" s="191"/>
      <c r="L5" s="55"/>
      <c r="M5" s="55"/>
      <c r="N5" s="55"/>
      <c r="O5" s="55"/>
      <c r="P5" s="158">
        <f>SUM(P2:P3)</f>
        <v>1060</v>
      </c>
      <c r="Q5" s="158">
        <f>SUM(Q2:Q3)</f>
        <v>2517.5</v>
      </c>
      <c r="R5" s="158">
        <f>Q5-P5</f>
        <v>1457.5</v>
      </c>
      <c r="S5" s="166"/>
      <c r="T5" s="171"/>
      <c r="U5" s="55"/>
      <c r="V5" s="56"/>
    </row>
    <row r="6" spans="1:25" s="180" customFormat="1" ht="22" customHeight="1">
      <c r="A6" s="173" t="s">
        <v>93</v>
      </c>
      <c r="B6" s="201" t="s">
        <v>2980</v>
      </c>
      <c r="C6" s="128" t="s">
        <v>2981</v>
      </c>
      <c r="D6" s="128" t="s">
        <v>2956</v>
      </c>
      <c r="E6" s="128" t="s">
        <v>129</v>
      </c>
      <c r="F6" s="174"/>
      <c r="G6" s="128" t="str">
        <f>_xlfn.IFNA(IF(VLOOKUP($F6,'3.框架内物料'!$A:$E,2,0)=0,"请勿填写",VLOOKUP($F6,'3.框架内物料'!$A:$E,2,0)),"")</f>
        <v/>
      </c>
      <c r="H6" s="202" t="s">
        <v>2993</v>
      </c>
      <c r="I6" s="128" t="s">
        <v>2957</v>
      </c>
      <c r="J6" s="189" t="s">
        <v>2958</v>
      </c>
      <c r="K6" s="189" t="s">
        <v>2998</v>
      </c>
      <c r="L6" s="67">
        <v>35</v>
      </c>
      <c r="M6" s="67">
        <v>1</v>
      </c>
      <c r="N6" s="67">
        <v>1</v>
      </c>
      <c r="O6" s="67">
        <v>1</v>
      </c>
      <c r="P6" s="175">
        <f t="shared" ref="P6:P17" si="4">IFERROR(N6*L6*J6,0)</f>
        <v>87500</v>
      </c>
      <c r="Q6" s="175">
        <f>IFERROR(O6*M6*K6,0)</f>
        <v>41297.599999999999</v>
      </c>
      <c r="R6" s="176">
        <f t="shared" ref="R6:R9" si="5">Q6-P6</f>
        <v>-46202.400000000001</v>
      </c>
      <c r="S6" s="177">
        <v>0.06</v>
      </c>
      <c r="T6" s="177">
        <v>0</v>
      </c>
      <c r="U6" s="179"/>
      <c r="V6" s="178" t="s">
        <v>3025</v>
      </c>
    </row>
    <row r="7" spans="1:25" s="180" customFormat="1" ht="22" customHeight="1">
      <c r="A7" s="173" t="s">
        <v>93</v>
      </c>
      <c r="B7" s="201" t="s">
        <v>2980</v>
      </c>
      <c r="C7" s="128" t="s">
        <v>2994</v>
      </c>
      <c r="D7" s="128" t="s">
        <v>2995</v>
      </c>
      <c r="E7" s="128" t="s">
        <v>129</v>
      </c>
      <c r="F7" s="174"/>
      <c r="G7" s="128" t="str">
        <f>_xlfn.IFNA(IF(VLOOKUP($F7,'3.框架内物料'!$A:$E,2,0)=0,"请勿填写",VLOOKUP($F7,'3.框架内物料'!$A:$E,2,0)),"")</f>
        <v/>
      </c>
      <c r="H7" s="202" t="s">
        <v>2996</v>
      </c>
      <c r="I7" s="128" t="s">
        <v>2957</v>
      </c>
      <c r="J7" s="189"/>
      <c r="K7" s="189" t="s">
        <v>2997</v>
      </c>
      <c r="L7" s="67"/>
      <c r="M7" s="67">
        <v>1</v>
      </c>
      <c r="N7" s="67"/>
      <c r="O7" s="67">
        <v>1</v>
      </c>
      <c r="P7" s="175"/>
      <c r="Q7" s="175">
        <f>IFERROR(O7*M7*K7,0)</f>
        <v>2769.78</v>
      </c>
      <c r="R7" s="176">
        <f t="shared" ref="R7" si="6">Q7-P7</f>
        <v>2769.78</v>
      </c>
      <c r="S7" s="177">
        <v>0.06</v>
      </c>
      <c r="T7" s="177">
        <v>0</v>
      </c>
      <c r="U7" s="179"/>
      <c r="V7" s="178" t="s">
        <v>3025</v>
      </c>
    </row>
    <row r="8" spans="1:25" s="180" customFormat="1" ht="68">
      <c r="A8" s="173" t="s">
        <v>93</v>
      </c>
      <c r="B8" s="201" t="s">
        <v>2980</v>
      </c>
      <c r="C8" s="128" t="s">
        <v>2986</v>
      </c>
      <c r="D8" s="128" t="s">
        <v>2989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2" t="s">
        <v>2987</v>
      </c>
      <c r="I8" s="128" t="s">
        <v>2962</v>
      </c>
      <c r="J8" s="189" t="s">
        <v>2988</v>
      </c>
      <c r="K8" s="189" t="s">
        <v>2988</v>
      </c>
      <c r="L8" s="67">
        <v>35</v>
      </c>
      <c r="M8" s="67">
        <v>95</v>
      </c>
      <c r="N8" s="67">
        <v>4</v>
      </c>
      <c r="O8" s="67">
        <v>1</v>
      </c>
      <c r="P8" s="175">
        <f t="shared" si="4"/>
        <v>44800</v>
      </c>
      <c r="Q8" s="175">
        <f>IFERROR(O8*M8*K8,0)</f>
        <v>30400</v>
      </c>
      <c r="R8" s="176">
        <f t="shared" si="5"/>
        <v>-14400</v>
      </c>
      <c r="S8" s="177">
        <v>0.06</v>
      </c>
      <c r="T8" s="177">
        <v>0</v>
      </c>
      <c r="U8" s="179"/>
      <c r="V8" s="178" t="s">
        <v>3026</v>
      </c>
      <c r="Y8" s="181"/>
    </row>
    <row r="9" spans="1:25" s="180" customFormat="1" ht="34">
      <c r="A9" s="173" t="s">
        <v>93</v>
      </c>
      <c r="B9" s="205" t="s">
        <v>2980</v>
      </c>
      <c r="C9" s="128" t="s">
        <v>2999</v>
      </c>
      <c r="D9" s="128" t="s">
        <v>3001</v>
      </c>
      <c r="E9" s="128" t="s">
        <v>132</v>
      </c>
      <c r="F9" s="174" t="s">
        <v>3000</v>
      </c>
      <c r="G9" s="128" t="str">
        <f>_xlfn.IFNA(IF(VLOOKUP($F9,'[1]3.框架内物料'!$A:$E,2,0)=0,"请勿填写",VLOOKUP($F9,'[1]3.框架内物料'!$A:$E,2,0)),"")</f>
        <v>M939882596713930754</v>
      </c>
      <c r="H9" s="202" t="str">
        <f>_xlfn.IFNA(VLOOKUP($F9,'[1]3.框架内物料'!$A:$E,4,0),"")</f>
        <v>接待用车-车辆-车辆物流-运营车辆-商务乘用车-GL8，可使用同等类型车辆，1天8小时 or 100km计算，超出公里数及时间另计费</v>
      </c>
      <c r="I9" s="128" t="str">
        <f>_xlfn.IFNA(VLOOKUP($F9,'[1]3.框架内物料'!$A:$E,5,0),"")</f>
        <v>辆/天</v>
      </c>
      <c r="J9" s="189"/>
      <c r="K9" s="189">
        <f>_xlfn.IFNA(VLOOKUP($F9,'[1]3.框架内物料'!$A:$F,6,0),"")</f>
        <v>1060</v>
      </c>
      <c r="L9" s="67"/>
      <c r="M9" s="67">
        <v>2</v>
      </c>
      <c r="N9" s="67"/>
      <c r="O9" s="67">
        <v>3</v>
      </c>
      <c r="P9" s="175"/>
      <c r="Q9" s="175">
        <f>IFERROR(O9*M9*K9,0)</f>
        <v>6360</v>
      </c>
      <c r="R9" s="176">
        <f t="shared" si="5"/>
        <v>6360</v>
      </c>
      <c r="S9" s="177">
        <v>0.06</v>
      </c>
      <c r="T9" s="177">
        <v>0</v>
      </c>
      <c r="U9" s="179"/>
      <c r="V9" s="246" t="s">
        <v>3023</v>
      </c>
      <c r="Y9" s="181"/>
    </row>
    <row r="10" spans="1:25" s="180" customFormat="1" ht="51">
      <c r="A10" s="173" t="s">
        <v>93</v>
      </c>
      <c r="B10" s="205" t="s">
        <v>2980</v>
      </c>
      <c r="C10" s="128" t="s">
        <v>2999</v>
      </c>
      <c r="D10" s="128" t="s">
        <v>3003</v>
      </c>
      <c r="E10" s="128" t="s">
        <v>132</v>
      </c>
      <c r="F10" s="174" t="s">
        <v>3002</v>
      </c>
      <c r="G10" s="128" t="str">
        <f>_xlfn.IFNA(IF(VLOOKUP($F10,'[1]3.框架内物料'!$A:$E,2,0)=0,"请勿填写",VLOOKUP($F10,'[1]3.框架内物料'!$A:$E,2,0)),"")</f>
        <v>M947580304028082178</v>
      </c>
      <c r="H10" s="202" t="str">
        <f>_xlfn.IFNA(VLOOKUP($F10,'[1]3.框架内物料'!$A:$E,4,0),"")</f>
        <v>接待用车-车辆-车辆物流-运营车辆-商务乘用车-GL8，超时间收费</v>
      </c>
      <c r="I10" s="128" t="str">
        <f>_xlfn.IFNA(VLOOKUP($F10,'[1]3.框架内物料'!$A:$E,5,0),"")</f>
        <v>辆/小时</v>
      </c>
      <c r="J10" s="189"/>
      <c r="K10" s="189">
        <f>_xlfn.IFNA(VLOOKUP($F10,'[1]3.框架内物料'!$A:$F,6,0),"")</f>
        <v>74.2</v>
      </c>
      <c r="L10" s="67"/>
      <c r="M10" s="67">
        <v>31</v>
      </c>
      <c r="N10" s="67"/>
      <c r="O10" s="67">
        <v>1</v>
      </c>
      <c r="P10" s="175"/>
      <c r="Q10" s="175">
        <f>IFERROR(O10*M10*K10,0)</f>
        <v>2300.2000000000003</v>
      </c>
      <c r="R10" s="176">
        <f t="shared" ref="R10" si="7">Q10-P10</f>
        <v>2300.2000000000003</v>
      </c>
      <c r="S10" s="177">
        <v>0.06</v>
      </c>
      <c r="T10" s="177">
        <v>0</v>
      </c>
      <c r="U10" s="215" t="s">
        <v>3018</v>
      </c>
      <c r="V10" s="246" t="s">
        <v>3023</v>
      </c>
      <c r="Y10" s="181"/>
    </row>
    <row r="11" spans="1:25" s="180" customFormat="1" ht="153">
      <c r="A11" s="173" t="s">
        <v>93</v>
      </c>
      <c r="B11" s="205" t="s">
        <v>2980</v>
      </c>
      <c r="C11" s="128" t="s">
        <v>2999</v>
      </c>
      <c r="D11" s="128" t="s">
        <v>3004</v>
      </c>
      <c r="E11" s="128" t="s">
        <v>132</v>
      </c>
      <c r="F11" s="174" t="s">
        <v>3005</v>
      </c>
      <c r="G11" s="128" t="str">
        <f>_xlfn.IFNA(IF(VLOOKUP($F11,'[1]3.框架内物料'!$A:$E,2,0)=0,"请勿填写",VLOOKUP($F11,'[1]3.框架内物料'!$A:$E,2,0)),"")</f>
        <v>M939882613759582209</v>
      </c>
      <c r="H11" s="202" t="str">
        <f>_xlfn.IFNA(VLOOKUP($F11,'[1]3.框架内物料'!$A:$E,4,0),"")</f>
        <v>接待用车-车辆-车辆物流-运营车辆-商务乘用车-GL8，超公里收费</v>
      </c>
      <c r="I11" s="128" t="str">
        <f>_xlfn.IFNA(VLOOKUP($F11,'[1]3.框架内物料'!$A:$E,5,0),"")</f>
        <v>车/公里</v>
      </c>
      <c r="J11" s="189"/>
      <c r="K11" s="189">
        <f>_xlfn.IFNA(VLOOKUP($F11,'[1]3.框架内物料'!$A:$F,6,0),"")</f>
        <v>10</v>
      </c>
      <c r="L11" s="67"/>
      <c r="M11" s="67">
        <v>456</v>
      </c>
      <c r="N11" s="67"/>
      <c r="O11" s="67">
        <v>1</v>
      </c>
      <c r="P11" s="175"/>
      <c r="Q11" s="175">
        <f t="shared" ref="Q11" si="8">IFERROR(O11*M11*K11,0)</f>
        <v>4560</v>
      </c>
      <c r="R11" s="176">
        <f t="shared" ref="R11" si="9">Q11-P11</f>
        <v>4560</v>
      </c>
      <c r="S11" s="177">
        <v>0.06</v>
      </c>
      <c r="T11" s="177">
        <v>0</v>
      </c>
      <c r="U11" s="215" t="s">
        <v>3006</v>
      </c>
      <c r="V11" s="246" t="s">
        <v>3023</v>
      </c>
      <c r="Y11" s="181"/>
    </row>
    <row r="12" spans="1:25" s="180" customFormat="1" ht="22" customHeight="1">
      <c r="A12" s="173" t="s">
        <v>93</v>
      </c>
      <c r="B12" s="205" t="s">
        <v>2980</v>
      </c>
      <c r="C12" s="128" t="s">
        <v>2999</v>
      </c>
      <c r="D12" s="128" t="s">
        <v>3007</v>
      </c>
      <c r="E12" s="201" t="s">
        <v>129</v>
      </c>
      <c r="F12" s="174"/>
      <c r="G12" s="128"/>
      <c r="H12" s="202" t="s">
        <v>3008</v>
      </c>
      <c r="I12" s="128" t="s">
        <v>3009</v>
      </c>
      <c r="J12" s="189"/>
      <c r="K12" s="189" t="s">
        <v>3010</v>
      </c>
      <c r="L12" s="67"/>
      <c r="M12" s="67">
        <v>1</v>
      </c>
      <c r="N12" s="67"/>
      <c r="O12" s="67">
        <v>1</v>
      </c>
      <c r="P12" s="175"/>
      <c r="Q12" s="175">
        <f t="shared" ref="Q12" si="10">IFERROR(O12*M12*K12,0)</f>
        <v>530</v>
      </c>
      <c r="R12" s="176">
        <f t="shared" ref="R12" si="11">Q12-P12</f>
        <v>530</v>
      </c>
      <c r="S12" s="177">
        <v>0.06</v>
      </c>
      <c r="T12" s="177">
        <v>0</v>
      </c>
      <c r="U12" s="215"/>
      <c r="V12" s="246" t="s">
        <v>3023</v>
      </c>
      <c r="Y12" s="181"/>
    </row>
    <row r="13" spans="1:25" s="212" customFormat="1" ht="22" customHeight="1">
      <c r="A13" s="205" t="s">
        <v>93</v>
      </c>
      <c r="B13" s="205" t="s">
        <v>2982</v>
      </c>
      <c r="C13" s="201" t="s">
        <v>2973</v>
      </c>
      <c r="D13" s="201" t="s">
        <v>2978</v>
      </c>
      <c r="E13" s="201" t="s">
        <v>129</v>
      </c>
      <c r="F13" s="206"/>
      <c r="G13" s="201"/>
      <c r="H13" s="202" t="s">
        <v>2983</v>
      </c>
      <c r="I13" s="201" t="s">
        <v>2974</v>
      </c>
      <c r="J13" s="208" t="s">
        <v>2977</v>
      </c>
      <c r="K13" s="208"/>
      <c r="L13" s="209">
        <v>1</v>
      </c>
      <c r="M13" s="209"/>
      <c r="N13" s="209">
        <v>2</v>
      </c>
      <c r="O13" s="209"/>
      <c r="P13" s="210">
        <f t="shared" ref="P13" si="12">IFERROR(N13*L13*J13,0)</f>
        <v>280</v>
      </c>
      <c r="Q13" s="210">
        <f t="shared" ref="Q13" si="13">IFERROR(O13*M13*K13,0)</f>
        <v>0</v>
      </c>
      <c r="R13" s="211">
        <f t="shared" ref="R13" si="14">Q13-P13</f>
        <v>-280</v>
      </c>
      <c r="S13" s="177">
        <v>0.06</v>
      </c>
      <c r="T13" s="177">
        <v>0</v>
      </c>
      <c r="U13" s="205"/>
      <c r="V13" s="205" t="s">
        <v>3024</v>
      </c>
    </row>
    <row r="14" spans="1:25" s="212" customFormat="1" ht="22" customHeight="1">
      <c r="A14" s="205" t="s">
        <v>93</v>
      </c>
      <c r="B14" s="205" t="s">
        <v>2982</v>
      </c>
      <c r="C14" s="201" t="s">
        <v>2959</v>
      </c>
      <c r="D14" s="201" t="s">
        <v>3013</v>
      </c>
      <c r="E14" s="201" t="s">
        <v>129</v>
      </c>
      <c r="F14" s="206"/>
      <c r="G14" s="201"/>
      <c r="H14" s="207" t="s">
        <v>3014</v>
      </c>
      <c r="I14" s="201" t="s">
        <v>2962</v>
      </c>
      <c r="J14" s="208" t="s">
        <v>2988</v>
      </c>
      <c r="K14" s="208" t="s">
        <v>2988</v>
      </c>
      <c r="L14" s="209">
        <v>1</v>
      </c>
      <c r="M14" s="209">
        <v>1</v>
      </c>
      <c r="N14" s="209">
        <v>2</v>
      </c>
      <c r="O14" s="209">
        <v>2</v>
      </c>
      <c r="P14" s="210">
        <f t="shared" si="4"/>
        <v>640</v>
      </c>
      <c r="Q14" s="210">
        <f t="shared" ref="Q14:Q17" si="15">IFERROR(O14*M14*K14,0)</f>
        <v>640</v>
      </c>
      <c r="R14" s="211">
        <f t="shared" ref="R14:R17" si="16">Q14-P14</f>
        <v>0</v>
      </c>
      <c r="S14" s="177">
        <v>0.06</v>
      </c>
      <c r="T14" s="177">
        <v>0</v>
      </c>
      <c r="U14" s="205"/>
      <c r="V14" s="205" t="s">
        <v>3027</v>
      </c>
    </row>
    <row r="15" spans="1:25" s="212" customFormat="1" ht="22" customHeight="1">
      <c r="A15" s="205" t="s">
        <v>93</v>
      </c>
      <c r="B15" s="205" t="s">
        <v>2982</v>
      </c>
      <c r="C15" s="201" t="s">
        <v>2960</v>
      </c>
      <c r="D15" s="201" t="s">
        <v>3022</v>
      </c>
      <c r="E15" s="201" t="s">
        <v>129</v>
      </c>
      <c r="F15" s="206"/>
      <c r="G15" s="201"/>
      <c r="H15" s="207" t="s">
        <v>3021</v>
      </c>
      <c r="I15" s="201" t="s">
        <v>2963</v>
      </c>
      <c r="J15" s="208" t="s">
        <v>2967</v>
      </c>
      <c r="K15" s="208" t="s">
        <v>2967</v>
      </c>
      <c r="L15" s="209">
        <v>1</v>
      </c>
      <c r="M15" s="209">
        <v>1</v>
      </c>
      <c r="N15" s="209">
        <v>2</v>
      </c>
      <c r="O15" s="209">
        <v>3</v>
      </c>
      <c r="P15" s="210">
        <f t="shared" si="4"/>
        <v>200</v>
      </c>
      <c r="Q15" s="210">
        <f t="shared" si="15"/>
        <v>300</v>
      </c>
      <c r="R15" s="211">
        <f t="shared" si="16"/>
        <v>100</v>
      </c>
      <c r="S15" s="177">
        <v>0.06</v>
      </c>
      <c r="T15" s="177">
        <v>0</v>
      </c>
      <c r="U15" s="205"/>
      <c r="V15" s="246" t="s">
        <v>3023</v>
      </c>
    </row>
    <row r="16" spans="1:25" s="212" customFormat="1" ht="22" customHeight="1">
      <c r="A16" s="205" t="s">
        <v>93</v>
      </c>
      <c r="B16" s="205" t="s">
        <v>2982</v>
      </c>
      <c r="C16" s="201" t="s">
        <v>2960</v>
      </c>
      <c r="D16" s="201" t="s">
        <v>3011</v>
      </c>
      <c r="E16" s="201" t="s">
        <v>129</v>
      </c>
      <c r="F16" s="206"/>
      <c r="G16" s="201"/>
      <c r="H16" s="207" t="s">
        <v>3015</v>
      </c>
      <c r="I16" s="201" t="s">
        <v>2963</v>
      </c>
      <c r="J16" s="208"/>
      <c r="K16" s="208" t="s">
        <v>3012</v>
      </c>
      <c r="L16" s="209"/>
      <c r="M16" s="209">
        <v>2</v>
      </c>
      <c r="N16" s="209"/>
      <c r="O16" s="209">
        <v>5</v>
      </c>
      <c r="P16" s="210"/>
      <c r="Q16" s="210">
        <f t="shared" ref="Q16" si="17">IFERROR(O16*M16*K16,0)</f>
        <v>318</v>
      </c>
      <c r="R16" s="211">
        <f t="shared" ref="R16" si="18">Q16-P16</f>
        <v>318</v>
      </c>
      <c r="S16" s="177">
        <v>0.06</v>
      </c>
      <c r="T16" s="177">
        <v>0</v>
      </c>
      <c r="U16" s="205"/>
      <c r="V16" s="246" t="s">
        <v>3023</v>
      </c>
    </row>
    <row r="17" spans="1:22" s="212" customFormat="1" ht="22" customHeight="1">
      <c r="A17" s="205" t="s">
        <v>93</v>
      </c>
      <c r="B17" s="205" t="s">
        <v>2982</v>
      </c>
      <c r="C17" s="201" t="s">
        <v>2961</v>
      </c>
      <c r="D17" s="201" t="s">
        <v>2975</v>
      </c>
      <c r="E17" s="201" t="s">
        <v>129</v>
      </c>
      <c r="F17" s="206"/>
      <c r="G17" s="201"/>
      <c r="H17" s="207" t="s">
        <v>2984</v>
      </c>
      <c r="I17" s="201" t="s">
        <v>2963</v>
      </c>
      <c r="J17" s="208" t="s">
        <v>2967</v>
      </c>
      <c r="K17" s="208"/>
      <c r="L17" s="209">
        <v>1</v>
      </c>
      <c r="M17" s="209"/>
      <c r="N17" s="209">
        <v>2</v>
      </c>
      <c r="O17" s="209"/>
      <c r="P17" s="210">
        <f t="shared" si="4"/>
        <v>200</v>
      </c>
      <c r="Q17" s="210">
        <f t="shared" si="15"/>
        <v>0</v>
      </c>
      <c r="R17" s="211">
        <f t="shared" si="16"/>
        <v>-200</v>
      </c>
      <c r="S17" s="177">
        <v>0.06</v>
      </c>
      <c r="T17" s="177">
        <v>0</v>
      </c>
      <c r="U17" s="205"/>
      <c r="V17" s="205" t="s">
        <v>3024</v>
      </c>
    </row>
    <row r="18" spans="1:22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190"/>
      <c r="K18" s="190"/>
      <c r="L18" s="58"/>
      <c r="M18" s="58"/>
      <c r="N18" s="58"/>
      <c r="O18" s="58"/>
      <c r="P18" s="241" t="s">
        <v>95</v>
      </c>
      <c r="Q18" s="242"/>
      <c r="R18" s="243"/>
      <c r="S18" s="165"/>
      <c r="T18" s="165"/>
      <c r="U18" s="60"/>
      <c r="V18" s="60"/>
    </row>
    <row r="19" spans="1:22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191"/>
      <c r="K19" s="191"/>
      <c r="L19" s="55"/>
      <c r="M19" s="55"/>
      <c r="N19" s="55"/>
      <c r="O19" s="55"/>
      <c r="P19" s="158">
        <f>SUM(P6:P17)</f>
        <v>133620</v>
      </c>
      <c r="Q19" s="158">
        <f>SUM(Q6:Q17)</f>
        <v>89475.58</v>
      </c>
      <c r="R19" s="158">
        <f>Q19-P19</f>
        <v>-44144.42</v>
      </c>
      <c r="S19" s="166"/>
      <c r="T19" s="171"/>
      <c r="U19" s="55"/>
      <c r="V19" s="56"/>
    </row>
    <row r="20" spans="1:22" s="180" customFormat="1" ht="22" customHeight="1">
      <c r="A20" s="182" t="s">
        <v>2940</v>
      </c>
      <c r="B20" s="178" t="s">
        <v>2968</v>
      </c>
      <c r="C20" s="178" t="s">
        <v>2968</v>
      </c>
      <c r="D20" s="178" t="s">
        <v>2968</v>
      </c>
      <c r="E20" s="128" t="s">
        <v>132</v>
      </c>
      <c r="F20" s="174" t="s">
        <v>2943</v>
      </c>
      <c r="G20" s="128" t="str">
        <f>_xlfn.IFNA(IF(VLOOKUP($F20,'[2]3.框架内物料'!$A:$E,2,0)=0,"请勿填写",VLOOKUP($F20,'[2]3.框架内物料'!$A:$E,2,0)),"")</f>
        <v>M939882581652185090</v>
      </c>
      <c r="H20" s="202" t="str">
        <f>_xlfn.IFNA(VLOOKUP($F20,'[2]3.框架内物料'!$A:$E,4,0),"")</f>
        <v>服务费税费-项目服务费-项目服务费-制作搭建、AVL设备、第三方人员服务费-服务费比例</v>
      </c>
      <c r="I20" s="128" t="str">
        <f>_xlfn.IFNA(VLOOKUP($F20,'[2]3.框架内物料'!$A:$E,5,0),"")</f>
        <v>项</v>
      </c>
      <c r="J20" s="189">
        <f>_xlfn.IFNA(VLOOKUP($F20,'[2]3.框架内物料'!$A:$F,6,0),"")</f>
        <v>0.1</v>
      </c>
      <c r="K20" s="189">
        <f>_xlfn.IFNA(VLOOKUP($F20,'[2]3.框架内物料'!$A:$F,6,0),"")</f>
        <v>0.1</v>
      </c>
      <c r="L20" s="67">
        <f>P5</f>
        <v>1060</v>
      </c>
      <c r="M20" s="67">
        <f>Q5</f>
        <v>2517.5</v>
      </c>
      <c r="N20" s="67">
        <v>1</v>
      </c>
      <c r="O20" s="67">
        <v>1</v>
      </c>
      <c r="P20" s="175">
        <f>IFERROR(N20*L20*J20,0)</f>
        <v>106</v>
      </c>
      <c r="Q20" s="175">
        <f t="shared" ref="Q20:Q23" si="19">IFERROR(O20*M20*K20,0)</f>
        <v>251.75</v>
      </c>
      <c r="R20" s="183">
        <f t="shared" ref="R20" si="20">Q20-P20</f>
        <v>145.75</v>
      </c>
      <c r="S20" s="177">
        <v>0.06</v>
      </c>
      <c r="T20" s="177">
        <v>0</v>
      </c>
      <c r="U20" s="179"/>
      <c r="V20" s="178"/>
    </row>
    <row r="21" spans="1:22" s="180" customFormat="1" ht="22" customHeight="1">
      <c r="A21" s="182" t="s">
        <v>2940</v>
      </c>
      <c r="B21" s="178" t="s">
        <v>2968</v>
      </c>
      <c r="C21" s="178" t="s">
        <v>2968</v>
      </c>
      <c r="D21" s="178" t="s">
        <v>2968</v>
      </c>
      <c r="E21" s="128" t="s">
        <v>132</v>
      </c>
      <c r="F21" s="174" t="s">
        <v>2942</v>
      </c>
      <c r="G21" s="128" t="str">
        <f>_xlfn.IFNA(IF(VLOOKUP($F21,'[2]3.框架内物料'!$A:$E,2,0)=0,"请勿填写",VLOOKUP($F21,'[2]3.框架内物料'!$A:$E,2,0)),"")</f>
        <v>M939882610784714754</v>
      </c>
      <c r="H21" s="202" t="str">
        <f>_xlfn.IFNA(VLOOKUP($F21,'[2]3.框架内物料'!$A:$E,4,0),"")</f>
        <v>服务费税费-项目服务费-项目服务费-机票、用车、用餐等第三方资源-服务费比例</v>
      </c>
      <c r="I21" s="128" t="str">
        <f>_xlfn.IFNA(VLOOKUP($F21,'[2]3.框架内物料'!$A:$E,5,0),"")</f>
        <v>项</v>
      </c>
      <c r="J21" s="189">
        <f>_xlfn.IFNA(VLOOKUP($F21,'[2]3.框架内物料'!$A:$F,6,0),"")</f>
        <v>0.06</v>
      </c>
      <c r="K21" s="189">
        <f>_xlfn.IFNA(VLOOKUP($F21,'[2]3.框架内物料'!$A:$F,6,0),"")</f>
        <v>0.06</v>
      </c>
      <c r="L21" s="67">
        <f>P19-P8-P14</f>
        <v>88180</v>
      </c>
      <c r="M21" s="67">
        <f>Q19-Q8-Q14</f>
        <v>58435.58</v>
      </c>
      <c r="N21" s="67">
        <v>1</v>
      </c>
      <c r="O21" s="67">
        <v>1</v>
      </c>
      <c r="P21" s="175">
        <f>IFERROR(N21*L21*J21,0)</f>
        <v>5290.8</v>
      </c>
      <c r="Q21" s="175">
        <f t="shared" ref="Q21" si="21">IFERROR(O21*M21*K21,0)</f>
        <v>3506.1347999999998</v>
      </c>
      <c r="R21" s="183">
        <f t="shared" ref="R21" si="22">Q21-P21</f>
        <v>-1784.6652000000004</v>
      </c>
      <c r="S21" s="177">
        <v>0.06</v>
      </c>
      <c r="T21" s="177">
        <v>0</v>
      </c>
      <c r="U21" s="179"/>
      <c r="V21" s="178"/>
    </row>
    <row r="22" spans="1:22" s="180" customFormat="1" ht="22" customHeight="1">
      <c r="A22" s="182" t="s">
        <v>2940</v>
      </c>
      <c r="B22" s="178" t="s">
        <v>2968</v>
      </c>
      <c r="C22" s="178" t="s">
        <v>2968</v>
      </c>
      <c r="D22" s="178" t="s">
        <v>2968</v>
      </c>
      <c r="E22" s="128" t="s">
        <v>132</v>
      </c>
      <c r="F22" s="174" t="s">
        <v>2941</v>
      </c>
      <c r="G22" s="128" t="str">
        <f>_xlfn.IFNA(IF(VLOOKUP($F22,'[2]3.框架内物料'!$A:$E,2,0)=0,"请勿填写",VLOOKUP($F22,'[2]3.框架内物料'!$A:$E,2,0)),"")</f>
        <v>M939882699754164225</v>
      </c>
      <c r="H22" s="202" t="str">
        <f>_xlfn.IFNA(VLOOKUP($F22,'[2]3.框架内物料'!$A:$E,4,0),"")</f>
        <v>服务费税费-项目服务费-项目服务费-场地采买、酒店用房服务费-服务费比例</v>
      </c>
      <c r="I22" s="128" t="str">
        <f>_xlfn.IFNA(VLOOKUP($F22,'[2]3.框架内物料'!$A:$E,5,0),"")</f>
        <v>项</v>
      </c>
      <c r="J22" s="189">
        <f>_xlfn.IFNA(VLOOKUP($F22,'[2]3.框架内物料'!$A:$F,6,0),"")</f>
        <v>0.06</v>
      </c>
      <c r="K22" s="189">
        <f>_xlfn.IFNA(VLOOKUP($F22,'[2]3.框架内物料'!$A:$F,6,0),"")</f>
        <v>0.06</v>
      </c>
      <c r="L22" s="67">
        <f>P8+P14</f>
        <v>45440</v>
      </c>
      <c r="M22" s="67">
        <f>Q8+Q14</f>
        <v>31040</v>
      </c>
      <c r="N22" s="67">
        <v>1</v>
      </c>
      <c r="O22" s="67">
        <v>1</v>
      </c>
      <c r="P22" s="175">
        <f t="shared" ref="P22" si="23">IFERROR(N22*L22*J22,0)</f>
        <v>2726.4</v>
      </c>
      <c r="Q22" s="175">
        <f t="shared" si="19"/>
        <v>1862.3999999999999</v>
      </c>
      <c r="R22" s="183">
        <f t="shared" ref="R22" si="24">Q22-P22</f>
        <v>-864.00000000000023</v>
      </c>
      <c r="S22" s="177">
        <v>0.06</v>
      </c>
      <c r="T22" s="177">
        <v>0</v>
      </c>
      <c r="U22" s="179" t="s">
        <v>2965</v>
      </c>
      <c r="V22" s="178"/>
    </row>
    <row r="23" spans="1:22" s="180" customFormat="1" ht="22" customHeight="1">
      <c r="A23" s="182" t="s">
        <v>2947</v>
      </c>
      <c r="B23" s="178" t="s">
        <v>2969</v>
      </c>
      <c r="C23" s="178" t="s">
        <v>2969</v>
      </c>
      <c r="D23" s="178" t="s">
        <v>2969</v>
      </c>
      <c r="E23" s="128" t="s">
        <v>132</v>
      </c>
      <c r="F23" s="174" t="s">
        <v>2946</v>
      </c>
      <c r="G23" s="128" t="str">
        <f>_xlfn.IFNA(IF(VLOOKUP($F23,'[2]3.框架内物料'!$A:$E,2,0)=0,"请勿填写",VLOOKUP($F23,'[2]3.框架内物料'!$A:$E,2,0)),"")</f>
        <v>M939882723582132226</v>
      </c>
      <c r="H23" s="202" t="str">
        <f>_xlfn.IFNA(VLOOKUP($F23,'[2]3.框架内物料'!$A:$E,4,0),"")</f>
        <v>服务费税费-项目税费-项目税费-机票、用车、用餐等第三方资源-增值税比例</v>
      </c>
      <c r="I23" s="128" t="str">
        <f>_xlfn.IFNA(VLOOKUP($F23,'[2]3.框架内物料'!$A:$E,5,0),"")</f>
        <v>项</v>
      </c>
      <c r="J23" s="189">
        <f>_xlfn.IFNA(VLOOKUP($F23,'[2]3.框架内物料'!$A:$F,6,0),"")</f>
        <v>0.06</v>
      </c>
      <c r="K23" s="189">
        <f>_xlfn.IFNA(VLOOKUP($F23,'[2]3.框架内物料'!$A:$F,6,0),"")</f>
        <v>0.06</v>
      </c>
      <c r="L23" s="67">
        <f>P22</f>
        <v>2726.4</v>
      </c>
      <c r="M23" s="67">
        <f>Q22</f>
        <v>1862.3999999999999</v>
      </c>
      <c r="N23" s="67">
        <v>1</v>
      </c>
      <c r="O23" s="67">
        <v>1</v>
      </c>
      <c r="P23" s="175">
        <f t="shared" ref="P23" si="25">IFERROR(N23*L23*J23,0)</f>
        <v>163.584</v>
      </c>
      <c r="Q23" s="175">
        <f t="shared" si="19"/>
        <v>111.74399999999999</v>
      </c>
      <c r="R23" s="183">
        <f t="shared" ref="R23" si="26">Q23-P23</f>
        <v>-51.840000000000018</v>
      </c>
      <c r="S23" s="177">
        <v>0.06</v>
      </c>
      <c r="T23" s="177">
        <v>0</v>
      </c>
      <c r="U23" s="179" t="s">
        <v>2964</v>
      </c>
      <c r="V23" s="178"/>
    </row>
    <row r="24" spans="1:22" s="75" customFormat="1" ht="18">
      <c r="A24" s="57"/>
      <c r="B24" s="61"/>
      <c r="C24" s="61"/>
      <c r="D24" s="61"/>
      <c r="E24" s="61"/>
      <c r="F24" s="58"/>
      <c r="G24" s="58"/>
      <c r="H24" s="58"/>
      <c r="I24" s="58"/>
      <c r="J24" s="190"/>
      <c r="K24" s="190"/>
      <c r="L24" s="58"/>
      <c r="M24" s="58"/>
      <c r="N24" s="58"/>
      <c r="O24" s="58"/>
      <c r="P24" s="241" t="s">
        <v>121</v>
      </c>
      <c r="Q24" s="242"/>
      <c r="R24" s="243"/>
      <c r="S24" s="165"/>
      <c r="T24" s="165"/>
      <c r="U24" s="60"/>
      <c r="V24" s="60" t="s">
        <v>170</v>
      </c>
    </row>
    <row r="25" spans="1:22" s="75" customFormat="1" ht="18">
      <c r="A25" s="54"/>
      <c r="B25" s="62"/>
      <c r="C25" s="62"/>
      <c r="D25" s="62"/>
      <c r="E25" s="62"/>
      <c r="F25" s="55"/>
      <c r="G25" s="55"/>
      <c r="H25" s="55"/>
      <c r="I25" s="55"/>
      <c r="J25" s="191"/>
      <c r="K25" s="191"/>
      <c r="L25" s="55"/>
      <c r="M25" s="55"/>
      <c r="N25" s="55"/>
      <c r="O25" s="55"/>
      <c r="P25" s="158">
        <f>SUM(P20:P23)</f>
        <v>8286.7840000000015</v>
      </c>
      <c r="Q25" s="158">
        <f>SUM(Q20:Q23)</f>
        <v>5732.0287999999991</v>
      </c>
      <c r="R25" s="158">
        <f>Q25-P25</f>
        <v>-2554.7552000000023</v>
      </c>
      <c r="S25" s="166"/>
      <c r="T25" s="171"/>
      <c r="U25" s="55"/>
      <c r="V25" s="56"/>
    </row>
    <row r="26" spans="1:22" s="75" customFormat="1" ht="18">
      <c r="A26" s="59"/>
      <c r="B26" s="85"/>
      <c r="C26" s="85"/>
      <c r="D26" s="85"/>
      <c r="E26" s="85"/>
      <c r="F26" s="86"/>
      <c r="G26" s="85"/>
      <c r="H26" s="203"/>
      <c r="I26" s="85"/>
      <c r="J26" s="192"/>
      <c r="K26" s="193"/>
      <c r="L26" s="89"/>
      <c r="M26" s="89"/>
      <c r="N26" s="89"/>
      <c r="O26" s="89"/>
      <c r="P26" s="244" t="s">
        <v>169</v>
      </c>
      <c r="Q26" s="244"/>
      <c r="R26" s="245"/>
      <c r="S26" s="167"/>
      <c r="T26" s="167"/>
      <c r="U26" s="141"/>
      <c r="V26" s="141"/>
    </row>
    <row r="27" spans="1:22" ht="18">
      <c r="A27" s="90"/>
      <c r="B27" s="92"/>
      <c r="C27" s="92"/>
      <c r="D27" s="92"/>
      <c r="E27" s="92"/>
      <c r="F27" s="91"/>
      <c r="G27" s="91"/>
      <c r="H27" s="91"/>
      <c r="I27" s="91"/>
      <c r="J27" s="194"/>
      <c r="K27" s="194"/>
      <c r="L27" s="91"/>
      <c r="M27" s="91"/>
      <c r="N27" s="91"/>
      <c r="O27" s="91"/>
      <c r="P27" s="159">
        <f>SUM(P25,P19,P5)</f>
        <v>142966.78400000001</v>
      </c>
      <c r="Q27" s="159">
        <f>SUM(Q25,Q19,Q5)</f>
        <v>97725.108800000002</v>
      </c>
      <c r="R27" s="159">
        <f>Q27-P27</f>
        <v>-45241.675200000012</v>
      </c>
      <c r="S27" s="168"/>
      <c r="T27" s="172"/>
      <c r="U27" s="94"/>
      <c r="V27" s="95"/>
    </row>
    <row r="28" spans="1:22" s="180" customFormat="1" ht="74.5" customHeight="1">
      <c r="A28" s="173" t="s">
        <v>126</v>
      </c>
      <c r="B28" s="184"/>
      <c r="C28" s="184"/>
      <c r="D28" s="184"/>
      <c r="E28" s="173" t="s">
        <v>126</v>
      </c>
      <c r="F28" s="184"/>
      <c r="G28" s="184"/>
      <c r="H28" s="185" t="s">
        <v>127</v>
      </c>
      <c r="I28" s="128" t="s">
        <v>15</v>
      </c>
      <c r="J28" s="199" t="s">
        <v>2966</v>
      </c>
      <c r="K28" s="199" t="s">
        <v>2966</v>
      </c>
      <c r="L28" s="186">
        <v>1</v>
      </c>
      <c r="M28" s="186">
        <v>1</v>
      </c>
      <c r="N28" s="186">
        <v>1</v>
      </c>
      <c r="O28" s="186">
        <v>1</v>
      </c>
      <c r="P28" s="175">
        <f>J28*L28*N28</f>
        <v>0</v>
      </c>
      <c r="Q28" s="176">
        <f>K28*M28*O28</f>
        <v>0</v>
      </c>
      <c r="R28" s="176">
        <f>Q28-P28</f>
        <v>0</v>
      </c>
      <c r="S28" s="177">
        <v>0.06</v>
      </c>
      <c r="T28" s="177">
        <v>0</v>
      </c>
      <c r="U28" s="179"/>
      <c r="V28" s="179"/>
    </row>
    <row r="29" spans="1:22" s="75" customFormat="1" ht="18">
      <c r="A29" s="59"/>
      <c r="B29" s="85"/>
      <c r="C29" s="85"/>
      <c r="D29" s="85"/>
      <c r="E29" s="85"/>
      <c r="F29" s="86"/>
      <c r="G29" s="85"/>
      <c r="H29" s="203"/>
      <c r="I29" s="85"/>
      <c r="J29" s="192"/>
      <c r="K29" s="193"/>
      <c r="L29" s="89"/>
      <c r="M29" s="89"/>
      <c r="N29" s="89"/>
      <c r="O29" s="89"/>
      <c r="P29" s="244" t="s">
        <v>133</v>
      </c>
      <c r="Q29" s="244"/>
      <c r="R29" s="245"/>
      <c r="S29" s="167"/>
      <c r="T29" s="167"/>
      <c r="U29" s="141"/>
      <c r="V29" s="141"/>
    </row>
    <row r="30" spans="1:22" ht="18">
      <c r="A30" s="90"/>
      <c r="B30" s="92"/>
      <c r="C30" s="92"/>
      <c r="D30" s="92"/>
      <c r="E30" s="92"/>
      <c r="F30" s="91"/>
      <c r="G30" s="91"/>
      <c r="H30" s="91"/>
      <c r="I30" s="91"/>
      <c r="J30" s="194"/>
      <c r="K30" s="194"/>
      <c r="L30" s="91"/>
      <c r="M30" s="91"/>
      <c r="N30" s="91"/>
      <c r="O30" s="91"/>
      <c r="P30" s="159">
        <f>SUM(P27,P28)</f>
        <v>142966.78400000001</v>
      </c>
      <c r="Q30" s="159">
        <f>SUM(Q27,Q28)</f>
        <v>97725.108800000002</v>
      </c>
      <c r="R30" s="159">
        <f>Q30-P30</f>
        <v>-45241.675200000012</v>
      </c>
      <c r="S30" s="168"/>
      <c r="T30" s="172"/>
      <c r="U30" s="94"/>
      <c r="V30" s="95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5"/>
      <c r="K31" s="218"/>
      <c r="L31" s="218"/>
      <c r="M31" s="218"/>
      <c r="N31" s="218"/>
      <c r="P31" s="160">
        <f>SUMIF(E1:E27,"框架内",P1:P27)/(P30-P28)</f>
        <v>6.5377311697799687E-2</v>
      </c>
      <c r="Q31" s="160">
        <f>SUMIF(E1:E27,"框架内",Q1:Q27)/(Q30-Q28)</f>
        <v>0.21020420496068049</v>
      </c>
      <c r="R31" s="161" t="s">
        <v>100</v>
      </c>
      <c r="S31" s="169"/>
      <c r="T31" s="169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5"/>
      <c r="K32" s="218"/>
      <c r="L32" s="218"/>
      <c r="M32" s="218"/>
      <c r="N32" s="218"/>
      <c r="P32" s="160">
        <f ca="1">SUMIF(E1:E28,"框架外",P1:P27)/(P30-P28)</f>
        <v>0</v>
      </c>
      <c r="Q32" s="160">
        <f ca="1">SUMIF(E1:E28,"框架外",Q1:Q27)/(Q30-Q28)</f>
        <v>0</v>
      </c>
      <c r="R32" s="161" t="s">
        <v>99</v>
      </c>
      <c r="S32" s="169"/>
      <c r="T32" s="169"/>
    </row>
    <row r="33" spans="1:20" ht="54" customHeight="1">
      <c r="A33" s="99"/>
      <c r="C33" s="100"/>
      <c r="D33" s="100"/>
      <c r="E33" s="100"/>
      <c r="F33" s="99"/>
      <c r="G33" s="99"/>
      <c r="H33" s="99"/>
      <c r="I33" s="99"/>
      <c r="J33" s="195"/>
      <c r="P33" s="160">
        <f ca="1">SUMIF(E1:E28,"据实结算",P1:P27)/(P30-P28)</f>
        <v>0.93462268830220019</v>
      </c>
      <c r="Q33" s="160">
        <f ca="1">SUMIF(E1:E28,"据实结算",Q1:Q27)/(Q30-Q28)</f>
        <v>0.78979579503931951</v>
      </c>
      <c r="R33" s="161" t="s">
        <v>98</v>
      </c>
      <c r="S33" s="169"/>
      <c r="T33" s="169"/>
    </row>
    <row r="34" spans="1:20">
      <c r="K34" s="198"/>
      <c r="L34" s="104"/>
      <c r="M34" s="104"/>
      <c r="N34" s="104"/>
    </row>
  </sheetData>
  <sheetProtection formatCells="0" formatColumns="0" formatRows="0" insertRows="0" insertHyperlinks="0" deleteRows="0" autoFilter="0"/>
  <mergeCells count="7">
    <mergeCell ref="P4:R4"/>
    <mergeCell ref="K31:N31"/>
    <mergeCell ref="K32:N32"/>
    <mergeCell ref="P29:R29"/>
    <mergeCell ref="P26:R26"/>
    <mergeCell ref="P18:R18"/>
    <mergeCell ref="P24:R24"/>
  </mergeCells>
  <phoneticPr fontId="8" type="noConversion"/>
  <conditionalFormatting sqref="A2:A19">
    <cfRule type="containsText" dxfId="4" priority="2" operator="containsText" text="填写">
      <formula>NOT(ISERROR(SEARCH("填写",A2)))</formula>
    </cfRule>
  </conditionalFormatting>
  <conditionalFormatting sqref="A20:A23">
    <cfRule type="containsText" dxfId="3" priority="3" operator="containsText" text="填写">
      <formula>NOT(ISERROR(SEARCH("填写",A20)))</formula>
    </cfRule>
  </conditionalFormatting>
  <conditionalFormatting sqref="A24:A26">
    <cfRule type="containsText" dxfId="2" priority="13" operator="containsText" text="填写">
      <formula>NOT(ISERROR(SEARCH("填写",A24)))</formula>
    </cfRule>
  </conditionalFormatting>
  <conditionalFormatting sqref="A28:A29">
    <cfRule type="containsText" dxfId="1" priority="14" operator="containsText" text="填写">
      <formula>NOT(ISERROR(SEARCH("填写",A28)))</formula>
    </cfRule>
  </conditionalFormatting>
  <conditionalFormatting sqref="E28">
    <cfRule type="containsText" dxfId="0" priority="15" operator="containsText" text="填写">
      <formula>NOT(ISERROR(SEARCH("填写",E28)))</formula>
    </cfRule>
  </conditionalFormatting>
  <dataValidations count="7">
    <dataValidation type="list" allowBlank="1" showInputMessage="1" showErrorMessage="1" sqref="H30" xr:uid="{00000000-0002-0000-0100-000000000000}">
      <formula1>"是,否"</formula1>
    </dataValidation>
    <dataValidation type="list" allowBlank="1" showInputMessage="1" showErrorMessage="1" sqref="K30" xr:uid="{C24F6F68-857E-5647-839A-4F75562B89C0}">
      <formula1>"0%,1%,3%,6%,13%"</formula1>
    </dataValidation>
    <dataValidation type="list" allowBlank="1" showInputMessage="1" showErrorMessage="1" sqref="D30" xr:uid="{9D1B43E1-175E-4C49-8176-43558324F529}">
      <formula1>"CNY, USD, JPY , HKD"</formula1>
    </dataValidation>
    <dataValidation type="list" allowBlank="1" showInputMessage="1" showErrorMessage="1" sqref="S28 S2:S3 S20:S23 S6:S17" xr:uid="{D7CC39CF-95DC-A64C-A7F7-4CBF33920DCC}">
      <formula1>"0%,1%,3%,6%,9%"</formula1>
    </dataValidation>
    <dataValidation type="list" allowBlank="1" showInputMessage="1" showErrorMessage="1" sqref="A28 E2:E1048576" xr:uid="{E31F6826-CA0D-4785-A20D-8ABED6E0F88E}">
      <formula1>"框架内,框架外,据实结算"</formula1>
    </dataValidation>
    <dataValidation type="list" allowBlank="1" showInputMessage="1" showErrorMessage="1" sqref="A29:A1048576 A2:A2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F29 F26 F20:F23 F6:F8 F13:F17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4" activePane="bottomLeft" state="frozen"/>
      <selection activeCell="C23" sqref="C23:D23"/>
      <selection pane="bottomLeft" activeCell="D527" sqref="D527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1.结算汇总</vt:lpstr>
      <vt:lpstr>2.结算清单</vt:lpstr>
      <vt:lpstr>3.框架内物料</vt:lpstr>
      <vt:lpstr>'2.结算清单'!Print_Area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2025-10-30T10:54:35Z</dcterms:modified>
</cp:coreProperties>
</file>