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filterPrivacy="1" codeName="ThisWorkbook" hidePivotFieldList="1"/>
  <xr:revisionPtr revIDLastSave="0" documentId="13_ncr:1_{0657BE59-BF93-7748-B751-01B4625AA162}" xr6:coauthVersionLast="47" xr6:coauthVersionMax="47" xr10:uidLastSave="{00000000-0000-0000-0000-000000000000}"/>
  <bookViews>
    <workbookView xWindow="0" yWindow="500" windowWidth="30720" windowHeight="1870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4" l="1"/>
  <c r="P14" i="14" l="1"/>
  <c r="K14" i="14"/>
  <c r="Q14" i="14" s="1"/>
  <c r="G14" i="14"/>
  <c r="R14" i="14" l="1"/>
  <c r="P26" i="14"/>
  <c r="P25" i="14"/>
  <c r="P24" i="14"/>
  <c r="P23" i="14"/>
  <c r="P22" i="14"/>
  <c r="P21" i="14"/>
  <c r="P20" i="14"/>
  <c r="P19" i="14"/>
  <c r="P18" i="14"/>
  <c r="P17" i="14"/>
  <c r="P15" i="14"/>
  <c r="P13" i="14"/>
  <c r="P4" i="14"/>
  <c r="P3" i="14"/>
  <c r="K18" i="14"/>
  <c r="Q18" i="14" s="1"/>
  <c r="G18" i="14"/>
  <c r="Q25" i="14"/>
  <c r="K21" i="14"/>
  <c r="Q21" i="14" s="1"/>
  <c r="G21" i="14"/>
  <c r="K20" i="14"/>
  <c r="Q20" i="14" s="1"/>
  <c r="G20" i="14"/>
  <c r="Q22" i="14"/>
  <c r="R25" i="14" l="1"/>
  <c r="R18" i="14"/>
  <c r="R21" i="14"/>
  <c r="R20" i="14"/>
  <c r="R22" i="14"/>
  <c r="K3" i="14" l="1"/>
  <c r="Q3" i="14" s="1"/>
  <c r="R3" i="14" s="1"/>
  <c r="G3" i="14"/>
  <c r="H7" i="14" l="1"/>
  <c r="Q26" i="14"/>
  <c r="Q24" i="14"/>
  <c r="Q23" i="14"/>
  <c r="K10" i="14"/>
  <c r="Q10" i="14" s="1"/>
  <c r="J10" i="14"/>
  <c r="I10" i="14"/>
  <c r="H10" i="14"/>
  <c r="G10" i="14"/>
  <c r="K29" i="14"/>
  <c r="Q29" i="14" s="1"/>
  <c r="J29" i="14"/>
  <c r="I29" i="14"/>
  <c r="H29" i="14"/>
  <c r="G29" i="14"/>
  <c r="K32" i="14"/>
  <c r="Q32" i="14" s="1"/>
  <c r="J32" i="14"/>
  <c r="I32" i="14"/>
  <c r="H32" i="14"/>
  <c r="G32" i="14"/>
  <c r="K31" i="14"/>
  <c r="Q31" i="14" s="1"/>
  <c r="J31" i="14"/>
  <c r="P31" i="14" s="1"/>
  <c r="I31" i="14"/>
  <c r="H31" i="14"/>
  <c r="G31" i="14"/>
  <c r="P10" i="14" l="1"/>
  <c r="P12" i="14" s="1"/>
  <c r="C13" i="15" s="1"/>
  <c r="R26" i="14"/>
  <c r="R23" i="14"/>
  <c r="R24" i="14"/>
  <c r="R10" i="14"/>
  <c r="Q12" i="14"/>
  <c r="R12" i="14" l="1"/>
  <c r="K30" i="14"/>
  <c r="Q30" i="14" s="1"/>
  <c r="J30" i="14"/>
  <c r="I30" i="14"/>
  <c r="H30" i="14"/>
  <c r="G30" i="14"/>
  <c r="K19" i="14"/>
  <c r="Q19" i="14" s="1"/>
  <c r="G19" i="14"/>
  <c r="R19" i="14" l="1"/>
  <c r="I549" i="12" l="1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J2" i="14" l="1"/>
  <c r="I2" i="14"/>
  <c r="K2" i="14"/>
  <c r="Q2" i="14" s="1"/>
  <c r="E20" i="15"/>
  <c r="C20" i="15"/>
  <c r="G4" i="14"/>
  <c r="K4" i="14"/>
  <c r="Q4" i="14" s="1"/>
  <c r="Q81" i="23"/>
  <c r="R81" i="23" s="1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 s="1"/>
  <c r="P72" i="23"/>
  <c r="L78" i="23" s="1"/>
  <c r="I72" i="23"/>
  <c r="H72" i="23"/>
  <c r="G72" i="23"/>
  <c r="Q71" i="23"/>
  <c r="P71" i="23"/>
  <c r="R71" i="23" s="1"/>
  <c r="I71" i="23"/>
  <c r="H71" i="23"/>
  <c r="G71" i="23"/>
  <c r="K68" i="23"/>
  <c r="Q68" i="23" s="1"/>
  <c r="J68" i="23"/>
  <c r="P68" i="23" s="1"/>
  <c r="I68" i="23"/>
  <c r="H68" i="23"/>
  <c r="G68" i="23"/>
  <c r="K67" i="23"/>
  <c r="Q67" i="23" s="1"/>
  <c r="J67" i="23"/>
  <c r="P67" i="23" s="1"/>
  <c r="I67" i="23"/>
  <c r="H67" i="23"/>
  <c r="G67" i="23"/>
  <c r="K66" i="23"/>
  <c r="Q66" i="23" s="1"/>
  <c r="J66" i="23"/>
  <c r="P66" i="23" s="1"/>
  <c r="I66" i="23"/>
  <c r="H66" i="23"/>
  <c r="G66" i="23"/>
  <c r="K65" i="23"/>
  <c r="Q65" i="23" s="1"/>
  <c r="J65" i="23"/>
  <c r="P65" i="23" s="1"/>
  <c r="I65" i="23"/>
  <c r="H65" i="23"/>
  <c r="G65" i="23"/>
  <c r="K64" i="23"/>
  <c r="Q64" i="23" s="1"/>
  <c r="J64" i="23"/>
  <c r="P64" i="23" s="1"/>
  <c r="I64" i="23"/>
  <c r="H64" i="23"/>
  <c r="G64" i="23"/>
  <c r="K63" i="23"/>
  <c r="Q63" i="23" s="1"/>
  <c r="J63" i="23"/>
  <c r="P63" i="23" s="1"/>
  <c r="I63" i="23"/>
  <c r="H63" i="23"/>
  <c r="G63" i="23"/>
  <c r="K62" i="23"/>
  <c r="Q62" i="23" s="1"/>
  <c r="J62" i="23"/>
  <c r="P62" i="23" s="1"/>
  <c r="I62" i="23"/>
  <c r="H62" i="23"/>
  <c r="G62" i="23"/>
  <c r="K59" i="23"/>
  <c r="Q59" i="23" s="1"/>
  <c r="J59" i="23"/>
  <c r="P59" i="23" s="1"/>
  <c r="I59" i="23"/>
  <c r="H59" i="23"/>
  <c r="G59" i="23"/>
  <c r="K58" i="23"/>
  <c r="Q58" i="23" s="1"/>
  <c r="J58" i="23"/>
  <c r="P58" i="23" s="1"/>
  <c r="I58" i="23"/>
  <c r="H58" i="23"/>
  <c r="G58" i="23"/>
  <c r="K57" i="23"/>
  <c r="Q57" i="23" s="1"/>
  <c r="J57" i="23"/>
  <c r="P57" i="23" s="1"/>
  <c r="I57" i="23"/>
  <c r="H57" i="23"/>
  <c r="G57" i="23"/>
  <c r="K56" i="23"/>
  <c r="Q56" i="23" s="1"/>
  <c r="J56" i="23"/>
  <c r="P56" i="23" s="1"/>
  <c r="I56" i="23"/>
  <c r="H56" i="23"/>
  <c r="G56" i="23"/>
  <c r="K55" i="23"/>
  <c r="Q55" i="23" s="1"/>
  <c r="J55" i="23"/>
  <c r="P55" i="23" s="1"/>
  <c r="I55" i="23"/>
  <c r="H55" i="23"/>
  <c r="G55" i="23"/>
  <c r="K54" i="23"/>
  <c r="Q54" i="23" s="1"/>
  <c r="J54" i="23"/>
  <c r="P54" i="23" s="1"/>
  <c r="I54" i="23"/>
  <c r="H54" i="23"/>
  <c r="G54" i="23"/>
  <c r="K53" i="23"/>
  <c r="Q53" i="23" s="1"/>
  <c r="J53" i="23"/>
  <c r="P53" i="23" s="1"/>
  <c r="I53" i="23"/>
  <c r="H53" i="23"/>
  <c r="G53" i="23"/>
  <c r="K50" i="23"/>
  <c r="Q50" i="23" s="1"/>
  <c r="J50" i="23"/>
  <c r="P50" i="23" s="1"/>
  <c r="I50" i="23"/>
  <c r="H50" i="23"/>
  <c r="G50" i="23"/>
  <c r="K49" i="23"/>
  <c r="Q49" i="23" s="1"/>
  <c r="J49" i="23"/>
  <c r="P49" i="23" s="1"/>
  <c r="I49" i="23"/>
  <c r="H49" i="23"/>
  <c r="G49" i="23"/>
  <c r="K48" i="23"/>
  <c r="Q48" i="23" s="1"/>
  <c r="J48" i="23"/>
  <c r="P48" i="23" s="1"/>
  <c r="I48" i="23"/>
  <c r="H48" i="23"/>
  <c r="G48" i="23"/>
  <c r="K47" i="23"/>
  <c r="Q47" i="23" s="1"/>
  <c r="J47" i="23"/>
  <c r="P47" i="23" s="1"/>
  <c r="I47" i="23"/>
  <c r="H47" i="23"/>
  <c r="G47" i="23"/>
  <c r="K44" i="23"/>
  <c r="Q44" i="23" s="1"/>
  <c r="J44" i="23"/>
  <c r="P44" i="23" s="1"/>
  <c r="I44" i="23"/>
  <c r="H44" i="23"/>
  <c r="G44" i="23"/>
  <c r="K43" i="23"/>
  <c r="Q43" i="23" s="1"/>
  <c r="J43" i="23"/>
  <c r="P43" i="23" s="1"/>
  <c r="I43" i="23"/>
  <c r="H43" i="23"/>
  <c r="G43" i="23"/>
  <c r="K42" i="23"/>
  <c r="Q42" i="23" s="1"/>
  <c r="J42" i="23"/>
  <c r="P42" i="23" s="1"/>
  <c r="I42" i="23"/>
  <c r="H42" i="23"/>
  <c r="G42" i="23"/>
  <c r="K41" i="23"/>
  <c r="Q41" i="23" s="1"/>
  <c r="J41" i="23"/>
  <c r="P41" i="23" s="1"/>
  <c r="I41" i="23"/>
  <c r="H41" i="23"/>
  <c r="G41" i="23"/>
  <c r="K40" i="23"/>
  <c r="Q40" i="23" s="1"/>
  <c r="J40" i="23"/>
  <c r="P40" i="23" s="1"/>
  <c r="I40" i="23"/>
  <c r="H40" i="23"/>
  <c r="G40" i="23"/>
  <c r="K39" i="23"/>
  <c r="Q39" i="23" s="1"/>
  <c r="J39" i="23"/>
  <c r="P39" i="23" s="1"/>
  <c r="I39" i="23"/>
  <c r="H39" i="23"/>
  <c r="G39" i="23"/>
  <c r="K38" i="23"/>
  <c r="Q38" i="23" s="1"/>
  <c r="J38" i="23"/>
  <c r="P38" i="23" s="1"/>
  <c r="I38" i="23"/>
  <c r="H38" i="23"/>
  <c r="G38" i="23"/>
  <c r="K35" i="23"/>
  <c r="Q35" i="23" s="1"/>
  <c r="J35" i="23"/>
  <c r="P35" i="23" s="1"/>
  <c r="I35" i="23"/>
  <c r="H35" i="23"/>
  <c r="G35" i="23"/>
  <c r="K34" i="23"/>
  <c r="Q34" i="23" s="1"/>
  <c r="J34" i="23"/>
  <c r="P34" i="23" s="1"/>
  <c r="I34" i="23"/>
  <c r="H34" i="23"/>
  <c r="G34" i="23"/>
  <c r="K33" i="23"/>
  <c r="Q33" i="23" s="1"/>
  <c r="J33" i="23"/>
  <c r="P33" i="23" s="1"/>
  <c r="I33" i="23"/>
  <c r="H33" i="23"/>
  <c r="G33" i="23"/>
  <c r="K32" i="23"/>
  <c r="Q32" i="23" s="1"/>
  <c r="J32" i="23"/>
  <c r="P32" i="23" s="1"/>
  <c r="I32" i="23"/>
  <c r="H32" i="23"/>
  <c r="G32" i="23"/>
  <c r="K31" i="23"/>
  <c r="Q31" i="23" s="1"/>
  <c r="J31" i="23"/>
  <c r="P31" i="23" s="1"/>
  <c r="I31" i="23"/>
  <c r="H31" i="23"/>
  <c r="G31" i="23"/>
  <c r="K30" i="23"/>
  <c r="Q30" i="23" s="1"/>
  <c r="J30" i="23"/>
  <c r="P30" i="23" s="1"/>
  <c r="I30" i="23"/>
  <c r="H30" i="23"/>
  <c r="G30" i="23"/>
  <c r="K29" i="23"/>
  <c r="Q29" i="23" s="1"/>
  <c r="J29" i="23"/>
  <c r="P29" i="23" s="1"/>
  <c r="I29" i="23"/>
  <c r="H29" i="23"/>
  <c r="G29" i="23"/>
  <c r="K26" i="23"/>
  <c r="Q26" i="23" s="1"/>
  <c r="J26" i="23"/>
  <c r="P26" i="23" s="1"/>
  <c r="I26" i="23"/>
  <c r="H26" i="23"/>
  <c r="G26" i="23"/>
  <c r="K25" i="23"/>
  <c r="Q25" i="23" s="1"/>
  <c r="J25" i="23"/>
  <c r="P25" i="23" s="1"/>
  <c r="I25" i="23"/>
  <c r="H25" i="23"/>
  <c r="G25" i="23"/>
  <c r="K24" i="23"/>
  <c r="Q24" i="23" s="1"/>
  <c r="J24" i="23"/>
  <c r="P24" i="23" s="1"/>
  <c r="I24" i="23"/>
  <c r="H24" i="23"/>
  <c r="G24" i="23"/>
  <c r="K23" i="23"/>
  <c r="Q23" i="23" s="1"/>
  <c r="J23" i="23"/>
  <c r="P23" i="23" s="1"/>
  <c r="I23" i="23"/>
  <c r="H23" i="23"/>
  <c r="G23" i="23"/>
  <c r="K22" i="23"/>
  <c r="Q22" i="23" s="1"/>
  <c r="J22" i="23"/>
  <c r="P22" i="23" s="1"/>
  <c r="I22" i="23"/>
  <c r="H22" i="23"/>
  <c r="G22" i="23"/>
  <c r="K21" i="23"/>
  <c r="Q21" i="23" s="1"/>
  <c r="J21" i="23"/>
  <c r="P21" i="23" s="1"/>
  <c r="I21" i="23"/>
  <c r="H21" i="23"/>
  <c r="G21" i="23"/>
  <c r="K20" i="23"/>
  <c r="Q20" i="23" s="1"/>
  <c r="J20" i="23"/>
  <c r="P20" i="23" s="1"/>
  <c r="I20" i="23"/>
  <c r="H20" i="23"/>
  <c r="G20" i="23"/>
  <c r="K17" i="23"/>
  <c r="Q17" i="23" s="1"/>
  <c r="J17" i="23"/>
  <c r="P17" i="23" s="1"/>
  <c r="I17" i="23"/>
  <c r="H17" i="23"/>
  <c r="G17" i="23"/>
  <c r="K16" i="23"/>
  <c r="Q16" i="23" s="1"/>
  <c r="J16" i="23"/>
  <c r="P16" i="23" s="1"/>
  <c r="I16" i="23"/>
  <c r="H16" i="23"/>
  <c r="G16" i="23"/>
  <c r="K15" i="23"/>
  <c r="Q15" i="23" s="1"/>
  <c r="J15" i="23"/>
  <c r="P15" i="23" s="1"/>
  <c r="I15" i="23"/>
  <c r="H15" i="23"/>
  <c r="G15" i="23"/>
  <c r="K14" i="23"/>
  <c r="Q14" i="23" s="1"/>
  <c r="J14" i="23"/>
  <c r="P14" i="23" s="1"/>
  <c r="I14" i="23"/>
  <c r="H14" i="23"/>
  <c r="G14" i="23"/>
  <c r="K13" i="23"/>
  <c r="Q13" i="23" s="1"/>
  <c r="J13" i="23"/>
  <c r="P13" i="23" s="1"/>
  <c r="I13" i="23"/>
  <c r="H13" i="23"/>
  <c r="G13" i="23"/>
  <c r="K12" i="23"/>
  <c r="Q12" i="23" s="1"/>
  <c r="J12" i="23"/>
  <c r="P12" i="23" s="1"/>
  <c r="I12" i="23"/>
  <c r="H12" i="23"/>
  <c r="G12" i="23"/>
  <c r="K11" i="23"/>
  <c r="Q11" i="23" s="1"/>
  <c r="J11" i="23"/>
  <c r="P11" i="23" s="1"/>
  <c r="I11" i="23"/>
  <c r="H11" i="23"/>
  <c r="G11" i="23"/>
  <c r="K8" i="23"/>
  <c r="Q8" i="23" s="1"/>
  <c r="J8" i="23"/>
  <c r="P8" i="23" s="1"/>
  <c r="I8" i="23"/>
  <c r="H8" i="23"/>
  <c r="G8" i="23"/>
  <c r="K7" i="23"/>
  <c r="Q7" i="23" s="1"/>
  <c r="J7" i="23"/>
  <c r="P7" i="23" s="1"/>
  <c r="I7" i="23"/>
  <c r="H7" i="23"/>
  <c r="G7" i="23"/>
  <c r="K6" i="23"/>
  <c r="Q6" i="23" s="1"/>
  <c r="J6" i="23"/>
  <c r="P6" i="23" s="1"/>
  <c r="I6" i="23"/>
  <c r="H6" i="23"/>
  <c r="G6" i="23"/>
  <c r="K5" i="23"/>
  <c r="Q5" i="23" s="1"/>
  <c r="J5" i="23"/>
  <c r="P5" i="23" s="1"/>
  <c r="I5" i="23"/>
  <c r="H5" i="23"/>
  <c r="G5" i="23"/>
  <c r="K4" i="23"/>
  <c r="Q4" i="23" s="1"/>
  <c r="J4" i="23"/>
  <c r="P4" i="23" s="1"/>
  <c r="I4" i="23"/>
  <c r="H4" i="23"/>
  <c r="G4" i="23"/>
  <c r="K3" i="23"/>
  <c r="Q3" i="23" s="1"/>
  <c r="J3" i="23"/>
  <c r="P3" i="23" s="1"/>
  <c r="I3" i="23"/>
  <c r="H3" i="23"/>
  <c r="G3" i="23"/>
  <c r="K2" i="23"/>
  <c r="Q2" i="23" s="1"/>
  <c r="J2" i="23"/>
  <c r="P2" i="23" s="1"/>
  <c r="I2" i="23"/>
  <c r="H2" i="23"/>
  <c r="G2" i="23"/>
  <c r="L32" i="14"/>
  <c r="P32" i="14" s="1"/>
  <c r="K15" i="14"/>
  <c r="Q15" i="14" s="1"/>
  <c r="J16" i="14"/>
  <c r="P16" i="14" s="1"/>
  <c r="P28" i="14" s="1"/>
  <c r="K16" i="14"/>
  <c r="Q16" i="14" s="1"/>
  <c r="K17" i="14"/>
  <c r="Q17" i="14" s="1"/>
  <c r="H16" i="14"/>
  <c r="Q37" i="14"/>
  <c r="P37" i="14"/>
  <c r="P2" i="14" l="1"/>
  <c r="P6" i="14" s="1"/>
  <c r="L30" i="14"/>
  <c r="P30" i="14" s="1"/>
  <c r="R31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 s="1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 s="1"/>
  <c r="R78" i="23" s="1"/>
  <c r="R37" i="14"/>
  <c r="H2" i="14"/>
  <c r="R37" i="23" l="1"/>
  <c r="R70" i="23"/>
  <c r="R61" i="23"/>
  <c r="Q76" i="23"/>
  <c r="M77" i="23" s="1"/>
  <c r="Q77" i="23" s="1"/>
  <c r="R52" i="23"/>
  <c r="R19" i="23"/>
  <c r="P76" i="23"/>
  <c r="R46" i="23"/>
  <c r="R28" i="23"/>
  <c r="R76" i="23" l="1"/>
  <c r="L77" i="23"/>
  <c r="P77" i="23" s="1"/>
  <c r="P80" i="23" s="1"/>
  <c r="P83" i="23" s="1"/>
  <c r="Q80" i="23"/>
  <c r="P86" i="23" l="1"/>
  <c r="P85" i="23"/>
  <c r="P84" i="23"/>
  <c r="R80" i="23"/>
  <c r="Q83" i="23"/>
  <c r="R77" i="23"/>
  <c r="R83" i="23" s="1"/>
  <c r="G17" i="14"/>
  <c r="I16" i="14"/>
  <c r="G16" i="14"/>
  <c r="G15" i="14"/>
  <c r="K13" i="14"/>
  <c r="Q13" i="14" s="1"/>
  <c r="Q28" i="14" s="1"/>
  <c r="G13" i="14"/>
  <c r="K7" i="14"/>
  <c r="Q7" i="14" s="1"/>
  <c r="J7" i="14"/>
  <c r="P7" i="14" s="1"/>
  <c r="I7" i="14"/>
  <c r="G7" i="14"/>
  <c r="P9" i="14" l="1"/>
  <c r="L29" i="14" s="1"/>
  <c r="P29" i="14" s="1"/>
  <c r="P34" i="14" s="1"/>
  <c r="P36" i="14" s="1"/>
  <c r="Q86" i="23"/>
  <c r="Q85" i="23"/>
  <c r="Q84" i="23"/>
  <c r="C16" i="15" l="1"/>
  <c r="C15" i="15"/>
  <c r="E16" i="15"/>
  <c r="E15" i="15"/>
  <c r="E14" i="15"/>
  <c r="E13" i="15"/>
  <c r="C12" i="15"/>
  <c r="Q9" i="14"/>
  <c r="E12" i="15" s="1"/>
  <c r="C11" i="15"/>
  <c r="E11" i="15"/>
  <c r="R13" i="14"/>
  <c r="R17" i="14"/>
  <c r="R16" i="14"/>
  <c r="R15" i="14"/>
  <c r="R7" i="14"/>
  <c r="C14" i="15" l="1"/>
  <c r="E17" i="15"/>
  <c r="C17" i="15"/>
  <c r="R28" i="14"/>
  <c r="R9" i="14"/>
  <c r="R30" i="14" l="1"/>
  <c r="G20" i="15"/>
  <c r="R32" i="14" l="1"/>
  <c r="G2" i="14"/>
  <c r="E18" i="15" l="1"/>
  <c r="Q6" i="14"/>
  <c r="C10" i="15"/>
  <c r="R4" i="14"/>
  <c r="Q34" i="14" l="1"/>
  <c r="Q36" i="14" s="1"/>
  <c r="E10" i="15"/>
  <c r="C18" i="15"/>
  <c r="R6" i="14"/>
  <c r="R29" i="14" l="1"/>
  <c r="G13" i="15"/>
  <c r="R34" i="14" l="1"/>
  <c r="P39" i="14"/>
  <c r="C21" i="15" s="1"/>
  <c r="R2" i="14"/>
  <c r="D10" i="15" l="1"/>
  <c r="D12" i="15"/>
  <c r="Q39" i="14"/>
  <c r="R39" i="14" s="1"/>
  <c r="R36" i="14"/>
  <c r="G14" i="15"/>
  <c r="G17" i="15"/>
  <c r="G18" i="15"/>
  <c r="G15" i="15" l="1"/>
  <c r="G16" i="15"/>
  <c r="G11" i="15"/>
  <c r="G10" i="15"/>
  <c r="G12" i="15"/>
  <c r="Q40" i="14" l="1"/>
  <c r="E22" i="15"/>
  <c r="Q42" i="14" l="1"/>
  <c r="Q41" i="14"/>
  <c r="E21" i="15"/>
  <c r="F20" i="15" l="1"/>
  <c r="C22" i="15" l="1"/>
  <c r="D20" i="15" s="1"/>
  <c r="P42" i="14"/>
  <c r="P41" i="14"/>
  <c r="F21" i="15"/>
  <c r="F10" i="15"/>
  <c r="F15" i="15"/>
  <c r="F17" i="15"/>
  <c r="F14" i="15"/>
  <c r="F13" i="15"/>
  <c r="F12" i="15"/>
  <c r="F18" i="15"/>
  <c r="F16" i="15"/>
  <c r="F11" i="15"/>
  <c r="G22" i="15" l="1"/>
  <c r="D18" i="15"/>
  <c r="P40" i="14"/>
  <c r="D11" i="15" l="1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<sst xmlns="http://schemas.openxmlformats.org/spreadsheetml/2006/main" count="8119" uniqueCount="3043">
  <si>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</si>
  <si>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</si>
  <si>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</si>
  <si>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</si>
  <si>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</si>
  <si>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</si>
  <si>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</si>
  <si>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</si>
  <si>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</si>
  <si>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</si>
  <si>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</si>
  <si>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</si>
  <si>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</si>
  <si>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</si>
  <si>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</si>
  <si>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</si>
  <si>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</si>
  <si>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</si>
  <si>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</si>
  <si>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</si>
  <si>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</si>
  <si>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</si>
  <si>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</si>
  <si>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</si>
  <si>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</si>
  <si>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</si>
  <si>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</si>
  <si>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</si>
  <si>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</si>
  <si>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</si>
  <si>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</si>
  <si>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</si>
  <si>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</si>
  <si>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</si>
  <si>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</si>
  <si>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</si>
  <si>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</si>
  <si>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</si>
  <si>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</si>
  <si>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</si>
  <si>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</si>
  <si>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</si>
  <si>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</si>
  <si>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</si>
  <si>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</si>
  <si>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</si>
  <si>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</si>
  <si>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</si>
  <si>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</si>
  <si>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</si>
  <si>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</si>
  <si>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</si>
  <si>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</si>
  <si>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</si>
  <si>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</si>
  <si>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</si>
  <si>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</si>
  <si>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</si>
  <si>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</si>
  <si>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</si>
  <si>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</si>
  <si>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</si>
  <si>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</si>
  <si>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</si>
  <si>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</si>
  <si>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</si>
  <si>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</si>
  <si>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</si>
  <si>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</si>
  <si>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</si>
  <si>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</si>
  <si>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</si>
  <si>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</si>
  <si>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</si>
  <si>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</si>
  <si>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</si>
  <si>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</si>
  <si>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</si>
  <si>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</si>
  <si>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</si>
  <si>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</si>
  <si>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</si>
  <si>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</si>
  <si>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</si>
  <si>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</si>
  <si>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</si>
  <si>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</si>
  <si>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</si>
  <si>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</si>
  <si>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</si>
  <si>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</si>
  <si>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</si>
  <si>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</si>
  <si>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</si>
  <si>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</si>
  <si>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</si>
  <si>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</si>
  <si>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</si>
  <si>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</si>
  <si>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</si>
  <si>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</si>
  <si>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</si>
  <si>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</si>
  <si>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</si>
  <si>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</si>
  <si>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</si>
  <si>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</si>
  <si>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</si>
  <si>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</si>
  <si>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</si>
  <si>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</si>
  <si>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</si>
  <si>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</si>
  <si>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</si>
  <si>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</si>
  <si>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</si>
  <si>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</si>
  <si>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</si>
  <si>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</si>
  <si>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</si>
  <si>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</si>
  <si>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</si>
  <si>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</si>
  <si>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</si>
  <si>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</si>
  <si>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</si>
  <si>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</si>
  <si>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</si>
  <si>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</si>
  <si>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</si>
  <si>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</si>
  <si>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</si>
  <si>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</si>
  <si>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</si>
  <si>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</si>
  <si>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</si>
  <si>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</si>
  <si>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</si>
  <si>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</si>
  <si>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</si>
  <si>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</si>
  <si>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</si>
  <si>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</si>
  <si>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</si>
  <si>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</si>
  <si>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</si>
  <si>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</si>
  <si>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</si>
  <si>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</si>
  <si>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</si>
  <si>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</si>
  <si>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</si>
  <si>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</si>
  <si>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</si>
  <si>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</si>
  <si>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</si>
  <si>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</si>
  <si>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</si>
  <si>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</si>
  <si>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</si>
  <si>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</si>
  <si>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</si>
  <si>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</si>
  <si>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</si>
  <si>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</si>
  <si>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</si>
  <si>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</si>
  <si>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</si>
  <si>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</si>
  <si>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</si>
  <si>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</si>
  <si>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</si>
  <si>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</si>
  <si>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</si>
  <si>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</si>
  <si>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</si>
  <si>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</si>
  <si>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</si>
  <si>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</si>
  <si>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</si>
  <si>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</si>
  <si>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</si>
  <si>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</si>
  <si>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</si>
  <si>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</si>
  <si>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</si>
  <si>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</si>
  <si>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</si>
  <si>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</si>
  <si>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</si>
  <si>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</si>
  <si>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</si>
  <si>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</si>
  <si>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</si>
  <si>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</si>
  <si>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</si>
  <si>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</si>
  <si>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</si>
  <si>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</si>
  <si>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</si>
  <si>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</si>
  <si>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</si>
  <si>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</si>
  <si>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</si>
  <si>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</si>
  <si>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</si>
  <si>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</si>
  <si>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</si>
  <si>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</si>
  <si>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</si>
  <si>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</si>
  <si>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</si>
  <si>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</si>
  <si>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</si>
  <si>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</si>
  <si>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</si>
  <si>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</si>
  <si>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</si>
  <si>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</si>
  <si>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</si>
  <si>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</si>
  <si>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</si>
  <si>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</si>
  <si>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</si>
  <si>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</si>
  <si>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</si>
  <si>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</si>
  <si>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</si>
  <si>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</si>
  <si>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</si>
  <si>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</si>
  <si>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</si>
  <si>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</si>
  <si>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</si>
  <si>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</si>
  <si>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</si>
  <si>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</si>
  <si>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</si>
  <si>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</si>
  <si>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</si>
  <si>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</si>
  <si>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</si>
  <si>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</si>
  <si>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</si>
  <si>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</si>
  <si>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</si>
  <si>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</si>
  <si>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</si>
  <si>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</si>
  <si>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</si>
  <si>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</si>
  <si>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</si>
  <si>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</si>
  <si>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</si>
  <si>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</si>
  <si>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</si>
  <si>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</si>
  <si>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</si>
  <si>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</si>
  <si>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</si>
  <si>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</si>
  <si>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</si>
  <si>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</si>
  <si>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</si>
  <si>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</si>
  <si>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</si>
  <si>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</si>
  <si>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</si>
  <si>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</si>
  <si>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</si>
  <si>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</si>
  <si>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</si>
  <si>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</si>
  <si>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</si>
  <si>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</si>
  <si>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</si>
  <si>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</si>
  <si>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</si>
  <si>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</si>
  <si>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</si>
  <si>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</si>
  <si>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</si>
  <si>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</si>
  <si>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</si>
  <si>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</si>
  <si>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</si>
  <si>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</si>
  <si>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</si>
  <si>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</si>
  <si>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</si>
  <si>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</si>
  <si>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</si>
  <si>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</si>
  <si>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</si>
  <si>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</si>
  <si>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</si>
  <si>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</si>
  <si>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</si>
  <si>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</si>
  <si>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</si>
  <si>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</si>
  <si>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</si>
  <si>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</si>
  <si>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</si>
  <si>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</si>
  <si>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</si>
  <si>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</si>
  <si>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</si>
  <si>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</si>
  <si>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</si>
  <si>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</si>
  <si>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</si>
  <si>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</si>
  <si>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</si>
  <si>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</si>
  <si>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</si>
  <si>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</si>
  <si>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</si>
  <si>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</si>
  <si>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</si>
  <si>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</si>
  <si>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</si>
  <si>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</si>
  <si>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</si>
  <si>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</si>
  <si>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</si>
  <si>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</si>
  <si>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</si>
  <si>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</si>
  <si>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</si>
  <si>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</si>
  <si>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</si>
  <si>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</si>
  <si>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</si>
  <si>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</si>
  <si>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</si>
  <si>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</si>
  <si>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</si>
  <si>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</si>
  <si>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</si>
  <si>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</si>
  <si>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</si>
  <si>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</si>
  <si>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</si>
  <si>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</si>
  <si>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</si>
  <si>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</si>
  <si>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</si>
  <si>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</si>
  <si>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</si>
  <si>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</si>
  <si>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</si>
  <si>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</si>
  <si>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</si>
  <si>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</si>
  <si>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</si>
  <si>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</si>
  <si>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</si>
  <si>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</si>
  <si>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</si>
  <si>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</si>
  <si>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</si>
  <si>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</si>
  <si>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</si>
  <si>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</si>
  <si>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</si>
  <si>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</si>
  <si>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</si>
  <si>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</si>
  <si>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</si>
  <si>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</si>
  <si>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</si>
  <si>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</si>
  <si>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</si>
  <si>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</si>
  <si>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</si>
  <si>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</si>
  <si>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</si>
  <si>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</si>
  <si>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</si>
  <si>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</si>
  <si>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</si>
  <si>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</si>
  <si>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</si>
  <si>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</si>
  <si>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</si>
  <si>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</si>
  <si>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</si>
  <si>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</si>
  <si>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</si>
  <si>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</si>
  <si>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</si>
  <si>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</si>
  <si>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</si>
  <si>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</si>
  <si>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</si>
  <si>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</si>
  <si>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</si>
  <si>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</si>
  <si>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</si>
  <si>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</si>
  <si>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</si>
  <si>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</si>
  <si>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</si>
  <si>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</si>
  <si>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</si>
  <si>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</si>
  <si>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</si>
  <si>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</si>
  <si>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</si>
  <si>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</si>
  <si>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</si>
  <si>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</si>
  <si>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</si>
  <si>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</si>
  <si>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</si>
  <si>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</si>
  <si>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</si>
  <si>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</si>
  <si>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</si>
  <si>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</si>
  <si>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</si>
  <si>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</si>
  <si>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</si>
  <si>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</si>
  <si>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</si>
  <si>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</si>
  <si>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</si>
  <si>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</si>
  <si>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</si>
  <si>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</si>
  <si>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</si>
  <si>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</si>
  <si>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</si>
  <si>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</si>
  <si>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</si>
  <si>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</si>
  <si>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</si>
  <si>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</si>
  <si>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</si>
  <si>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</si>
  <si>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</si>
  <si>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</si>
  <si>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</si>
  <si>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</si>
  <si>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</si>
  <si>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</si>
  <si>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</si>
  <si>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</si>
  <si>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</si>
  <si>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</si>
  <si>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</si>
  <si>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</si>
  <si>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</si>
  <si>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</si>
  <si>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</si>
  <si>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</si>
  <si>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</si>
  <si>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</si>
  <si>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</si>
  <si>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</si>
  <si>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</si>
  <si>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</si>
  <si>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</si>
  <si>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</si>
  <si>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</si>
  <si>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</si>
  <si>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</si>
  <si>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</si>
  <si>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</si>
  <si>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</si>
  <si>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</si>
  <si>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</si>
  <si>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</si>
  <si>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</si>
  <si>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</si>
  <si>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</si>
  <si>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</si>
  <si>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</si>
  <si>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</si>
  <si>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</si>
  <si>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</si>
  <si>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</si>
  <si>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</si>
  <si>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</si>
  <si>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</si>
  <si>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</si>
  <si>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</si>
  <si>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</si>
  <si>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</si>
  <si>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</si>
  <si>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</si>
  <si>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</si>
  <si>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</si>
  <si>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</si>
  <si>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</si>
  <si>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</si>
  <si>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</si>
  <si>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</si>
  <si>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</si>
  <si>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</si>
  <si>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</si>
  <si>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</si>
  <si>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</si>
  <si>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</si>
  <si>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</si>
  <si>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</si>
  <si>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</si>
  <si>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</si>
  <si>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</si>
  <si>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</si>
  <si>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</si>
  <si>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</si>
  <si>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</si>
  <si>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</si>
  <si>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</si>
  <si>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</si>
  <si>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</si>
  <si>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</si>
  <si>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</si>
  <si>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</si>
  <si>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</si>
  <si>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</si>
  <si>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</si>
  <si>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</si>
  <si>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</si>
  <si>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</si>
  <si>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</si>
  <si>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</si>
  <si>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</si>
  <si>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</si>
  <si>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</si>
  <si>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</si>
  <si>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</si>
  <si>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</si>
  <si>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</si>
  <si>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</si>
  <si>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</si>
  <si>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</si>
  <si>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</si>
  <si>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</si>
  <si>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</si>
  <si>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</si>
  <si>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</si>
  <si>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</si>
  <si>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</si>
  <si>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</si>
  <si>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</si>
  <si>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</si>
  <si>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</si>
  <si>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</si>
  <si>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</si>
  <si>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</si>
  <si>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</si>
  <si>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</si>
  <si>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</si>
  <si>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</si>
  <si>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</si>
  <si>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</si>
  <si>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</si>
  <si>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</si>
  <si>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</si>
  <si>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</si>
  <si>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</si>
  <si>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</si>
  <si>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</si>
  <si>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</si>
  <si>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</si>
  <si>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</si>
  <si>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</si>
  <si>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</si>
  <si>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</si>
  <si>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</si>
  <si>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</si>
  <si>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</si>
  <si>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</si>
  <si>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</si>
  <si>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</si>
  <si>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</si>
  <si>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</si>
  <si>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</si>
  <si>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</si>
  <si>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</si>
  <si>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</si>
  <si>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</si>
  <si>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</si>
  <si>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</si>
  <si>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</si>
  <si>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</si>
  <si>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</si>
  <si>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</si>
  <si>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</si>
  <si>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</si>
  <si>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</si>
  <si>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</si>
  <si>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</si>
  <si>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</si>
  <si>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</si>
  <si>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</si>
  <si>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</si>
  <si>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</si>
  <si>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</si>
  <si>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</si>
  <si>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</si>
  <si>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</si>
  <si>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</si>
  <si>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</si>
  <si>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</si>
  <si>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</si>
  <si>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</si>
  <si>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</si>
  <si>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</si>
  <si>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</si>
  <si>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</si>
  <si>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</si>
  <si>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</si>
  <si>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</si>
  <si>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</si>
  <si>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</si>
  <si>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</si>
  <si>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</si>
  <si>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</si>
  <si>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</si>
  <si>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</si>
  <si>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</si>
  <si>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</si>
  <si>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</si>
  <si>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</si>
  <si>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</si>
  <si>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</si>
  <si>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</si>
  <si>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</si>
  <si>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</si>
  <si>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</si>
  <si>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</si>
  <si>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</si>
  <si>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</si>
  <si>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</si>
  <si>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</si>
  <si>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</si>
  <si>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</si>
  <si>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</si>
  <si>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</si>
  <si>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</si>
  <si>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</si>
  <si>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</si>
  <si>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</si>
  <si>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</si>
  <si>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</si>
  <si>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</si>
  <si>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</si>
  <si>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</si>
  <si>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</si>
  <si>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</si>
  <si>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</si>
  <si>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</si>
  <si>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</si>
  <si>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</si>
  <si>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</si>
  <si>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</si>
  <si>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</si>
  <si>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</si>
  <si>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</si>
  <si>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</si>
  <si>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</si>
  <si>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</si>
  <si>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</si>
  <si>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</si>
  <si>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</si>
  <si>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</si>
  <si>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</si>
  <si>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</si>
  <si>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</si>
  <si>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</si>
  <si>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</si>
  <si>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</si>
  <si>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</si>
  <si>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</si>
  <si>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</si>
  <si>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</si>
  <si>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</si>
  <si>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</si>
  <si>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</si>
  <si>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</si>
  <si>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</si>
  <si>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</si>
  <si>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</si>
  <si>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</si>
  <si>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</si>
  <si>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</si>
  <si>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</si>
  <si>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</si>
  <si>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</si>
  <si>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</si>
  <si>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</si>
  <si>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</si>
  <si>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</si>
  <si>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</si>
  <si>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</si>
  <si>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</si>
  <si>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</si>
  <si>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</si>
  <si>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</si>
  <si>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</si>
  <si>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</si>
  <si>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</si>
  <si>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</si>
  <si>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</si>
  <si>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</si>
  <si>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</si>
  <si>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</si>
  <si>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</si>
  <si>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</si>
  <si>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</si>
  <si>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</si>
  <si>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</si>
  <si>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</si>
  <si>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</si>
  <si>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</si>
  <si>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</si>
  <si>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</si>
  <si>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</si>
  <si>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</si>
  <si>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</si>
  <si>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</si>
  <si>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</si>
  <si>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</si>
  <si>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</si>
  <si>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</si>
  <si>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</si>
  <si>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</si>
  <si>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</si>
  <si>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</si>
  <si>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</si>
  <si>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</si>
  <si>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</si>
  <si>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</si>
  <si>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</si>
  <si>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</si>
  <si>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</si>
  <si>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</si>
  <si>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</si>
  <si>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</si>
  <si>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</si>
  <si>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</si>
  <si>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</si>
  <si>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</si>
  <si>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</si>
  <si>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</si>
  <si>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</si>
  <si>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</si>
  <si>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</si>
  <si>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</si>
  <si>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</si>
  <si>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</si>
  <si>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</si>
  <si>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</si>
  <si>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</si>
  <si>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</si>
  <si>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</si>
  <si>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</si>
  <si>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</si>
  <si>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</si>
  <si>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</si>
  <si>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</si>
  <si>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</si>
  <si>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</si>
  <si>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</si>
  <si>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</si>
  <si>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</si>
  <si>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</si>
  <si>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</si>
  <si>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</si>
  <si>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</si>
  <si>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</si>
  <si>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</si>
  <si>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</si>
  <si>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</si>
  <si>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</si>
  <si>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</si>
  <si>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</si>
  <si>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</si>
  <si>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</si>
  <si>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</si>
  <si>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</si>
  <si>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</si>
  <si>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</si>
  <si>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</si>
  <si>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</si>
  <si>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</si>
  <si>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</si>
  <si>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</si>
  <si>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</si>
  <si>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</si>
  <si>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</si>
  <si>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</si>
  <si>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</si>
  <si>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</si>
  <si>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</si>
  <si>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</si>
  <si>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</si>
  <si>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</si>
  <si>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</si>
  <si>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</si>
  <si>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</si>
  <si>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</si>
  <si>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</si>
  <si>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</si>
  <si>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</si>
  <si>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</si>
  <si>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</si>
  <si>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</si>
  <si>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</si>
  <si>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</si>
  <si>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</si>
  <si>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</si>
  <si>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</si>
  <si>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</si>
  <si>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</si>
  <si>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</si>
  <si>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</si>
  <si>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</si>
  <si>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</si>
  <si>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</si>
  <si>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</si>
  <si>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</si>
  <si>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</si>
  <si>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</si>
  <si>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</si>
  <si>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</si>
  <si>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</si>
  <si>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</si>
  <si>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</si>
  <si>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</si>
  <si>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</si>
  <si>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</si>
  <si>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</si>
  <si>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</si>
  <si>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</si>
  <si>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</si>
  <si>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</si>
  <si>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</si>
  <si>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</si>
  <si>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</si>
  <si>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</si>
  <si>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</si>
  <si>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</si>
  <si>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</si>
  <si>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</si>
  <si>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</si>
  <si>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</si>
  <si>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</si>
  <si>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</si>
  <si>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</si>
  <si>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</si>
  <si>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</si>
  <si>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</si>
  <si>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</si>
  <si>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</si>
  <si>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</si>
  <si>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</si>
  <si>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</si>
  <si>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</si>
  <si>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</si>
  <si>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</si>
  <si>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</si>
  <si>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</si>
  <si>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</si>
  <si>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</si>
  <si>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</si>
  <si>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</si>
  <si>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</si>
  <si>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</si>
  <si>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</si>
  <si>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</si>
  <si>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</si>
  <si>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</si>
  <si>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</si>
  <si>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</si>
  <si>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</si>
  <si>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</si>
  <si>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</si>
  <si>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</si>
  <si>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</si>
  <si>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</si>
  <si>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</si>
  <si>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</si>
  <si>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</si>
  <si>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</si>
  <si>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</si>
  <si>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</si>
  <si>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</si>
  <si>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</si>
  <si>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</si>
  <si>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</si>
  <si>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</si>
  <si>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</si>
  <si>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</si>
  <si>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</si>
  <si>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</si>
  <si>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</si>
  <si>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</si>
  <si>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</si>
  <si>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</si>
  <si>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</si>
  <si>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</si>
  <si>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</si>
  <si>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</si>
  <si>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</si>
  <si>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</si>
  <si>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</si>
  <si>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</si>
  <si>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</si>
  <si>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</si>
  <si>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</si>
  <si>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</si>
  <si>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</si>
  <si>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</si>
  <si>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</si>
  <si>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</si>
  <si>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</si>
  <si>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</si>
  <si>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</si>
  <si>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</si>
  <si>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</si>
  <si>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</si>
  <si>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</si>
  <si>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</si>
  <si>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</si>
  <si>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</si>
  <si>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</si>
  <si>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</si>
  <si>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</si>
  <si>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</si>
  <si>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</si>
  <si>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</si>
  <si>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</si>
  <si>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</si>
  <si>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</si>
  <si>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</si>
  <si>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</si>
  <si>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</si>
  <si>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</si>
  <si>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</si>
  <si>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</si>
  <si>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</si>
  <si>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</si>
  <si>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</si>
  <si>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</si>
  <si>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</si>
  <si>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</si>
  <si>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</si>
  <si>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</si>
  <si>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</si>
  <si>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</si>
  <si>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</si>
  <si>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</si>
  <si>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</si>
  <si>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</si>
  <si>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</si>
  <si>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</si>
  <si>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</si>
  <si>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</si>
  <si>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</si>
  <si>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</si>
  <si>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</si>
  <si>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</si>
  <si>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</si>
  <si>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</si>
  <si>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</si>
  <si>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</si>
  <si>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</si>
  <si>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</si>
  <si>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</si>
  <si>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</si>
  <si>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</si>
  <si>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</si>
  <si>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</si>
  <si>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</si>
  <si>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</si>
  <si>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</si>
  <si>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</si>
  <si>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</si>
  <si>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</si>
  <si>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</si>
  <si>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</si>
  <si>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</si>
  <si>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</si>
  <si>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</si>
  <si>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</si>
  <si>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</si>
  <si>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</si>
  <si>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</si>
  <si>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</si>
  <si>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</si>
  <si>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</si>
  <si>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</si>
  <si>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</si>
  <si>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</si>
  <si>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</si>
  <si>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</si>
  <si>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</si>
  <si>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</si>
  <si>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</si>
  <si>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</si>
  <si>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</si>
  <si>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</si>
  <si>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</si>
  <si>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</si>
  <si>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</si>
  <si>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</si>
  <si>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</si>
  <si>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</si>
  <si>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</si>
  <si>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</si>
  <si>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</si>
  <si>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</si>
  <si>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</si>
  <si>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</si>
  <si>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</si>
  <si>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</si>
  <si>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</si>
  <si>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</si>
  <si>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</si>
  <si>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</si>
  <si>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</si>
  <si>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</si>
  <si>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</si>
  <si>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</si>
  <si>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</si>
  <si>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</si>
  <si>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</si>
  <si>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</si>
  <si>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</si>
  <si>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</si>
  <si>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</si>
  <si>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</si>
  <si>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</si>
  <si>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</si>
  <si>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</si>
  <si>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</si>
  <si>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</si>
  <si>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</si>
  <si>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</si>
  <si>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</si>
  <si>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</si>
  <si>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</si>
  <si>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</si>
  <si>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</si>
  <si>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</si>
  <si>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</si>
  <si>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</si>
  <si>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</si>
  <si>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</si>
  <si>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</si>
  <si>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</si>
  <si>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</si>
  <si>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</si>
  <si>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</si>
  <si>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</si>
  <si>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</si>
  <si>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</si>
  <si>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</si>
  <si>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</si>
  <si>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</si>
  <si>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</si>
  <si>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</si>
  <si>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</si>
  <si>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</si>
  <si>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</si>
  <si>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</si>
  <si>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</si>
  <si>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</si>
  <si>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</si>
  <si>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</si>
  <si>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</si>
  <si>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</si>
  <si>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</si>
  <si>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</si>
  <si>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</si>
  <si>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</si>
  <si>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</si>
  <si>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</si>
  <si>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</si>
  <si>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</si>
  <si>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</si>
  <si>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</si>
  <si>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</si>
  <si>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</si>
  <si>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</si>
  <si>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</si>
  <si>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</si>
  <si>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</si>
  <si>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</si>
  <si>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</si>
  <si>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</si>
  <si>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</si>
  <si>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</si>
  <si>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</si>
  <si>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</si>
  <si>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</si>
  <si>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</si>
  <si>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</si>
  <si>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</si>
  <si>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</si>
  <si>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</si>
  <si>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</si>
  <si>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</si>
  <si>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</si>
  <si>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</si>
  <si>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</si>
  <si>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</si>
  <si>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</si>
  <si>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</si>
  <si>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</si>
  <si>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</si>
  <si>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</si>
  <si>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</si>
  <si>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</si>
  <si>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</si>
  <si>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</si>
  <si>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</si>
  <si>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</si>
  <si>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</si>
  <si>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</si>
  <si>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</si>
  <si>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</si>
  <si>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</si>
  <si>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</si>
  <si>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</si>
  <si>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</si>
  <si>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</si>
  <si>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</si>
  <si>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</si>
  <si>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</si>
  <si>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</si>
  <si>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</si>
  <si>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</si>
  <si>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</si>
  <si>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</si>
  <si>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</si>
  <si>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</si>
  <si>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</si>
  <si>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</si>
  <si>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</si>
  <si>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</si>
  <si>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</si>
  <si>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</si>
  <si>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</si>
  <si>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</si>
  <si>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</si>
  <si>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</si>
  <si>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</si>
  <si>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</si>
  <si>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</si>
  <si>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</si>
  <si>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</si>
  <si>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</si>
  <si>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</si>
  <si>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</si>
  <si>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</si>
  <si>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</si>
  <si>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</si>
  <si>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</si>
  <si>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</si>
  <si>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</si>
  <si>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</si>
  <si>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</si>
  <si>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</si>
  <si>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</si>
  <si>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</si>
  <si>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</si>
  <si>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</si>
  <si>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</si>
  <si>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</si>
  <si>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</si>
  <si>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</si>
  <si>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</si>
  <si>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</si>
  <si>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</si>
  <si>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</si>
  <si>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</si>
  <si>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</si>
  <si>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</si>
  <si>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</si>
  <si>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</si>
  <si>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</si>
  <si>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</si>
  <si>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</si>
  <si>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</si>
  <si>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</si>
  <si>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</si>
  <si>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</si>
  <si>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</si>
  <si>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</si>
  <si>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</si>
  <si>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</si>
  <si>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</si>
  <si>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</si>
  <si>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</si>
  <si>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</si>
  <si>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</si>
  <si>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</si>
  <si>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</si>
  <si>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</si>
  <si>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</si>
  <si>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</si>
  <si>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</si>
  <si>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</si>
  <si>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</si>
  <si>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</si>
  <si>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</si>
  <si>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</si>
  <si>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</si>
  <si>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</si>
  <si>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</si>
  <si>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</si>
  <si>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</si>
  <si>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</si>
  <si>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</si>
  <si>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</si>
  <si>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</si>
  <si>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</si>
  <si>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</si>
  <si>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</si>
  <si>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</si>
  <si>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</si>
  <si>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</si>
  <si>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</si>
  <si>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</si>
  <si>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</si>
  <si>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</si>
  <si>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</si>
  <si>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</si>
  <si>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</si>
  <si>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</si>
  <si>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</si>
  <si>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</si>
  <si>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</si>
  <si>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</si>
  <si>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</si>
  <si>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</si>
  <si>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</si>
  <si>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</si>
  <si>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</si>
  <si>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</si>
  <si>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</si>
  <si>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</si>
  <si>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</si>
  <si>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</si>
  <si>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</si>
  <si>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</si>
  <si>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</si>
  <si>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</si>
  <si>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</si>
  <si>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</si>
  <si>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</si>
  <si>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</si>
  <si>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</si>
  <si>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</si>
  <si>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</si>
  <si>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</si>
  <si>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</si>
  <si>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</si>
  <si>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</si>
  <si>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</si>
  <si>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</si>
  <si>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</si>
  <si>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</si>
  <si>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</si>
  <si>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</si>
  <si>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</si>
  <si>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</si>
  <si>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</si>
  <si>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</si>
  <si>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</si>
  <si>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</si>
  <si>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</si>
  <si>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</si>
  <si>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</si>
  <si>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</si>
  <si>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</si>
  <si>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</si>
  <si>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</si>
  <si>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</si>
  <si>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</si>
  <si>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</si>
  <si>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</si>
  <si>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</si>
  <si>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</si>
  <si>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</si>
  <si>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</si>
  <si>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</si>
  <si>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</si>
  <si>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</si>
  <si>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</si>
  <si>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</si>
  <si>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</si>
  <si>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</si>
  <si>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</si>
  <si>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</si>
  <si>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</si>
  <si>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</si>
  <si>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</si>
  <si>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</si>
  <si>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</si>
  <si>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</si>
  <si>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</si>
  <si>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</si>
  <si>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</si>
  <si>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</si>
  <si>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</si>
  <si>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</si>
  <si>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</si>
  <si>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</si>
  <si>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</si>
  <si>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</si>
  <si>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</si>
  <si>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</si>
  <si>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</si>
  <si>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</si>
  <si>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</si>
  <si>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</si>
  <si>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</si>
  <si>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</si>
  <si>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</si>
  <si>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</si>
  <si>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</si>
  <si>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</si>
  <si>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</si>
  <si>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</si>
  <si>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</si>
  <si>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</si>
  <si>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</si>
  <si>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</si>
  <si>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</si>
  <si>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</si>
  <si>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</si>
  <si>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</si>
  <si>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</si>
  <si>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</si>
  <si>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</si>
  <si>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</si>
  <si>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</si>
  <si>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</si>
  <si>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</si>
  <si>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</si>
  <si>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</si>
  <si>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</si>
  <si>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</si>
  <si>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</si>
  <si>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</si>
  <si>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</si>
  <si>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</si>
  <si>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</si>
  <si>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</si>
  <si>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</si>
  <si>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</si>
  <si>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</si>
  <si>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</si>
  <si>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</si>
  <si>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</si>
  <si>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</si>
  <si>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</si>
  <si>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</si>
  <si>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</si>
  <si>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</si>
  <si>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</si>
  <si>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</si>
  <si>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</si>
  <si>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</si>
  <si>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</si>
  <si>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</si>
  <si>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</si>
  <si>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</si>
  <si>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</si>
  <si>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</si>
  <si>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</si>
  <si>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</si>
  <si>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</si>
  <si>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</si>
  <si>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</si>
  <si>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</si>
  <si>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</si>
  <si>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</si>
  <si>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</si>
  <si>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</si>
  <si>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</si>
  <si>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</si>
  <si>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</si>
  <si>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</si>
  <si>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</si>
  <si>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</si>
  <si>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</si>
  <si>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</si>
  <si>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</si>
  <si>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</si>
  <si>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</si>
  <si>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</si>
  <si>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</si>
  <si>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</si>
  <si>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</si>
  <si>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</si>
  <si>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</si>
  <si>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</si>
  <si>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</si>
  <si>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</si>
  <si>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</si>
  <si>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</si>
  <si>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</si>
  <si>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</si>
  <si>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</si>
  <si>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</si>
  <si>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</si>
  <si>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</si>
  <si>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</si>
  <si>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</si>
  <si>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</si>
  <si>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</si>
  <si>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</si>
  <si>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</si>
  <si>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</si>
  <si>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</si>
  <si>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</si>
  <si>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</si>
  <si>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</si>
  <si>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</si>
  <si>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</si>
  <si>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</si>
  <si>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</si>
  <si>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</si>
  <si>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</si>
  <si>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</si>
  <si>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</si>
  <si>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</si>
  <si>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</si>
  <si>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</si>
  <si>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</si>
  <si>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</si>
  <si>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</si>
  <si>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</si>
  <si>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</si>
  <si>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</si>
  <si>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</si>
  <si>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</si>
  <si>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</si>
  <si>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</si>
  <si>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</si>
  <si>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</si>
  <si>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</si>
  <si>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</si>
  <si>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</si>
  <si>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</si>
  <si>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</si>
  <si>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</si>
  <si>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</si>
  <si>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</si>
  <si>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</si>
  <si>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</si>
  <si>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</si>
  <si>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</si>
  <si>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</si>
  <si>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</si>
  <si>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</si>
  <si>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</si>
  <si>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</si>
  <si>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</si>
  <si>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</si>
  <si>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</si>
  <si>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</si>
  <si>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</si>
  <si>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</si>
  <si>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</si>
  <si>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</si>
  <si>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</si>
  <si>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</si>
  <si>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</si>
  <si>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</si>
  <si>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</si>
  <si>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</si>
  <si>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</si>
  <si>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</si>
  <si>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</si>
  <si>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</si>
  <si>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</si>
  <si>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</si>
  <si>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</si>
  <si>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</si>
  <si>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</si>
  <si>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</si>
  <si>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</si>
  <si>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</si>
  <si>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</si>
  <si>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</si>
  <si>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</si>
  <si>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</si>
  <si>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</si>
  <si>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</si>
  <si>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</si>
  <si>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</si>
  <si>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</si>
  <si>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</si>
  <si>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</si>
  <si>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</si>
  <si>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</si>
  <si>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</si>
  <si>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</si>
  <si>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</si>
  <si>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</si>
  <si>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</si>
  <si>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</si>
  <si>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</si>
  <si>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</si>
  <si>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</si>
  <si>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</si>
  <si>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</si>
  <si>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</si>
  <si>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</si>
  <si>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</si>
  <si>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</si>
  <si>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</si>
  <si>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</si>
  <si>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</si>
  <si>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</si>
  <si>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</si>
  <si>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</si>
  <si>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</si>
  <si>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</si>
  <si>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</si>
  <si>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</si>
  <si>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</si>
  <si>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</si>
  <si>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</si>
  <si>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</si>
  <si>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</si>
  <si>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</si>
  <si>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</si>
  <si>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</si>
  <si>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</si>
  <si>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</si>
  <si>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</si>
  <si>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</si>
  <si>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</si>
  <si>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</si>
  <si>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</si>
  <si>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</si>
  <si>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</si>
  <si>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</si>
  <si>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</si>
  <si>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</si>
  <si>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</si>
  <si>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</si>
  <si>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</si>
  <si>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</si>
  <si>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</si>
  <si>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</si>
  <si>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</si>
  <si>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</si>
  <si>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</si>
  <si>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</si>
  <si>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</si>
  <si>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</si>
  <si>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</si>
  <si>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</si>
  <si>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</si>
  <si>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</si>
  <si>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</si>
  <si>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</si>
  <si>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</si>
  <si>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</si>
  <si>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</si>
  <si>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</si>
  <si>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</si>
  <si>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</si>
  <si>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</si>
  <si>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</si>
  <si>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</si>
  <si>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</si>
  <si>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</si>
  <si>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</si>
  <si>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</si>
  <si>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</si>
  <si>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</si>
  <si>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</si>
  <si>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</si>
  <si>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</si>
  <si>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</si>
  <si>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</si>
  <si>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</si>
  <si>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</si>
  <si>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</si>
  <si>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</si>
  <si>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</si>
  <si>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</si>
  <si>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</si>
  <si>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</si>
  <si>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</si>
  <si>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</si>
  <si>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</si>
  <si>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</si>
  <si>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</si>
  <si>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</si>
  <si>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</si>
  <si>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</si>
  <si>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</si>
  <si>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</si>
  <si>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</si>
  <si>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</si>
  <si>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</si>
  <si>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</si>
  <si>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</si>
  <si>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</si>
  <si>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</si>
  <si>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</si>
  <si>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</si>
  <si>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</si>
  <si>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</si>
  <si>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</si>
  <si>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</si>
  <si>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</si>
  <si>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</si>
  <si>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</si>
  <si>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</si>
  <si>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</si>
  <si>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</si>
  <si>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</si>
  <si>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</si>
  <si>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</si>
  <si>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</si>
  <si>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</si>
  <si>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</si>
  <si>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</si>
  <si>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</si>
  <si>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</si>
  <si>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</si>
  <si>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</si>
  <si>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</si>
  <si>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</si>
  <si>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</si>
  <si>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</si>
  <si>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</si>
  <si>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</si>
  <si>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</si>
  <si>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</si>
  <si>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</si>
  <si>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</si>
  <si>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</si>
  <si>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</si>
  <si>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</si>
  <si>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</si>
  <si>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</si>
  <si>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</si>
  <si>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</si>
  <si>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</si>
  <si>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</si>
  <si>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</si>
  <si>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</si>
  <si>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</si>
  <si>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</si>
  <si>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</si>
  <si>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</si>
  <si>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</si>
  <si>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</si>
  <si>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</si>
  <si>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</si>
  <si>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</si>
  <si>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</si>
  <si>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</si>
  <si>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</si>
  <si>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</si>
  <si>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</si>
  <si>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</si>
  <si>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</si>
  <si>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</si>
  <si>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</si>
  <si>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</si>
  <si>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</si>
  <si>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</si>
  <si>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</si>
  <si>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</si>
  <si>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</si>
  <si>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</si>
  <si>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</si>
  <si>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</si>
  <si>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</si>
  <si>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</si>
  <si>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</si>
  <si>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</si>
  <si>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</si>
  <si>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</si>
  <si>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</si>
  <si>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</si>
  <si>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</si>
  <si>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</si>
  <si>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</si>
  <si>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</si>
  <si>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</si>
  <si>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</si>
  <si>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</si>
  <si>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</si>
  <si>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</si>
  <si>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</si>
  <si>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</si>
  <si>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</si>
  <si>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</si>
  <si>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</si>
  <si>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</si>
  <si>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</si>
  <si>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</si>
  <si>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</si>
  <si>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</si>
  <si>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</si>
  <si>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</si>
  <si>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</si>
  <si>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</si>
  <si>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</si>
  <si>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</si>
  <si>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</si>
  <si>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</si>
  <si>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</si>
  <si>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</si>
  <si>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</si>
  <si>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</si>
  <si>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</si>
  <si>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</si>
  <si>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</si>
  <si>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</si>
  <si>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</si>
  <si>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</si>
  <si>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</si>
  <si>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</si>
  <si>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</si>
  <si>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</si>
  <si>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</si>
  <si>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</si>
  <si>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</si>
  <si>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</si>
  <si>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</si>
  <si>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</si>
  <si>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</si>
  <si>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</si>
  <si>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</si>
  <si>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</si>
  <si>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</si>
  <si>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</si>
  <si>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</si>
  <si>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</si>
  <si>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</si>
  <si>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</si>
  <si>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</si>
  <si>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</si>
  <si>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</si>
  <si>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</si>
  <si>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</si>
  <si>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</si>
  <si>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</si>
  <si>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</si>
  <si>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</si>
  <si>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</si>
  <si>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</si>
  <si>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</si>
  <si>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</si>
  <si>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</si>
  <si>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</si>
  <si>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</si>
  <si>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</si>
  <si>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</si>
  <si>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</si>
  <si>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</si>
  <si>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</si>
  <si>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</si>
  <si>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</si>
  <si>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</si>
  <si>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</si>
  <si>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</si>
  <si>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</si>
  <si>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</si>
  <si>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</si>
  <si>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</si>
  <si>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</si>
  <si>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</si>
  <si>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</si>
  <si>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</si>
  <si>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</si>
  <si>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</si>
  <si>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</si>
  <si>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</si>
  <si>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</si>
  <si>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</si>
  <si>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</si>
  <si>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</si>
  <si>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</si>
  <si>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</si>
  <si>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</si>
  <si>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</si>
  <si>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</si>
  <si>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</si>
  <si>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</si>
  <si>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</si>
  <si>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</si>
  <si>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</si>
  <si>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</si>
  <si>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</si>
  <si>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</si>
  <si>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</si>
  <si>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</si>
  <si>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</si>
  <si>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</si>
  <si>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</si>
  <si>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</si>
  <si>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</si>
  <si>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</si>
  <si>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</si>
  <si>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</si>
  <si>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</si>
  <si>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</si>
  <si>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</si>
  <si>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</si>
  <si>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</si>
  <si>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</si>
  <si>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</si>
  <si>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</si>
  <si>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</si>
  <si>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</si>
  <si>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</si>
  <si>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</si>
  <si>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</si>
  <si>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</si>
  <si>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</si>
  <si>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</si>
  <si>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</si>
  <si>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</si>
  <si>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</si>
  <si>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</si>
  <si>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</si>
  <si>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</si>
  <si>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</si>
  <si>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</si>
  <si>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</si>
  <si>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</si>
  <si>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</si>
  <si>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</si>
  <si>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</si>
  <si>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</si>
  <si>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</si>
  <si>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</si>
  <si>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</si>
  <si>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</si>
  <si>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</si>
  <si>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</si>
  <si>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</si>
  <si>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</si>
  <si>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</si>
  <si>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</si>
  <si>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</si>
  <si>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</si>
  <si>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</si>
  <si>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</si>
  <si>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</si>
  <si>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</si>
  <si>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</si>
  <si>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</si>
  <si>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</si>
  <si>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</si>
  <si>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</si>
  <si>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</si>
  <si>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</si>
  <si>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</si>
  <si>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</si>
  <si>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</si>
  <si>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</si>
  <si>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</si>
  <si>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</si>
  <si>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</si>
  <si>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</si>
  <si>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</si>
  <si>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</si>
  <si>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</si>
  <si>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</si>
  <si>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</si>
  <si>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</si>
  <si>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</si>
  <si>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</si>
  <si>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</si>
  <si>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</si>
  <si>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</si>
  <si>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</si>
  <si>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</si>
  <si>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</si>
  <si>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</si>
  <si>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</si>
  <si>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</si>
  <si>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</si>
  <si>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</si>
  <si>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</si>
  <si>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</si>
  <si>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</si>
  <si>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</si>
  <si>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</si>
  <si>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</si>
  <si>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</si>
  <si>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</si>
  <si>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</si>
  <si>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</si>
  <si>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</si>
  <si>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</si>
  <si>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</si>
  <si>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</si>
  <si>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</si>
  <si>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</si>
  <si>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</si>
  <si>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</si>
  <si>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</si>
  <si>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</si>
  <si>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</si>
  <si>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</si>
  <si>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</si>
  <si>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</si>
  <si>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</si>
  <si>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</si>
  <si>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</si>
  <si>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</si>
  <si>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</si>
  <si>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</si>
  <si>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</si>
  <si>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</si>
  <si>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</si>
  <si>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</si>
  <si>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</si>
  <si>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</si>
  <si>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</si>
  <si>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</si>
  <si>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</si>
  <si>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</si>
  <si>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</si>
  <si>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</si>
  <si>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</si>
  <si>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</si>
  <si>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</si>
  <si>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</si>
  <si>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</si>
  <si>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</si>
  <si>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</si>
  <si>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</si>
  <si>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</si>
  <si>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</si>
  <si>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</si>
  <si>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</si>
  <si>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</si>
  <si>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</si>
  <si>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</si>
  <si>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</si>
  <si>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</si>
  <si>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</si>
  <si>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</si>
  <si>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</si>
  <si>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</si>
  <si>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</si>
  <si>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</si>
  <si>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</si>
  <si>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</si>
  <si>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</si>
  <si>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</si>
  <si>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</si>
  <si>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</si>
  <si>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</si>
  <si>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</si>
  <si>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</si>
  <si>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</si>
  <si>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</si>
  <si>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</si>
  <si>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</si>
  <si>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</si>
  <si>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</si>
  <si>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</si>
  <si>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</si>
  <si>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</si>
  <si>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</si>
  <si>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</si>
  <si>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</si>
  <si>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</si>
  <si>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</si>
  <si>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</si>
  <si>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</si>
  <si>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</si>
  <si>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</si>
  <si>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</si>
  <si>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</si>
  <si>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</si>
  <si>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</si>
  <si>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</si>
  <si>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</si>
  <si>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</si>
  <si>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</si>
  <si>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</si>
  <si>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</si>
  <si>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</si>
  <si>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</si>
  <si>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</si>
  <si>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</si>
  <si>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</si>
  <si>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</si>
  <si>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</si>
  <si>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</si>
  <si>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</si>
  <si>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</si>
  <si>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</si>
  <si>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</si>
  <si>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</si>
  <si>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</si>
  <si>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</si>
  <si>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</si>
  <si>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</si>
  <si>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</si>
  <si>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</si>
  <si>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</si>
  <si>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</si>
  <si>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</si>
  <si>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</si>
  <si>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</si>
  <si>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</si>
  <si>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</si>
  <si>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</si>
  <si>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</si>
  <si>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</si>
  <si>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</si>
  <si>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</si>
  <si>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</si>
  <si>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</si>
  <si>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</si>
  <si>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</si>
  <si>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</si>
  <si>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</si>
  <si>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</si>
  <si>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</si>
  <si>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</si>
  <si>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</si>
  <si>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</si>
  <si>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</si>
  <si>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</si>
  <si>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</si>
  <si>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</si>
  <si>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</si>
  <si>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</si>
  <si>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</si>
  <si>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</si>
  <si>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</si>
  <si>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</si>
  <si>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</si>
  <si>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</si>
  <si>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</si>
  <si>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</si>
  <si>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</si>
  <si>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</si>
  <si>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</si>
  <si>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</si>
  <si>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</si>
  <si>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</si>
  <si>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</si>
  <si>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</si>
  <si>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</si>
  <si>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</si>
  <si>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</si>
  <si>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</si>
  <si>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</si>
  <si>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</si>
  <si>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</si>
  <si>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</si>
  <si>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</si>
  <si>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</si>
  <si>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</si>
  <si>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</si>
  <si>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</si>
  <si>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</si>
  <si>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</si>
  <si>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</si>
  <si>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</si>
  <si>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</si>
  <si>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</si>
  <si>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</si>
  <si>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</si>
  <si>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</si>
  <si>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</si>
  <si>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</si>
  <si>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</si>
  <si>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</si>
  <si>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</si>
  <si>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</si>
  <si>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</si>
  <si>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</si>
  <si>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</si>
  <si>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</si>
  <si>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</si>
  <si>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</si>
  <si>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</si>
  <si>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</si>
  <si>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</si>
  <si>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</si>
  <si>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</si>
  <si>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</si>
  <si>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</si>
  <si>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</si>
  <si>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</si>
  <si>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</si>
  <si>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</si>
  <si>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</si>
  <si>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</si>
  <si>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</si>
  <si>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</si>
  <si>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</si>
  <si>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</si>
  <si>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</si>
  <si>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</si>
  <si>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</si>
  <si>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</si>
  <si>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</si>
  <si>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</si>
  <si>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</si>
  <si>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</si>
  <si>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</si>
  <si>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</si>
  <si>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</si>
  <si>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</si>
  <si>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</si>
  <si>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</si>
  <si>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</si>
  <si>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</si>
  <si>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</si>
  <si>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</si>
  <si>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</si>
  <si>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</si>
  <si>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</si>
  <si>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</si>
  <si>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</si>
  <si>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</si>
  <si>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</si>
  <si>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</si>
  <si>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</si>
  <si>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</si>
  <si>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</si>
  <si>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</si>
  <si>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</si>
  <si>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</si>
  <si>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</si>
  <si>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</si>
  <si>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</si>
  <si>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</si>
  <si>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</si>
  <si>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</si>
  <si>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</si>
  <si>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</si>
  <si>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</si>
  <si>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</si>
  <si>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</si>
  <si>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</si>
  <si>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</si>
  <si>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</si>
  <si>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</si>
  <si>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</si>
  <si>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</si>
  <si>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</si>
  <si>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</si>
  <si>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</si>
  <si>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</si>
  <si>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</si>
  <si>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</si>
  <si>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</si>
  <si>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</si>
  <si>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</si>
  <si>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</si>
  <si>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</si>
  <si>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</si>
  <si>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</si>
  <si>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</si>
  <si>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</si>
  <si>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</si>
  <si>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</si>
  <si>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</si>
  <si>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</si>
  <si>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</si>
  <si>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</si>
  <si>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</si>
  <si>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</si>
  <si>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</si>
  <si>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</si>
  <si>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</si>
  <si>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</si>
  <si>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</si>
  <si>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</si>
  <si>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</si>
  <si>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</si>
  <si>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</si>
  <si>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</si>
  <si>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</si>
  <si>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</si>
  <si>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</si>
  <si>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</si>
  <si>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</si>
  <si>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</si>
  <si>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</si>
  <si>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</si>
  <si>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</si>
  <si>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</si>
  <si>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</si>
  <si>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</si>
  <si>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</si>
  <si>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</si>
  <si>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</si>
  <si>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</si>
  <si>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</si>
  <si>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</si>
  <si>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</si>
  <si>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</si>
  <si>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</si>
  <si>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</si>
  <si>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</si>
  <si>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</si>
  <si>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</si>
  <si>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</si>
  <si>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</si>
  <si>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</si>
  <si>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</si>
  <si>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</si>
  <si>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</si>
  <si>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</si>
  <si>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</si>
  <si>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</si>
  <si>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</si>
  <si>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</si>
  <si>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</si>
  <si>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</si>
  <si>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</si>
  <si>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</si>
  <si>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</si>
  <si>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</si>
  <si>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</si>
  <si>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</si>
  <si>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</si>
  <si>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</si>
  <si>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</si>
  <si>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</si>
  <si>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</si>
  <si>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</si>
  <si>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</si>
  <si>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</si>
  <si>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</si>
  <si>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</si>
  <si>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</si>
  <si>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</si>
  <si>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</si>
  <si>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</si>
  <si>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</si>
  <si>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</si>
  <si>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</si>
  <si>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</si>
  <si>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</si>
  <si>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</si>
  <si>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</si>
  <si>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</si>
  <si>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</si>
  <si>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</si>
  <si>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</si>
  <si>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</si>
  <si>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</si>
  <si>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</si>
  <si>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</si>
  <si>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</si>
  <si>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</si>
  <si>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</si>
  <si>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</si>
  <si>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</si>
  <si>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</si>
  <si>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</si>
  <si>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</si>
  <si>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</si>
  <si>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</si>
  <si>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</si>
  <si>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</si>
  <si>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</si>
  <si>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</si>
  <si>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</si>
  <si>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</si>
  <si>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</si>
  <si>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</si>
  <si>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</si>
  <si>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</si>
  <si>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</si>
  <si>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</si>
  <si>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</si>
  <si>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</si>
  <si>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</si>
  <si>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</si>
  <si>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</si>
  <si>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</si>
  <si>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</si>
  <si>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</si>
  <si>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</si>
  <si>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</si>
  <si>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</si>
  <si>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</si>
  <si>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</si>
  <si>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</si>
  <si>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</si>
  <si>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</si>
  <si>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</si>
  <si>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</si>
  <si>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</si>
  <si>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</si>
  <si>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</si>
  <si>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</si>
  <si>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</si>
  <si>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</si>
  <si>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</si>
  <si>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</si>
  <si>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</si>
  <si>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</si>
  <si>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</si>
  <si>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</si>
  <si>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</si>
  <si>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</si>
  <si>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</si>
  <si>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</si>
  <si>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</si>
  <si>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</si>
  <si>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</si>
  <si>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</si>
  <si>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</si>
  <si>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</si>
  <si>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</si>
  <si>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</si>
  <si>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</si>
  <si>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</si>
  <si>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</si>
  <si>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</si>
  <si>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</si>
  <si>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</si>
  <si>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</si>
  <si>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</si>
  <si>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</si>
  <si>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</si>
  <si>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</si>
  <si>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</si>
  <si>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</si>
  <si>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</si>
  <si>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</si>
  <si>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</si>
  <si>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</si>
  <si>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</si>
  <si>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</si>
  <si>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</si>
  <si>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</si>
  <si>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</si>
  <si>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</si>
  <si>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</si>
  <si>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</si>
  <si>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</si>
  <si>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</si>
  <si>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</si>
  <si>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</si>
  <si>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</si>
  <si>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</si>
  <si>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</si>
  <si>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</si>
  <si>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</si>
  <si>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</si>
  <si>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</si>
  <si>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</si>
  <si>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</si>
  <si>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</si>
  <si>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</si>
  <si>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</si>
  <si>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</si>
  <si>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</si>
  <si>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</si>
  <si>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</si>
  <si>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</si>
  <si>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</si>
  <si>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</si>
  <si>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</si>
  <si>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</si>
  <si>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</si>
  <si>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</si>
  <si>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</si>
  <si>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</si>
  <si>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</si>
  <si>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</si>
  <si>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</si>
  <si>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</si>
  <si>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</si>
  <si>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</si>
  <si>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</si>
  <si>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</si>
  <si>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</si>
  <si>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</si>
  <si>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</si>
  <si>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</si>
  <si>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</si>
  <si>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</si>
  <si>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</si>
  <si>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</si>
  <si>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</si>
  <si>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</si>
  <si>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</si>
  <si>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</si>
  <si>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</si>
  <si>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</si>
  <si>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</si>
  <si>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</si>
  <si>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</si>
  <si>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</si>
  <si>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</si>
  <si>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</si>
  <si>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</si>
  <si>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</si>
  <si>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</si>
  <si>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</si>
  <si>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</si>
  <si>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</si>
  <si>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</si>
  <si>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</si>
  <si>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</si>
  <si>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</si>
  <si>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</si>
  <si>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</si>
  <si>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</si>
  <si>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</si>
  <si>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</si>
  <si>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</si>
  <si>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</si>
  <si>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</si>
  <si>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</si>
  <si>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</si>
  <si>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</si>
  <si>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</si>
  <si>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</si>
  <si>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</si>
  <si>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</si>
  <si>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</si>
  <si>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</si>
  <si>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</si>
  <si>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</si>
  <si>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</si>
  <si>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</si>
  <si>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</si>
  <si>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</si>
  <si>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</si>
  <si>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</si>
  <si>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</si>
  <si>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</si>
  <si>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</si>
  <si>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</si>
  <si>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</si>
  <si>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</si>
  <si>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</si>
  <si>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</si>
  <si>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</si>
  <si>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</si>
  <si>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</si>
  <si>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</si>
  <si>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</si>
  <si>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</si>
  <si>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</si>
  <si>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</si>
  <si>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</si>
  <si>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</si>
  <si>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</si>
  <si>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</si>
  <si>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</si>
  <si>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</si>
  <si>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</si>
  <si>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</si>
  <si>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</si>
  <si>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</si>
  <si>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</si>
  <si>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</si>
  <si>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</si>
  <si>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</si>
  <si>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</si>
  <si>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</si>
  <si>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</si>
  <si>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</si>
  <si>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</si>
  <si>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</si>
  <si>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</si>
  <si>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</si>
  <si>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</si>
  <si>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</si>
  <si>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</si>
  <si>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</si>
  <si>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</si>
  <si>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</si>
  <si>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</si>
  <si>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</si>
  <si>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</si>
  <si>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</si>
  <si>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</si>
  <si>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</si>
  <si>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</si>
  <si>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</si>
  <si>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</si>
  <si>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</si>
  <si>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</si>
  <si>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</si>
  <si>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</si>
  <si>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</si>
  <si>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</si>
  <si>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</si>
  <si>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</si>
  <si>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</si>
  <si>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</si>
  <si>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</si>
  <si>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</si>
  <si>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</si>
  <si>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</si>
  <si>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</si>
  <si>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</si>
  <si>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</si>
  <si>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</si>
  <si>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</si>
  <si>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</si>
  <si>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</si>
  <si>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</si>
  <si>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</si>
  <si>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</si>
  <si>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</si>
  <si>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</si>
  <si>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</si>
  <si>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</si>
  <si>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</si>
  <si>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</si>
  <si>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</si>
  <si>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</si>
  <si>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</si>
  <si>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</si>
  <si>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</si>
  <si>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</si>
  <si>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</si>
  <si>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</si>
  <si>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</si>
  <si>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</si>
  <si>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</si>
  <si>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</si>
  <si>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</si>
  <si>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</si>
  <si>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</si>
  <si>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</si>
  <si>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</si>
  <si>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</si>
  <si>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</si>
  <si>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</si>
  <si>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</si>
  <si>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</si>
  <si>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</si>
  <si>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</si>
  <si>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</si>
  <si>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</si>
  <si>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</si>
  <si>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</si>
  <si>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</si>
  <si>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</si>
  <si>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</si>
  <si>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</si>
  <si>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</si>
  <si>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</si>
  <si>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</si>
  <si>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</si>
  <si>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</si>
  <si>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</si>
  <si>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</si>
  <si>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</si>
  <si>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</si>
  <si>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</si>
  <si>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</si>
  <si>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</si>
  <si>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</si>
  <si>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</si>
  <si>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</si>
  <si>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</si>
  <si>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</si>
  <si>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</si>
  <si>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</si>
  <si>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</si>
  <si>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</si>
  <si>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</si>
  <si>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</si>
  <si>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</si>
  <si>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</si>
  <si>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</si>
  <si>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</si>
  <si>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</si>
  <si>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</si>
  <si>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</si>
  <si>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</si>
  <si>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</si>
  <si>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</si>
  <si>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</si>
  <si>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</si>
  <si>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</si>
  <si>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</si>
  <si>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</si>
  <si>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</si>
  <si>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</si>
  <si>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</si>
  <si>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</si>
  <si>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</si>
  <si>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</si>
  <si>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</si>
  <si>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</si>
  <si>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</si>
  <si>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</si>
  <si>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</si>
  <si>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</si>
  <si>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</si>
  <si>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</si>
  <si>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</si>
  <si>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</si>
  <si>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</si>
  <si>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</si>
  <si>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</si>
  <si>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</si>
  <si>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</si>
  <si>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</si>
  <si>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</si>
  <si>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</si>
  <si>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</si>
  <si>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</si>
  <si>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</si>
  <si>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</si>
  <si>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</si>
  <si>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</si>
  <si>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</si>
  <si>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</si>
  <si>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</si>
  <si>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</si>
  <si>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</si>
  <si>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</si>
  <si>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</si>
  <si>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</si>
  <si>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</si>
  <si>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</si>
  <si>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</si>
  <si>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</si>
  <si>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</si>
  <si>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</si>
  <si>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</si>
  <si>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</si>
  <si>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</si>
  <si>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</si>
  <si>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</si>
  <si>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</si>
  <si>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</si>
  <si>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</si>
  <si>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</si>
  <si>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</si>
  <si>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</si>
  <si>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</si>
  <si>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</si>
  <si>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</si>
  <si>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</si>
  <si>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</si>
  <si>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</si>
  <si>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</si>
  <si>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</si>
  <si>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</si>
  <si>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</si>
  <si>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</si>
  <si>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</si>
  <si>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</si>
  <si>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</si>
  <si>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</si>
  <si>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</si>
  <si>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</si>
  <si>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</si>
  <si>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</si>
  <si>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</si>
  <si>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</si>
  <si>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</si>
  <si>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</si>
  <si>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</si>
  <si>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</si>
  <si>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</si>
  <si>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</si>
  <si>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</si>
  <si>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</si>
  <si>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</si>
  <si>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</si>
  <si>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</si>
  <si>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</si>
  <si>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</si>
  <si>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</si>
  <si>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</si>
  <si>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</si>
  <si>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</si>
  <si>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</si>
  <si>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</si>
  <si>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</si>
  <si>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</si>
  <si>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</si>
  <si>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</si>
  <si>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</si>
  <si>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</si>
  <si>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</si>
  <si>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</si>
  <si>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</si>
  <si>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</si>
  <si>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</si>
  <si>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</si>
  <si>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</si>
  <si>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</si>
  <si>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</si>
  <si>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</si>
  <si>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</si>
  <si>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</si>
  <si>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</si>
  <si>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</si>
  <si>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</si>
  <si>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</si>
  <si>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</si>
  <si>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</si>
  <si>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</si>
  <si>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</si>
  <si>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</si>
  <si>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</si>
  <si>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</si>
  <si>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</si>
  <si>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</si>
  <si>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</si>
  <si>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</si>
  <si>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</si>
  <si>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</si>
  <si>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</si>
  <si>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</si>
  <si>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</si>
  <si>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</si>
  <si>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</si>
  <si>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</si>
  <si>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</si>
  <si>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</si>
  <si>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</si>
  <si>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</si>
  <si>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</si>
  <si>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</si>
  <si>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</si>
  <si>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</si>
  <si>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</si>
  <si>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</si>
  <si>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</si>
  <si>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</si>
  <si>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</si>
  <si>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</si>
  <si>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</si>
  <si>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</si>
  <si>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</si>
  <si>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</si>
  <si>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</si>
  <si>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</si>
  <si>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</si>
  <si>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</si>
  <si>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</si>
  <si>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</si>
  <si>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</si>
  <si>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</si>
  <si>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</si>
  <si>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</si>
  <si>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</si>
  <si>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</si>
  <si>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</si>
  <si>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</si>
  <si>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</si>
  <si>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</si>
  <si>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</si>
  <si>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</si>
  <si>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</si>
  <si>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</si>
  <si>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</si>
  <si>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</si>
  <si>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</si>
  <si>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</si>
  <si>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</si>
  <si>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</si>
  <si>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</si>
  <si>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</si>
  <si>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</si>
  <si>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</si>
  <si>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</si>
  <si>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</si>
  <si>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</si>
  <si>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</si>
  <si>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</si>
  <si>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</si>
  <si>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</si>
  <si>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</si>
  <si>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</si>
  <si>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</si>
  <si>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</si>
  <si>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</si>
  <si>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</si>
  <si>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</si>
  <si>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</si>
  <si>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</si>
  <si>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</si>
  <si>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</si>
  <si>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</si>
  <si>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</si>
  <si>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</si>
  <si>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</si>
  <si>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</si>
  <si>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</si>
  <si>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</si>
  <si>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</si>
  <si>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</si>
  <si>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</si>
  <si>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</si>
  <si>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</si>
  <si>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</si>
  <si>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</si>
  <si>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</si>
  <si>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</si>
  <si>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</si>
  <si>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</si>
  <si>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</si>
  <si>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</si>
  <si>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</si>
  <si>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</si>
  <si>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</si>
  <si>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</si>
  <si>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</si>
  <si>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</si>
  <si>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</si>
  <si>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</si>
  <si>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</si>
  <si>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</si>
  <si>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</si>
  <si>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</si>
  <si>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</si>
  <si>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</si>
  <si>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</si>
  <si>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</si>
  <si>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</si>
  <si>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</si>
  <si>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</si>
  <si>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</si>
  <si>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</si>
  <si>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</si>
  <si>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</si>
  <si>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</si>
  <si>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</si>
  <si>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</si>
  <si>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</si>
  <si>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</si>
  <si>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</si>
  <si>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</si>
  <si>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</si>
  <si>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</si>
  <si>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</si>
  <si>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</si>
  <si>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</si>
  <si>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</si>
  <si>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</si>
  <si>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</si>
  <si>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</si>
  <si>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</si>
  <si>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</si>
  <si>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</si>
  <si>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</si>
  <si>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</si>
  <si>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</si>
  <si>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</si>
  <si>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</si>
  <si>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</si>
  <si>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</si>
  <si>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</si>
  <si>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</si>
  <si>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</si>
  <si>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</si>
  <si>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</si>
  <si>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</si>
  <si>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</si>
  <si>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</si>
  <si>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</si>
  <si>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</si>
  <si>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</si>
  <si>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</si>
  <si>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</si>
  <si>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</si>
  <si>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</si>
  <si>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</si>
  <si>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</si>
  <si>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</si>
  <si>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</si>
  <si>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</si>
  <si>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</si>
  <si>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</si>
  <si>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</si>
  <si>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</si>
  <si>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</si>
  <si>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</si>
  <si>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</si>
  <si>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</si>
  <si>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</si>
  <si>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</si>
  <si>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</si>
  <si>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</si>
  <si>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</si>
  <si>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</si>
  <si>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</si>
  <si>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</si>
  <si>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</si>
  <si>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</si>
  <si>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</si>
  <si>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</si>
  <si>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</si>
  <si>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</si>
  <si>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</si>
  <si>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</si>
  <si>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</si>
  <si>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</si>
  <si>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</si>
  <si>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</si>
  <si>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</si>
  <si>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</si>
  <si>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</si>
  <si>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</si>
  <si>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</si>
  <si>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</si>
  <si>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</si>
  <si>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</si>
  <si>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</si>
  <si>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</si>
  <si>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</si>
  <si>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</si>
  <si>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</si>
  <si>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</si>
  <si>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</si>
  <si>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</si>
  <si>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</si>
  <si>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</si>
  <si>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</si>
  <si>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</si>
  <si>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</si>
  <si>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</si>
  <si>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</si>
  <si>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</si>
  <si>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</si>
  <si>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</si>
  <si>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</si>
  <si>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</si>
  <si>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</si>
  <si>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</si>
  <si>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</si>
  <si>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</si>
  <si>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</si>
  <si>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</si>
  <si>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</si>
  <si>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车头牌</t>
    <phoneticPr fontId="8" type="noConversion"/>
  </si>
  <si>
    <t>张</t>
    <phoneticPr fontId="8" type="noConversion"/>
  </si>
  <si>
    <t>8.48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</si>
  <si>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</si>
  <si>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</si>
  <si>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</si>
  <si>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运营人员</t>
    <phoneticPr fontId="8" type="noConversion"/>
  </si>
  <si>
    <t>兼职人员</t>
    <phoneticPr fontId="8" type="noConversion"/>
  </si>
  <si>
    <t>制作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</si>
  <si>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</si>
  <si>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</si>
  <si>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</si>
  <si>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车辆</t>
    <phoneticPr fontId="8" type="noConversion"/>
  </si>
  <si>
    <t>接送机</t>
    <phoneticPr fontId="8" type="noConversion"/>
  </si>
  <si>
    <t>餐饮</t>
    <phoneticPr fontId="8" type="noConversion"/>
  </si>
  <si>
    <t>晚宴</t>
    <phoneticPr fontId="8" type="noConversion"/>
  </si>
  <si>
    <t>桌</t>
    <phoneticPr fontId="8" type="noConversion"/>
  </si>
  <si>
    <t>3180</t>
    <phoneticPr fontId="8" type="noConversion"/>
  </si>
  <si>
    <t>康辉工作人员</t>
    <phoneticPr fontId="8" type="noConversion"/>
  </si>
  <si>
    <t>项目助理</t>
    <phoneticPr fontId="8" type="noConversion"/>
  </si>
  <si>
    <t>差旅住宿</t>
    <phoneticPr fontId="8" type="noConversion"/>
  </si>
  <si>
    <t>差旅补助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</si>
  <si>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</si>
  <si>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</si>
  <si>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</si>
  <si>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</si>
  <si>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</si>
  <si>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</si>
  <si>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</si>
  <si>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</si>
  <si>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</si>
  <si>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</si>
  <si>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</si>
  <si>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</si>
  <si>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包间宴请</t>
    <phoneticPr fontId="8" type="noConversion"/>
  </si>
  <si>
    <t>自助餐</t>
    <phoneticPr fontId="8" type="noConversion"/>
  </si>
  <si>
    <t>大床/双床（3:1）</t>
    <phoneticPr fontId="8" type="noConversion"/>
  </si>
  <si>
    <t>9.19、20、21、22；1间4晚</t>
    <phoneticPr fontId="8" type="noConversion"/>
  </si>
  <si>
    <t>350</t>
    <phoneticPr fontId="8" type="noConversion"/>
  </si>
  <si>
    <t>9.19-23；1人；接待服务</t>
    <phoneticPr fontId="8" type="noConversion"/>
  </si>
  <si>
    <t>餐券</t>
    <phoneticPr fontId="8" type="noConversion"/>
  </si>
  <si>
    <t>2025抖音创作者大会
抖音-社交与互动-游戏玩法</t>
    <phoneticPr fontId="8" type="noConversion"/>
  </si>
  <si>
    <t>2025.9.19-23</t>
    <phoneticPr fontId="8" type="noConversion"/>
  </si>
  <si>
    <t>卢荟婉</t>
    <phoneticPr fontId="8" type="noConversion"/>
  </si>
  <si>
    <t>李肖</t>
    <phoneticPr fontId="8" type="noConversion"/>
  </si>
  <si>
    <t>lixiao.aimmyli@bytedance.com</t>
    <phoneticPr fontId="8" type="noConversion"/>
  </si>
  <si>
    <t>178.08</t>
    <phoneticPr fontId="8" type="noConversion"/>
  </si>
  <si>
    <t>1.06</t>
    <phoneticPr fontId="8" type="noConversion"/>
  </si>
  <si>
    <t>差旅大交通</t>
    <phoneticPr fontId="8" type="noConversion"/>
  </si>
  <si>
    <t>工作人员高铁</t>
    <phoneticPr fontId="8" type="noConversion"/>
  </si>
  <si>
    <t>单程</t>
    <phoneticPr fontId="8" type="noConversion"/>
  </si>
  <si>
    <t>714.44</t>
    <phoneticPr fontId="8" type="noConversion"/>
  </si>
  <si>
    <t>接机牌/手举牌</t>
    <phoneticPr fontId="8" type="noConversion"/>
  </si>
  <si>
    <t>机场接机人员</t>
    <phoneticPr fontId="8" type="noConversion"/>
  </si>
  <si>
    <t>3人；gl8</t>
    <phoneticPr fontId="8" type="noConversion"/>
  </si>
  <si>
    <t>自助午/晚餐</t>
    <phoneticPr fontId="8" type="noConversion"/>
  </si>
  <si>
    <t>接机人员+接待服务人员（酒店签到、餐饮服务、车辆安排等）</t>
    <phoneticPr fontId="8" type="noConversion"/>
  </si>
  <si>
    <t>KT板；75*50cm；2个</t>
    <phoneticPr fontId="8" type="noConversion"/>
  </si>
  <si>
    <t>北京-杭州</t>
    <phoneticPr fontId="8" type="noConversion"/>
  </si>
  <si>
    <t>高铁二等座</t>
    <phoneticPr fontId="8" type="noConversion"/>
  </si>
  <si>
    <t>9.19-23；1人5天+1人1天</t>
    <phoneticPr fontId="8" type="noConversion"/>
  </si>
  <si>
    <t>海宁酒店（待定）</t>
    <phoneticPr fontId="8" type="noConversion"/>
  </si>
  <si>
    <t>接待服务人员（酒店签到、餐饮服务、车辆安排等）</t>
    <phoneticPr fontId="8" type="noConversion"/>
  </si>
  <si>
    <t>铜版纸塑封；A3；6个</t>
  </si>
  <si>
    <t>自助餐券</t>
    <phoneticPr fontId="8" type="noConversion"/>
  </si>
  <si>
    <t>200g铜版纸；7餐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</si>
  <si>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</si>
  <si>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</si>
  <si>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</si>
  <si>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</si>
  <si>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工作餐</t>
    <phoneticPr fontId="8" type="noConversion"/>
  </si>
  <si>
    <t>47.7</t>
    <phoneticPr fontId="8" type="noConversion"/>
  </si>
  <si>
    <t>450</t>
    <phoneticPr fontId="8" type="noConversion"/>
  </si>
  <si>
    <t>预留费用，实际分配酒店为准；45间</t>
    <phoneticPr fontId="8" type="noConversion"/>
  </si>
  <si>
    <t>9.20-22；3天*2餐工作餐；45元/份；每天预计20份</t>
    <phoneticPr fontId="8" type="noConversion"/>
  </si>
  <si>
    <t>2025抖音创作者大会 抖音-社交与互动-游戏玩法会务接待报价单</t>
    <phoneticPr fontId="8" type="noConversion"/>
  </si>
  <si>
    <t>9.20午/晚餐，9.21午/晚餐，9.22午/晚餐；参考景区内自助餐168元/人标准预留</t>
    <phoneticPr fontId="8" type="noConversion"/>
  </si>
  <si>
    <t>9.20｜1场小规模宴请（明星）；参考3000元/桌10人/桌预留</t>
    <phoneticPr fontId="8" type="noConversion"/>
  </si>
  <si>
    <t>9.21｜1场小规模宴请；9.22｜1场小规模宴请；参考3000元/桌10人/桌预留</t>
    <phoneticPr fontId="8" type="noConversion"/>
  </si>
  <si>
    <t>预留费用，实际出票为准；不含只承担住宿&amp;餐饮5人</t>
    <phoneticPr fontId="8" type="noConversion"/>
  </si>
  <si>
    <t>9.20｜1场30人；9.21｜2场30人；参考3000元/桌10人/桌预留</t>
    <phoneticPr fontId="8" type="noConversion"/>
  </si>
  <si>
    <t>嘉宾高铁</t>
    <phoneticPr fontId="8" type="noConversion"/>
  </si>
  <si>
    <t>往返二等座</t>
    <phoneticPr fontId="8" type="noConversion"/>
  </si>
  <si>
    <t>1400</t>
    <phoneticPr fontId="8" type="noConversion"/>
  </si>
  <si>
    <t>预留费用，实际出票为准</t>
    <phoneticPr fontId="8" type="noConversion"/>
  </si>
  <si>
    <t>张瑾秋</t>
    <phoneticPr fontId="8" type="noConversion"/>
  </si>
  <si>
    <t>zhangjinqiu@cct.cn</t>
    <phoneticPr fontId="8" type="noConversion"/>
  </si>
  <si>
    <t>45人</t>
    <phoneticPr fontId="8" type="noConversion"/>
  </si>
  <si>
    <t>luhuiwan@bytedance.com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</si>
</sst>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49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0" fontId="26" fillId="3" borderId="5" xfId="17" applyFont="1" applyFill="1" applyBorder="1" applyAlignment="1" applyProtection="1">
      <alignment horizontal="center" vertical="center" wrapText="1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178" fontId="27" fillId="3" borderId="0" xfId="0" applyNumberFormat="1" applyFont="1" applyFill="1" applyAlignment="1" applyProtection="1">
      <alignment vertical="center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luhuiwan@bytedance.com" TargetMode="External"/><Relationship Id="rId2" Type="http://schemas.openxmlformats.org/officeDocument/2006/relationships/hyperlink" Target="mailto:zhangjinqiu@cct.cn" TargetMode="External"/><Relationship Id="rId1" Type="http://schemas.openxmlformats.org/officeDocument/2006/relationships/hyperlink" Target="mailto:lixiao.aimmyli@bytedance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19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19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19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20" t="s">
        <v>140</v>
      </c>
      <c r="B6" s="153" t="s">
        <v>141</v>
      </c>
      <c r="C6" s="154"/>
    </row>
    <row r="7" spans="1:21" s="149" customFormat="1">
      <c r="A7" s="220"/>
      <c r="B7" s="153" t="s">
        <v>142</v>
      </c>
      <c r="C7" s="154"/>
    </row>
    <row r="8" spans="1:21" s="149" customFormat="1">
      <c r="A8" s="220"/>
      <c r="B8" s="154" t="s">
        <v>143</v>
      </c>
      <c r="C8" s="154"/>
    </row>
    <row r="9" spans="1:21" s="149" customFormat="1" ht="19" customHeight="1">
      <c r="A9" s="220"/>
      <c r="B9" s="153" t="s">
        <v>144</v>
      </c>
      <c r="C9" s="154"/>
    </row>
    <row r="10" spans="1:21" s="149" customFormat="1" ht="19" customHeight="1">
      <c r="A10" s="220"/>
      <c r="B10" s="153" t="s">
        <v>145</v>
      </c>
      <c r="C10" s="154"/>
    </row>
    <row r="11" spans="1:21" s="149" customFormat="1" ht="19" customHeight="1">
      <c r="A11" s="220" t="s">
        <v>146</v>
      </c>
      <c r="B11" s="153" t="s">
        <v>147</v>
      </c>
      <c r="C11" s="153"/>
    </row>
    <row r="12" spans="1:21" s="149" customFormat="1">
      <c r="A12" s="220"/>
      <c r="B12" s="153" t="s">
        <v>148</v>
      </c>
      <c r="C12" s="153"/>
    </row>
    <row r="13" spans="1:21" s="149" customFormat="1">
      <c r="A13" s="220"/>
      <c r="B13" s="153" t="s">
        <v>149</v>
      </c>
      <c r="C13" s="153"/>
    </row>
    <row r="14" spans="1:21" s="149" customFormat="1">
      <c r="A14" s="220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1" t="s">
        <v>89</v>
      </c>
      <c r="Q9" s="222"/>
      <c r="R9" s="223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1" t="s">
        <v>90</v>
      </c>
      <c r="Q18" s="222"/>
      <c r="R18" s="223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1" t="s">
        <v>91</v>
      </c>
      <c r="Q27" s="222"/>
      <c r="R27" s="223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1" t="s">
        <v>94</v>
      </c>
      <c r="Q36" s="222"/>
      <c r="R36" s="223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1" t="s">
        <v>95</v>
      </c>
      <c r="Q45" s="222"/>
      <c r="R45" s="223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1" t="s">
        <v>97</v>
      </c>
      <c r="Q51" s="222"/>
      <c r="R51" s="223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1" t="s">
        <v>96</v>
      </c>
      <c r="Q60" s="222"/>
      <c r="R60" s="223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1" t="s">
        <v>134</v>
      </c>
      <c r="Q69" s="222"/>
      <c r="R69" s="223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1" t="s">
        <v>120</v>
      </c>
      <c r="Q73" s="222"/>
      <c r="R73" s="223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5" t="s">
        <v>54</v>
      </c>
      <c r="Q75" s="225"/>
      <c r="R75" s="226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1" t="s">
        <v>121</v>
      </c>
      <c r="Q79" s="222"/>
      <c r="R79" s="223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5" t="s">
        <v>133</v>
      </c>
      <c r="Q82" s="225"/>
      <c r="R82" s="226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4"/>
      <c r="L84" s="224"/>
      <c r="M84" s="224"/>
      <c r="N84" s="224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4"/>
      <c r="L85" s="224"/>
      <c r="M85" s="224"/>
      <c r="N85" s="224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tabSelected="1" zoomScale="140" zoomScaleNormal="140" workbookViewId="0">
      <selection activeCell="I17" sqref="I17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3" t="s">
        <v>3029</v>
      </c>
      <c r="B1" s="234"/>
      <c r="C1" s="234"/>
      <c r="D1" s="234"/>
      <c r="E1" s="234"/>
      <c r="F1" s="234"/>
      <c r="G1" s="234"/>
      <c r="H1" s="235"/>
    </row>
    <row r="2" spans="1:8" ht="30">
      <c r="A2" s="4" t="s">
        <v>0</v>
      </c>
      <c r="B2" s="10" t="s">
        <v>2995</v>
      </c>
      <c r="C2" s="11" t="s">
        <v>1</v>
      </c>
      <c r="D2" s="236" t="s">
        <v>2953</v>
      </c>
      <c r="E2" s="237"/>
      <c r="F2" s="237"/>
      <c r="G2" s="238" t="s">
        <v>37</v>
      </c>
      <c r="H2" s="239"/>
    </row>
    <row r="3" spans="1:8">
      <c r="A3" s="3" t="s">
        <v>2</v>
      </c>
      <c r="B3" s="13" t="s">
        <v>2996</v>
      </c>
      <c r="C3" s="14" t="s">
        <v>3</v>
      </c>
      <c r="D3" s="236" t="s">
        <v>3041</v>
      </c>
      <c r="E3" s="237"/>
      <c r="F3" s="237"/>
      <c r="G3" s="240"/>
      <c r="H3" s="241"/>
    </row>
    <row r="4" spans="1:8" ht="16">
      <c r="A4" s="3" t="s">
        <v>23</v>
      </c>
      <c r="B4" s="10" t="s">
        <v>2997</v>
      </c>
      <c r="C4" s="1" t="s">
        <v>4</v>
      </c>
      <c r="D4" s="12"/>
      <c r="E4" s="14" t="s">
        <v>5</v>
      </c>
      <c r="F4" s="215" t="s">
        <v>3042</v>
      </c>
      <c r="G4" s="36"/>
      <c r="H4" s="37" t="s">
        <v>17</v>
      </c>
    </row>
    <row r="5" spans="1:8" ht="16">
      <c r="A5" s="3" t="s">
        <v>24</v>
      </c>
      <c r="B5" s="10" t="s">
        <v>2998</v>
      </c>
      <c r="C5" s="1" t="s">
        <v>4</v>
      </c>
      <c r="D5" s="12"/>
      <c r="E5" s="14" t="s">
        <v>5</v>
      </c>
      <c r="F5" s="215" t="s">
        <v>2999</v>
      </c>
      <c r="G5" s="38"/>
      <c r="H5" s="37" t="s">
        <v>18</v>
      </c>
    </row>
    <row r="6" spans="1:8">
      <c r="A6" s="3" t="s">
        <v>6</v>
      </c>
      <c r="B6" s="242" t="s">
        <v>2952</v>
      </c>
      <c r="C6" s="243"/>
      <c r="D6" s="243"/>
      <c r="E6" s="243"/>
      <c r="F6" s="243"/>
      <c r="G6" s="39"/>
      <c r="H6" s="37" t="s">
        <v>19</v>
      </c>
    </row>
    <row r="7" spans="1:8" ht="16">
      <c r="A7" s="3" t="s">
        <v>7</v>
      </c>
      <c r="B7" s="10" t="s">
        <v>3039</v>
      </c>
      <c r="C7" s="1" t="s">
        <v>4</v>
      </c>
      <c r="D7" s="12">
        <v>15811515220</v>
      </c>
      <c r="E7" s="14" t="s">
        <v>5</v>
      </c>
      <c r="F7" s="201" t="s">
        <v>3040</v>
      </c>
      <c r="G7" s="40"/>
      <c r="H7" s="37" t="s">
        <v>20</v>
      </c>
    </row>
    <row r="8" spans="1:8" ht="18">
      <c r="A8" s="232" t="s">
        <v>38</v>
      </c>
      <c r="B8" s="232"/>
      <c r="C8" s="232"/>
      <c r="D8" s="232"/>
      <c r="E8" s="232"/>
      <c r="F8" s="232"/>
      <c r="G8" s="232"/>
      <c r="H8" s="232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'2.报价结算清单'!P6</f>
        <v>375.00749999999999</v>
      </c>
      <c r="D10" s="6">
        <f>IFERROR(_xlfn.IFNA(C10/$C$21,""),"")</f>
        <v>1.2562493678459771E-3</v>
      </c>
      <c r="E10" s="8">
        <f>'2.报价结算清单'!Q6</f>
        <v>0</v>
      </c>
      <c r="F10" s="6" t="str">
        <f t="shared" ref="F10:F18" si="0">IFERROR(_xlfn.IFNA(E10/$E$21,""),"")</f>
        <v/>
      </c>
      <c r="G10" s="8">
        <f>IFERROR(E10-C10,"")</f>
        <v>-375.00749999999999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'2.报价结算清单'!P9</f>
        <v>318</v>
      </c>
      <c r="D12" s="6">
        <f>IFERROR(_xlfn.IFNA(C12/$C$21,""),"")</f>
        <v>1.065278158370221E-3</v>
      </c>
      <c r="E12" s="8">
        <f>'2.报价结算清单'!Q9</f>
        <v>0</v>
      </c>
      <c r="F12" s="6" t="str">
        <f t="shared" si="0"/>
        <v/>
      </c>
      <c r="G12" s="8">
        <f t="shared" si="2"/>
        <v>-318</v>
      </c>
      <c r="H12" s="5"/>
    </row>
    <row r="13" spans="1:8">
      <c r="A13" s="41">
        <v>4</v>
      </c>
      <c r="B13" s="42" t="s">
        <v>47</v>
      </c>
      <c r="C13" s="8">
        <f>'2.报价结算清单'!P12</f>
        <v>2650</v>
      </c>
      <c r="D13" s="6">
        <f t="shared" si="1"/>
        <v>8.8773179864185085E-3</v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'2.报价结算清单'!P28</f>
        <v>278117.57999999996</v>
      </c>
      <c r="D14" s="6">
        <f t="shared" si="1"/>
        <v>0.93167479066912762</v>
      </c>
      <c r="E14" s="8">
        <f>'2.报价结算清单'!Q28</f>
        <v>0</v>
      </c>
      <c r="F14" s="6" t="str">
        <f t="shared" si="0"/>
        <v/>
      </c>
      <c r="G14" s="8">
        <f t="shared" si="2"/>
        <v>-278117.57999999996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 t="e">
        <f>'2.报价结算清单'!#REF!</f>
        <v>#REF!</v>
      </c>
      <c r="D18" s="6" t="str">
        <f t="shared" si="1"/>
        <v/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29" t="s">
        <v>53</v>
      </c>
      <c r="B19" s="230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31" t="s">
        <v>87</v>
      </c>
      <c r="B20" s="230"/>
      <c r="C20" s="9" t="str">
        <f>'2.报价结算清单'!J37</f>
        <v>0</v>
      </c>
      <c r="D20" s="6">
        <f>IFERROR(_xlfn.IFNA(C20/$C$22,""),"")</f>
        <v>0</v>
      </c>
      <c r="E20" s="9" t="str">
        <f>'2.报价结算清单'!K37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29" t="s">
        <v>13</v>
      </c>
      <c r="B21" s="229"/>
      <c r="C21" s="9">
        <f>'2.报价结算清单'!P39</f>
        <v>298513.58304999996</v>
      </c>
      <c r="D21" s="6">
        <f>IFERROR(_xlfn.IFNA(C21/$C$22,""),"")</f>
        <v>1</v>
      </c>
      <c r="E21" s="9">
        <f>'2.报价结算清单'!Q39</f>
        <v>0</v>
      </c>
      <c r="F21" s="6" t="str">
        <f>IFERROR(_xlfn.IFNA(E21/$E$22,""),"")</f>
        <v/>
      </c>
      <c r="G21" s="8">
        <f>IFERROR(E21-C21,"")</f>
        <v>-298513.58304999996</v>
      </c>
      <c r="H21" s="5"/>
    </row>
    <row r="22" spans="1:8">
      <c r="A22" s="227" t="s">
        <v>42</v>
      </c>
      <c r="B22" s="227"/>
      <c r="C22" s="228">
        <f>'2.报价结算清单'!P39</f>
        <v>298513.58304999996</v>
      </c>
      <c r="D22" s="228"/>
      <c r="E22" s="228">
        <f>'2.报价结算清单'!Q39</f>
        <v>0</v>
      </c>
      <c r="F22" s="228"/>
      <c r="G22" s="7">
        <f>IFERROR(E22-C22,"")</f>
        <v>-298513.58304999996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5" r:id="rId1" xr:uid="{4DAE9F03-FCD1-8C46-B604-A2D890D191DB}"/>
    <hyperlink ref="F7" r:id="rId2" xr:uid="{2ACCA5D2-EFF9-0140-A549-1FA3B0137A6C}"/>
    <hyperlink ref="F4" r:id="rId3" xr:uid="{F831EAEF-D19A-174C-83DC-DD3034EF62B1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Y43"/>
  <sheetViews>
    <sheetView topLeftCell="E3" zoomScaleNormal="55" workbookViewId="0">
      <selection activeCell="L32" sqref="L32"/>
    </sheetView>
  </sheetViews>
  <sheetFormatPr baseColWidth="10" defaultColWidth="9" defaultRowHeight="16" outlineLevelCol="1"/>
  <cols>
    <col min="1" max="1" width="12" style="77" bestFit="1" customWidth="1"/>
    <col min="2" max="2" width="12" style="93" bestFit="1" customWidth="1"/>
    <col min="3" max="3" width="17.5" style="93" bestFit="1" customWidth="1"/>
    <col min="4" max="4" width="27.6640625" style="93" bestFit="1" customWidth="1"/>
    <col min="5" max="5" width="10.5" style="93" customWidth="1"/>
    <col min="6" max="6" width="16.5" style="77" bestFit="1" customWidth="1"/>
    <col min="7" max="7" width="23.6640625" style="77" customWidth="1"/>
    <col min="8" max="8" width="71.33203125" style="206" customWidth="1"/>
    <col min="9" max="9" width="8.6640625" style="77" customWidth="1"/>
    <col min="10" max="10" width="12.6640625" style="198" customWidth="1"/>
    <col min="11" max="11" width="12" style="197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5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8" t="s">
        <v>163</v>
      </c>
      <c r="K1" s="189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5" s="180" customFormat="1" ht="22" customHeight="1">
      <c r="A2" s="173" t="s">
        <v>88</v>
      </c>
      <c r="B2" s="128" t="s">
        <v>2962</v>
      </c>
      <c r="C2" s="128" t="s">
        <v>3006</v>
      </c>
      <c r="D2" s="128" t="s">
        <v>3011</v>
      </c>
      <c r="E2" s="174" t="s">
        <v>132</v>
      </c>
      <c r="F2" s="175" t="s">
        <v>2453</v>
      </c>
      <c r="G2" s="128" t="str">
        <f>_xlfn.IFNA(IF(VLOOKUP($F2,'3.框架内物料'!$A:$E,2,0)=0,"请勿填写",VLOOKUP($F2,'3.框架内物料'!$A:$E,2,0)),"")</f>
        <v>M947580777174933506</v>
      </c>
      <c r="H2" s="204" t="str">
        <f>_xlfn.IFNA(VLOOKUP($F2,'3.框架内物料'!$A:$E,4,0),"")</f>
        <v>搭建制作-制作-装饰材料-KT板-亚展A类板</v>
      </c>
      <c r="I2" s="128" t="str">
        <f>_xlfn.IFNA(VLOOKUP($F2,'3.框架内物料'!$A:$E,5,0),"")</f>
        <v>平米</v>
      </c>
      <c r="J2" s="190">
        <f>_xlfn.IFNA(VLOOKUP($F2,'3.框架内物料'!$A:$F,6,0),"")</f>
        <v>50.57</v>
      </c>
      <c r="K2" s="190">
        <f>_xlfn.IFNA(VLOOKUP($F2,'3.框架内物料'!$A:$F,6,0),"")</f>
        <v>50.57</v>
      </c>
      <c r="L2" s="67">
        <v>0.375</v>
      </c>
      <c r="M2" s="67"/>
      <c r="N2" s="67">
        <v>2</v>
      </c>
      <c r="O2" s="67"/>
      <c r="P2" s="176">
        <f>IFERROR(N2*L2*J2,0)</f>
        <v>37.927500000000002</v>
      </c>
      <c r="Q2" s="176">
        <f>IFERROR(O2*M2*K2,0)</f>
        <v>0</v>
      </c>
      <c r="R2" s="177">
        <f>Q2-P2</f>
        <v>-37.927500000000002</v>
      </c>
      <c r="S2" s="178">
        <v>0.06</v>
      </c>
      <c r="T2" s="178">
        <v>0</v>
      </c>
      <c r="U2" s="179"/>
      <c r="V2" s="179"/>
    </row>
    <row r="3" spans="1:25" s="180" customFormat="1" ht="22" customHeight="1">
      <c r="A3" s="173" t="s">
        <v>88</v>
      </c>
      <c r="B3" s="128" t="s">
        <v>2962</v>
      </c>
      <c r="C3" s="128" t="s">
        <v>2954</v>
      </c>
      <c r="D3" s="128" t="s">
        <v>2954</v>
      </c>
      <c r="E3" s="202" t="s">
        <v>129</v>
      </c>
      <c r="F3" s="175"/>
      <c r="G3" s="128" t="str">
        <f>_xlfn.IFNA(IF(VLOOKUP($F3,'3.框架内物料'!$A:$E,2,0)=0,"请勿填写",VLOOKUP($F3,'3.框架内物料'!$A:$E,2,0)),"")</f>
        <v/>
      </c>
      <c r="H3" s="204" t="s">
        <v>3017</v>
      </c>
      <c r="I3" s="128" t="s">
        <v>2955</v>
      </c>
      <c r="J3" s="190" t="s">
        <v>2956</v>
      </c>
      <c r="K3" s="190" t="str">
        <f>_xlfn.IFNA(VLOOKUP($F3,'3.框架内物料'!$A:$F,6,0),"")</f>
        <v/>
      </c>
      <c r="L3" s="67">
        <v>6</v>
      </c>
      <c r="M3" s="67"/>
      <c r="N3" s="67">
        <v>1</v>
      </c>
      <c r="O3" s="67"/>
      <c r="P3" s="176">
        <f>IFERROR(N3*L3*J3,0)</f>
        <v>50.88</v>
      </c>
      <c r="Q3" s="176">
        <f t="shared" ref="Q3" si="0">IFERROR(O3*M3*K3,0)</f>
        <v>0</v>
      </c>
      <c r="R3" s="177">
        <f t="shared" ref="R3" si="1">Q3-P3</f>
        <v>-50.88</v>
      </c>
      <c r="S3" s="178">
        <v>0.06</v>
      </c>
      <c r="T3" s="178">
        <v>0</v>
      </c>
      <c r="U3" s="179"/>
      <c r="V3" s="179"/>
    </row>
    <row r="4" spans="1:25" s="214" customFormat="1" ht="22" customHeight="1">
      <c r="A4" s="207" t="s">
        <v>88</v>
      </c>
      <c r="B4" s="203" t="s">
        <v>2962</v>
      </c>
      <c r="C4" s="203" t="s">
        <v>2994</v>
      </c>
      <c r="D4" s="203" t="s">
        <v>3018</v>
      </c>
      <c r="E4" s="202" t="s">
        <v>129</v>
      </c>
      <c r="F4" s="208"/>
      <c r="G4" s="203" t="str">
        <f>_xlfn.IFNA(IF(VLOOKUP($F4,'3.框架内物料'!$A:$E,2,0)=0,"请勿填写",VLOOKUP($F4,'3.框架内物料'!$A:$E,2,0)),"")</f>
        <v/>
      </c>
      <c r="H4" s="209" t="s">
        <v>3019</v>
      </c>
      <c r="I4" s="203" t="s">
        <v>2955</v>
      </c>
      <c r="J4" s="210" t="s">
        <v>3001</v>
      </c>
      <c r="K4" s="210" t="str">
        <f>_xlfn.IFNA(VLOOKUP($F4,'3.框架内物料'!$A:$F,6,0),"")</f>
        <v/>
      </c>
      <c r="L4" s="211">
        <v>45</v>
      </c>
      <c r="M4" s="211"/>
      <c r="N4" s="211">
        <v>6</v>
      </c>
      <c r="O4" s="211"/>
      <c r="P4" s="212">
        <f>IFERROR(N4*L4*J4,0)</f>
        <v>286.2</v>
      </c>
      <c r="Q4" s="212">
        <f t="shared" ref="Q4" si="2">IFERROR(O4*M4*K4,0)</f>
        <v>0</v>
      </c>
      <c r="R4" s="213">
        <f t="shared" ref="R4" si="3">Q4-P4</f>
        <v>-286.2</v>
      </c>
      <c r="S4" s="178">
        <v>0.06</v>
      </c>
      <c r="T4" s="178">
        <v>0</v>
      </c>
      <c r="U4" s="207"/>
      <c r="V4" s="207"/>
    </row>
    <row r="5" spans="1:25" s="71" customFormat="1" ht="18">
      <c r="A5" s="57"/>
      <c r="B5" s="61"/>
      <c r="C5" s="61"/>
      <c r="D5" s="61"/>
      <c r="E5" s="61"/>
      <c r="F5" s="58"/>
      <c r="G5" s="58"/>
      <c r="H5" s="58"/>
      <c r="I5" s="58"/>
      <c r="J5" s="191"/>
      <c r="K5" s="191"/>
      <c r="L5" s="58"/>
      <c r="M5" s="58"/>
      <c r="N5" s="58"/>
      <c r="O5" s="58"/>
      <c r="P5" s="246" t="s">
        <v>89</v>
      </c>
      <c r="Q5" s="247"/>
      <c r="R5" s="248"/>
      <c r="S5" s="165"/>
      <c r="T5" s="165"/>
      <c r="U5" s="60"/>
      <c r="V5" s="60"/>
    </row>
    <row r="6" spans="1:25" s="71" customFormat="1" ht="18">
      <c r="A6" s="54"/>
      <c r="B6" s="62"/>
      <c r="C6" s="62"/>
      <c r="D6" s="62"/>
      <c r="E6" s="62"/>
      <c r="F6" s="55"/>
      <c r="G6" s="55"/>
      <c r="H6" s="55"/>
      <c r="I6" s="55"/>
      <c r="J6" s="192"/>
      <c r="K6" s="192"/>
      <c r="L6" s="55"/>
      <c r="M6" s="55"/>
      <c r="N6" s="55"/>
      <c r="O6" s="55"/>
      <c r="P6" s="158">
        <f>SUM(P2:P4)</f>
        <v>375.00749999999999</v>
      </c>
      <c r="Q6" s="158">
        <f>SUM(Q2:Q4)</f>
        <v>0</v>
      </c>
      <c r="R6" s="158">
        <f>Q6-P6</f>
        <v>-375.00749999999999</v>
      </c>
      <c r="S6" s="166"/>
      <c r="T6" s="171"/>
      <c r="U6" s="55"/>
      <c r="V6" s="56"/>
    </row>
    <row r="7" spans="1:25" s="182" customFormat="1" ht="51">
      <c r="A7" s="173" t="s">
        <v>84</v>
      </c>
      <c r="B7" s="128" t="s">
        <v>2960</v>
      </c>
      <c r="C7" s="128" t="s">
        <v>2961</v>
      </c>
      <c r="D7" s="128" t="s">
        <v>3007</v>
      </c>
      <c r="E7" s="128" t="s">
        <v>132</v>
      </c>
      <c r="F7" s="175" t="s">
        <v>2905</v>
      </c>
      <c r="G7" s="128" t="str">
        <f>_xlfn.IFNA(IF(VLOOKUP($F7,'3.框架内物料'!$A:$E,2,0)=0,"请勿填写",VLOOKUP($F7,'3.框架内物料'!$A:$E,2,0)),"")</f>
        <v>M939882702539182081</v>
      </c>
      <c r="H7" s="204" t="str">
        <f>_xlfn.IFNA(VLOOKUP($F7,'3.框架内物料'!$A:$E,4,0),"")</f>
        <v>第三方人员类-运营人员-服务人员-兼职人员-人员劳务费。不含住宿、交通、补贴等费用，每场不超过8小时
彩排按每人0.5场收费，含个税</v>
      </c>
      <c r="I7" s="128" t="str">
        <f>_xlfn.IFNA(VLOOKUP($F7,'3.框架内物料'!$A:$E,5,0),"")</f>
        <v>人/场</v>
      </c>
      <c r="J7" s="190">
        <f>_xlfn.IFNA(VLOOKUP($F7,'3.框架内物料'!$A:$F,6,0),"")</f>
        <v>318</v>
      </c>
      <c r="K7" s="190">
        <f>_xlfn.IFNA(VLOOKUP($F7,'3.框架内物料'!$A:$F,6,0),"")</f>
        <v>318</v>
      </c>
      <c r="L7" s="67">
        <v>1</v>
      </c>
      <c r="M7" s="67"/>
      <c r="N7" s="67">
        <v>1</v>
      </c>
      <c r="O7" s="67"/>
      <c r="P7" s="176">
        <f>IFERROR(N7*L7*J7,0)</f>
        <v>318</v>
      </c>
      <c r="Q7" s="176">
        <f t="shared" ref="Q7" si="4">IFERROR(O7*M7*K7,0)</f>
        <v>0</v>
      </c>
      <c r="R7" s="177">
        <f t="shared" ref="R7" si="5">Q7-P7</f>
        <v>-318</v>
      </c>
      <c r="S7" s="178">
        <v>0.06</v>
      </c>
      <c r="T7" s="178">
        <v>0</v>
      </c>
      <c r="U7" s="181"/>
      <c r="V7" s="179"/>
    </row>
    <row r="8" spans="1:25" s="71" customFormat="1" ht="18">
      <c r="A8" s="57"/>
      <c r="B8" s="61"/>
      <c r="C8" s="61"/>
      <c r="D8" s="61"/>
      <c r="E8" s="61"/>
      <c r="F8" s="58"/>
      <c r="G8" s="58"/>
      <c r="H8" s="58"/>
      <c r="I8" s="58"/>
      <c r="J8" s="191"/>
      <c r="K8" s="191"/>
      <c r="L8" s="58"/>
      <c r="M8" s="58"/>
      <c r="N8" s="58"/>
      <c r="O8" s="58"/>
      <c r="P8" s="246" t="s">
        <v>91</v>
      </c>
      <c r="Q8" s="247"/>
      <c r="R8" s="248"/>
      <c r="S8" s="165"/>
      <c r="T8" s="165"/>
      <c r="U8" s="60"/>
      <c r="V8" s="60"/>
    </row>
    <row r="9" spans="1:25" s="71" customFormat="1" ht="18">
      <c r="A9" s="54"/>
      <c r="B9" s="62"/>
      <c r="C9" s="62"/>
      <c r="D9" s="62"/>
      <c r="E9" s="62"/>
      <c r="F9" s="55"/>
      <c r="G9" s="55"/>
      <c r="H9" s="55"/>
      <c r="I9" s="55"/>
      <c r="J9" s="192"/>
      <c r="K9" s="192"/>
      <c r="L9" s="55"/>
      <c r="M9" s="55"/>
      <c r="N9" s="55"/>
      <c r="O9" s="55"/>
      <c r="P9" s="158">
        <f>SUM(P7:P7)</f>
        <v>318</v>
      </c>
      <c r="Q9" s="158">
        <f>SUM(Q7:Q7)</f>
        <v>0</v>
      </c>
      <c r="R9" s="158">
        <f>Q9-P9</f>
        <v>-318</v>
      </c>
      <c r="S9" s="166"/>
      <c r="T9" s="171"/>
      <c r="U9" s="55"/>
      <c r="V9" s="56"/>
    </row>
    <row r="10" spans="1:25" s="182" customFormat="1" ht="22" customHeight="1">
      <c r="A10" s="173" t="s">
        <v>92</v>
      </c>
      <c r="B10" s="128" t="s">
        <v>2972</v>
      </c>
      <c r="C10" s="128" t="s">
        <v>2973</v>
      </c>
      <c r="D10" s="128" t="s">
        <v>2993</v>
      </c>
      <c r="E10" s="128" t="s">
        <v>132</v>
      </c>
      <c r="F10" s="175" t="s">
        <v>2910</v>
      </c>
      <c r="G10" s="128" t="str">
        <f>_xlfn.IFNA(IF(VLOOKUP($F10,'3.框架内物料'!$A:$E,2,0)=0,"请勿填写",VLOOKUP($F10,'3.框架内物料'!$A:$E,2,0)),"")</f>
        <v>M939882641945305089</v>
      </c>
      <c r="H10" s="204" t="str">
        <f>_xlfn.IFNA(VLOOKUP($F10,'3.框架内物料'!$A:$E,4,0),"")</f>
        <v>Onsite 人员-服务人员-项目助理-人员劳务费。不含住宿、交通、补贴等费用，每天不超过8小时</v>
      </c>
      <c r="I10" s="128" t="str">
        <f>_xlfn.IFNA(VLOOKUP($F10,'3.框架内物料'!$A:$E,5,0),"")</f>
        <v>人/天</v>
      </c>
      <c r="J10" s="190">
        <f>_xlfn.IFNA(VLOOKUP($F10,'3.框架内物料'!$A:$F,6,0),"")</f>
        <v>530</v>
      </c>
      <c r="K10" s="190">
        <f>_xlfn.IFNA(VLOOKUP($F10,'3.框架内物料'!$A:$F,6,0),"")</f>
        <v>530</v>
      </c>
      <c r="L10" s="67">
        <v>1</v>
      </c>
      <c r="M10" s="67"/>
      <c r="N10" s="67">
        <v>5</v>
      </c>
      <c r="O10" s="67"/>
      <c r="P10" s="176">
        <f>IFERROR(N10*L10*J10,0)</f>
        <v>2650</v>
      </c>
      <c r="Q10" s="176">
        <f t="shared" ref="Q10" si="6">IFERROR(O10*M10*K10,0)</f>
        <v>0</v>
      </c>
      <c r="R10" s="177">
        <f t="shared" ref="R10" si="7">Q10-P10</f>
        <v>-2650</v>
      </c>
      <c r="S10" s="178">
        <v>0.06</v>
      </c>
      <c r="T10" s="178">
        <v>0</v>
      </c>
      <c r="U10" s="181"/>
      <c r="V10" s="179"/>
    </row>
    <row r="11" spans="1:25" s="71" customFormat="1" ht="18">
      <c r="A11" s="57"/>
      <c r="B11" s="61"/>
      <c r="C11" s="61"/>
      <c r="D11" s="61"/>
      <c r="E11" s="61"/>
      <c r="F11" s="58"/>
      <c r="G11" s="58"/>
      <c r="H11" s="58"/>
      <c r="I11" s="58"/>
      <c r="J11" s="191"/>
      <c r="K11" s="191"/>
      <c r="L11" s="58"/>
      <c r="M11" s="58"/>
      <c r="N11" s="58"/>
      <c r="O11" s="58"/>
      <c r="P11" s="246" t="s">
        <v>94</v>
      </c>
      <c r="Q11" s="247"/>
      <c r="R11" s="248"/>
      <c r="S11" s="165"/>
      <c r="T11" s="165"/>
      <c r="U11" s="60"/>
      <c r="V11" s="60"/>
    </row>
    <row r="12" spans="1:25" s="71" customFormat="1" ht="18">
      <c r="A12" s="54"/>
      <c r="B12" s="62"/>
      <c r="C12" s="62"/>
      <c r="D12" s="62"/>
      <c r="E12" s="62"/>
      <c r="F12" s="55"/>
      <c r="G12" s="55"/>
      <c r="H12" s="55"/>
      <c r="I12" s="55"/>
      <c r="J12" s="192"/>
      <c r="K12" s="192"/>
      <c r="L12" s="55"/>
      <c r="M12" s="55"/>
      <c r="N12" s="55"/>
      <c r="O12" s="55"/>
      <c r="P12" s="158">
        <f>SUM(P10:P10)</f>
        <v>2650</v>
      </c>
      <c r="Q12" s="158">
        <f>SUM(Q10:Q10)</f>
        <v>0</v>
      </c>
      <c r="R12" s="158">
        <f>Q12-P12</f>
        <v>-2650</v>
      </c>
      <c r="S12" s="166"/>
      <c r="T12" s="171"/>
      <c r="U12" s="55"/>
      <c r="V12" s="56"/>
    </row>
    <row r="13" spans="1:25" s="182" customFormat="1" ht="22" customHeight="1">
      <c r="A13" s="173" t="s">
        <v>93</v>
      </c>
      <c r="B13" s="203" t="s">
        <v>2963</v>
      </c>
      <c r="C13" s="128" t="s">
        <v>2965</v>
      </c>
      <c r="D13" s="128" t="s">
        <v>2957</v>
      </c>
      <c r="E13" s="128" t="s">
        <v>129</v>
      </c>
      <c r="F13" s="175"/>
      <c r="G13" s="128" t="str">
        <f>_xlfn.IFNA(IF(VLOOKUP($F13,'3.框架内物料'!$A:$E,2,0)=0,"请勿填写",VLOOKUP($F13,'3.框架内物料'!$A:$E,2,0)),"")</f>
        <v/>
      </c>
      <c r="H13" s="204" t="s">
        <v>3033</v>
      </c>
      <c r="I13" s="128" t="s">
        <v>2958</v>
      </c>
      <c r="J13" s="190" t="s">
        <v>2959</v>
      </c>
      <c r="K13" s="190" t="str">
        <f>_xlfn.IFNA(VLOOKUP($F13,'3.框架内物料'!$A:$F,6,0),"")</f>
        <v/>
      </c>
      <c r="L13" s="67">
        <v>38</v>
      </c>
      <c r="M13" s="67"/>
      <c r="N13" s="67">
        <v>1</v>
      </c>
      <c r="O13" s="67"/>
      <c r="P13" s="176">
        <f t="shared" ref="P13:P26" si="8">IFERROR(N13*L13*J13,0)</f>
        <v>95000</v>
      </c>
      <c r="Q13" s="176">
        <f t="shared" ref="Q13" si="9">IFERROR(O13*M13*K13,0)</f>
        <v>0</v>
      </c>
      <c r="R13" s="177">
        <f t="shared" ref="R13:R17" si="10">Q13-P13</f>
        <v>-95000</v>
      </c>
      <c r="S13" s="178">
        <v>0.06</v>
      </c>
      <c r="T13" s="178">
        <v>0</v>
      </c>
      <c r="U13" s="181"/>
      <c r="V13" s="179"/>
    </row>
    <row r="14" spans="1:25" s="182" customFormat="1" ht="22" customHeight="1">
      <c r="A14" s="173" t="s">
        <v>93</v>
      </c>
      <c r="B14" s="203" t="s">
        <v>2963</v>
      </c>
      <c r="C14" s="128" t="s">
        <v>3035</v>
      </c>
      <c r="D14" s="128" t="s">
        <v>3036</v>
      </c>
      <c r="E14" s="128" t="s">
        <v>129</v>
      </c>
      <c r="F14" s="175"/>
      <c r="G14" s="128" t="str">
        <f>_xlfn.IFNA(IF(VLOOKUP($F14,'3.框架内物料'!$A:$E,2,0)=0,"请勿填写",VLOOKUP($F14,'3.框架内物料'!$A:$E,2,0)),"")</f>
        <v/>
      </c>
      <c r="H14" s="204" t="s">
        <v>3038</v>
      </c>
      <c r="I14" s="128" t="s">
        <v>2958</v>
      </c>
      <c r="J14" s="190" t="s">
        <v>3037</v>
      </c>
      <c r="K14" s="190" t="str">
        <f>_xlfn.IFNA(VLOOKUP($F14,'3.框架内物料'!$A:$F,6,0),"")</f>
        <v/>
      </c>
      <c r="L14" s="67">
        <v>2</v>
      </c>
      <c r="M14" s="67"/>
      <c r="N14" s="67">
        <v>1</v>
      </c>
      <c r="O14" s="67"/>
      <c r="P14" s="176">
        <f t="shared" ref="P14" si="11">IFERROR(N14*L14*J14,0)</f>
        <v>2800</v>
      </c>
      <c r="Q14" s="176">
        <f t="shared" ref="Q14" si="12">IFERROR(O14*M14*K14,0)</f>
        <v>0</v>
      </c>
      <c r="R14" s="177">
        <f t="shared" ref="R14" si="13">Q14-P14</f>
        <v>-2800</v>
      </c>
      <c r="S14" s="178">
        <v>0.06</v>
      </c>
      <c r="T14" s="178">
        <v>0</v>
      </c>
      <c r="U14" s="181"/>
      <c r="V14" s="179"/>
    </row>
    <row r="15" spans="1:25" s="217" customFormat="1" ht="22" customHeight="1">
      <c r="A15" s="207" t="s">
        <v>93</v>
      </c>
      <c r="B15" s="203" t="s">
        <v>2964</v>
      </c>
      <c r="C15" s="203" t="s">
        <v>3015</v>
      </c>
      <c r="D15" s="203" t="s">
        <v>2990</v>
      </c>
      <c r="E15" s="203" t="s">
        <v>129</v>
      </c>
      <c r="F15" s="208"/>
      <c r="G15" s="203" t="str">
        <f>_xlfn.IFNA(IF(VLOOKUP($F15,'3.框架内物料'!$A:$E,2,0)=0,"请勿填写",VLOOKUP($F15,'3.框架内物料'!$A:$E,2,0)),"")</f>
        <v/>
      </c>
      <c r="H15" s="209" t="s">
        <v>3027</v>
      </c>
      <c r="I15" s="203" t="s">
        <v>2979</v>
      </c>
      <c r="J15" s="210" t="s">
        <v>3026</v>
      </c>
      <c r="K15" s="210" t="str">
        <f>_xlfn.IFNA(VLOOKUP($F15,'3.框架内物料'!$A:$F,6,0),"")</f>
        <v/>
      </c>
      <c r="L15" s="211">
        <v>45</v>
      </c>
      <c r="M15" s="211"/>
      <c r="N15" s="211">
        <v>4</v>
      </c>
      <c r="O15" s="211"/>
      <c r="P15" s="212">
        <f t="shared" si="8"/>
        <v>81000</v>
      </c>
      <c r="Q15" s="212">
        <f t="shared" ref="Q15:Q17" si="14">IFERROR(O15*M15*K15,0)</f>
        <v>0</v>
      </c>
      <c r="R15" s="213">
        <f t="shared" si="10"/>
        <v>-81000</v>
      </c>
      <c r="S15" s="178">
        <v>0.06</v>
      </c>
      <c r="T15" s="178">
        <v>0</v>
      </c>
      <c r="U15" s="216"/>
      <c r="V15" s="207"/>
      <c r="Y15" s="218"/>
    </row>
    <row r="16" spans="1:25" s="180" customFormat="1" ht="22" customHeight="1">
      <c r="A16" s="173" t="s">
        <v>93</v>
      </c>
      <c r="B16" s="179" t="s">
        <v>2966</v>
      </c>
      <c r="C16" s="128" t="s">
        <v>2967</v>
      </c>
      <c r="D16" s="128" t="s">
        <v>3008</v>
      </c>
      <c r="E16" s="128" t="s">
        <v>132</v>
      </c>
      <c r="F16" s="175" t="s">
        <v>2918</v>
      </c>
      <c r="G16" s="128" t="str">
        <f>_xlfn.IFNA(IF(VLOOKUP($F16,'3.框架内物料'!$A:$E,2,0)=0,"请勿填写",VLOOKUP($F16,'3.框架内物料'!$A:$E,2,0)),"")</f>
        <v>M939882605761044482</v>
      </c>
      <c r="H16" s="204" t="str">
        <f>_xlfn.IFNA(VLOOKUP($F16,'3.框架内物料'!$A:$E,4,0),"")</f>
        <v>接待用车-车辆-车辆物流-运营车辆-接送机-GL8，60公里内，高速费另计</v>
      </c>
      <c r="I16" s="128" t="str">
        <f>_xlfn.IFNA(VLOOKUP($F16,'3.框架内物料'!$A:$E,5,0),"")</f>
        <v>辆/趟</v>
      </c>
      <c r="J16" s="190">
        <f>_xlfn.IFNA(VLOOKUP($F16,'3.框架内物料'!$A:$F,6,0),"")</f>
        <v>530</v>
      </c>
      <c r="K16" s="190">
        <f>_xlfn.IFNA(VLOOKUP($F16,'3.框架内物料'!$A:$F,6,0),"")</f>
        <v>530</v>
      </c>
      <c r="L16" s="67">
        <v>3</v>
      </c>
      <c r="M16" s="67"/>
      <c r="N16" s="67">
        <v>2</v>
      </c>
      <c r="O16" s="67"/>
      <c r="P16" s="176">
        <f t="shared" si="8"/>
        <v>3180</v>
      </c>
      <c r="Q16" s="176">
        <f t="shared" si="14"/>
        <v>0</v>
      </c>
      <c r="R16" s="177">
        <f t="shared" si="10"/>
        <v>-3180</v>
      </c>
      <c r="S16" s="178">
        <v>0.06</v>
      </c>
      <c r="T16" s="178">
        <v>0</v>
      </c>
      <c r="U16" s="179"/>
      <c r="V16" s="179"/>
    </row>
    <row r="17" spans="1:22" s="180" customFormat="1" ht="22" customHeight="1">
      <c r="A17" s="173" t="s">
        <v>93</v>
      </c>
      <c r="B17" s="179" t="s">
        <v>2968</v>
      </c>
      <c r="C17" s="128" t="s">
        <v>2989</v>
      </c>
      <c r="D17" s="128" t="s">
        <v>3009</v>
      </c>
      <c r="E17" s="128" t="s">
        <v>129</v>
      </c>
      <c r="F17" s="175"/>
      <c r="G17" s="128" t="str">
        <f>_xlfn.IFNA(IF(VLOOKUP($F17,'3.框架内物料'!$A:$E,2,0)=0,"请勿填写",VLOOKUP($F17,'3.框架内物料'!$A:$E,2,0)),"")</f>
        <v/>
      </c>
      <c r="H17" s="204" t="s">
        <v>3030</v>
      </c>
      <c r="I17" s="128" t="s">
        <v>2970</v>
      </c>
      <c r="J17" s="190" t="s">
        <v>3000</v>
      </c>
      <c r="K17" s="190" t="str">
        <f>_xlfn.IFNA(VLOOKUP($F17,'3.框架内物料'!$A:$F,6,0),"")</f>
        <v/>
      </c>
      <c r="L17" s="67">
        <v>45</v>
      </c>
      <c r="M17" s="67"/>
      <c r="N17" s="67">
        <v>6</v>
      </c>
      <c r="O17" s="67"/>
      <c r="P17" s="176">
        <f t="shared" si="8"/>
        <v>48081.600000000006</v>
      </c>
      <c r="Q17" s="176">
        <f t="shared" si="14"/>
        <v>0</v>
      </c>
      <c r="R17" s="177">
        <f t="shared" si="10"/>
        <v>-48081.600000000006</v>
      </c>
      <c r="S17" s="178">
        <v>0.06</v>
      </c>
      <c r="T17" s="178">
        <v>0</v>
      </c>
      <c r="U17" s="179"/>
      <c r="V17" s="179"/>
    </row>
    <row r="18" spans="1:22" s="214" customFormat="1" ht="22" customHeight="1">
      <c r="A18" s="207" t="s">
        <v>93</v>
      </c>
      <c r="B18" s="207" t="s">
        <v>2968</v>
      </c>
      <c r="C18" s="203" t="s">
        <v>3024</v>
      </c>
      <c r="D18" s="203" t="s">
        <v>3024</v>
      </c>
      <c r="E18" s="203" t="s">
        <v>129</v>
      </c>
      <c r="F18" s="208"/>
      <c r="G18" s="203" t="str">
        <f>_xlfn.IFNA(IF(VLOOKUP($F18,'3.框架内物料'!$A:$E,2,0)=0,"请勿填写",VLOOKUP($F18,'3.框架内物料'!$A:$E,2,0)),"")</f>
        <v/>
      </c>
      <c r="H18" s="209" t="s">
        <v>3028</v>
      </c>
      <c r="I18" s="203" t="s">
        <v>2970</v>
      </c>
      <c r="J18" s="210" t="s">
        <v>3025</v>
      </c>
      <c r="K18" s="210" t="str">
        <f>_xlfn.IFNA(VLOOKUP($F18,'3.框架内物料'!$A:$F,6,0),"")</f>
        <v/>
      </c>
      <c r="L18" s="211">
        <v>20</v>
      </c>
      <c r="M18" s="211"/>
      <c r="N18" s="211">
        <v>6</v>
      </c>
      <c r="O18" s="211"/>
      <c r="P18" s="212">
        <f t="shared" si="8"/>
        <v>5724</v>
      </c>
      <c r="Q18" s="212">
        <f t="shared" ref="Q18" si="15">IFERROR(O18*M18*K18,0)</f>
        <v>0</v>
      </c>
      <c r="R18" s="213">
        <f t="shared" ref="R18" si="16">Q18-P18</f>
        <v>-5724</v>
      </c>
      <c r="S18" s="178">
        <v>0.06</v>
      </c>
      <c r="T18" s="178">
        <v>0</v>
      </c>
      <c r="U18" s="207"/>
      <c r="V18" s="207"/>
    </row>
    <row r="19" spans="1:22" s="180" customFormat="1" ht="22" customHeight="1">
      <c r="A19" s="173" t="s">
        <v>93</v>
      </c>
      <c r="B19" s="179" t="s">
        <v>2968</v>
      </c>
      <c r="C19" s="128" t="s">
        <v>2969</v>
      </c>
      <c r="D19" s="128" t="s">
        <v>2988</v>
      </c>
      <c r="E19" s="128" t="s">
        <v>129</v>
      </c>
      <c r="F19" s="175"/>
      <c r="G19" s="128" t="str">
        <f>_xlfn.IFNA(IF(VLOOKUP($F19,'3.框架内物料'!$A:$E,2,0)=0,"请勿填写",VLOOKUP($F19,'3.框架内物料'!$A:$E,2,0)),"")</f>
        <v/>
      </c>
      <c r="H19" s="204" t="s">
        <v>3034</v>
      </c>
      <c r="I19" s="128" t="s">
        <v>2970</v>
      </c>
      <c r="J19" s="190" t="s">
        <v>2971</v>
      </c>
      <c r="K19" s="190" t="str">
        <f>_xlfn.IFNA(VLOOKUP($F19,'3.框架内物料'!$A:$F,6,0),"")</f>
        <v/>
      </c>
      <c r="L19" s="67">
        <v>3</v>
      </c>
      <c r="M19" s="67"/>
      <c r="N19" s="67">
        <v>3</v>
      </c>
      <c r="O19" s="67"/>
      <c r="P19" s="176">
        <f t="shared" si="8"/>
        <v>28620</v>
      </c>
      <c r="Q19" s="176">
        <f t="shared" ref="Q19:Q26" si="17">IFERROR(O19*M19*K19,0)</f>
        <v>0</v>
      </c>
      <c r="R19" s="177">
        <f t="shared" ref="R19:R22" si="18">Q19-P19</f>
        <v>-28620</v>
      </c>
      <c r="S19" s="178">
        <v>0.06</v>
      </c>
      <c r="T19" s="178">
        <v>0</v>
      </c>
      <c r="U19" s="179"/>
      <c r="V19" s="179"/>
    </row>
    <row r="20" spans="1:22" s="180" customFormat="1" ht="22" customHeight="1">
      <c r="A20" s="173" t="s">
        <v>93</v>
      </c>
      <c r="B20" s="179" t="s">
        <v>2968</v>
      </c>
      <c r="C20" s="128" t="s">
        <v>2969</v>
      </c>
      <c r="D20" s="128" t="s">
        <v>2988</v>
      </c>
      <c r="E20" s="128" t="s">
        <v>129</v>
      </c>
      <c r="F20" s="175"/>
      <c r="G20" s="128" t="str">
        <f>_xlfn.IFNA(IF(VLOOKUP($F20,'3.框架内物料'!$A:$E,2,0)=0,"请勿填写",VLOOKUP($F20,'3.框架内物料'!$A:$E,2,0)),"")</f>
        <v/>
      </c>
      <c r="H20" s="204" t="s">
        <v>3031</v>
      </c>
      <c r="I20" s="128" t="s">
        <v>2970</v>
      </c>
      <c r="J20" s="190" t="s">
        <v>2971</v>
      </c>
      <c r="K20" s="190" t="str">
        <f>_xlfn.IFNA(VLOOKUP($F20,'3.框架内物料'!$A:$F,6,0),"")</f>
        <v/>
      </c>
      <c r="L20" s="67">
        <v>1</v>
      </c>
      <c r="M20" s="67"/>
      <c r="N20" s="67">
        <v>1</v>
      </c>
      <c r="O20" s="67"/>
      <c r="P20" s="176">
        <f t="shared" si="8"/>
        <v>3180</v>
      </c>
      <c r="Q20" s="176">
        <f t="shared" ref="Q20" si="19">IFERROR(O20*M20*K20,0)</f>
        <v>0</v>
      </c>
      <c r="R20" s="177">
        <f t="shared" ref="R20" si="20">Q20-P20</f>
        <v>-3180</v>
      </c>
      <c r="S20" s="178">
        <v>0.06</v>
      </c>
      <c r="T20" s="178">
        <v>0</v>
      </c>
      <c r="U20" s="179"/>
      <c r="V20" s="179"/>
    </row>
    <row r="21" spans="1:22" s="180" customFormat="1" ht="22" customHeight="1">
      <c r="A21" s="173" t="s">
        <v>93</v>
      </c>
      <c r="B21" s="179" t="s">
        <v>2968</v>
      </c>
      <c r="C21" s="128" t="s">
        <v>2969</v>
      </c>
      <c r="D21" s="128" t="s">
        <v>2988</v>
      </c>
      <c r="E21" s="128" t="s">
        <v>129</v>
      </c>
      <c r="F21" s="175"/>
      <c r="G21" s="128" t="str">
        <f>_xlfn.IFNA(IF(VLOOKUP($F21,'3.框架内物料'!$A:$E,2,0)=0,"请勿填写",VLOOKUP($F21,'3.框架内物料'!$A:$E,2,0)),"")</f>
        <v/>
      </c>
      <c r="H21" s="204" t="s">
        <v>3032</v>
      </c>
      <c r="I21" s="128" t="s">
        <v>2970</v>
      </c>
      <c r="J21" s="190" t="s">
        <v>2971</v>
      </c>
      <c r="K21" s="190" t="str">
        <f>_xlfn.IFNA(VLOOKUP($F21,'3.框架内物料'!$A:$F,6,0),"")</f>
        <v/>
      </c>
      <c r="L21" s="67">
        <v>1</v>
      </c>
      <c r="M21" s="67"/>
      <c r="N21" s="67">
        <v>2</v>
      </c>
      <c r="O21" s="67"/>
      <c r="P21" s="176">
        <f t="shared" si="8"/>
        <v>6360</v>
      </c>
      <c r="Q21" s="176">
        <f t="shared" ref="Q21" si="21">IFERROR(O21*M21*K21,0)</f>
        <v>0</v>
      </c>
      <c r="R21" s="177">
        <f t="shared" ref="R21" si="22">Q21-P21</f>
        <v>-6360</v>
      </c>
      <c r="S21" s="178">
        <v>0.06</v>
      </c>
      <c r="T21" s="178">
        <v>0</v>
      </c>
      <c r="U21" s="179"/>
      <c r="V21" s="179"/>
    </row>
    <row r="22" spans="1:22" s="214" customFormat="1" ht="22" customHeight="1">
      <c r="A22" s="207" t="s">
        <v>93</v>
      </c>
      <c r="B22" s="207" t="s">
        <v>3002</v>
      </c>
      <c r="C22" s="203" t="s">
        <v>3003</v>
      </c>
      <c r="D22" s="203" t="s">
        <v>3013</v>
      </c>
      <c r="E22" s="203" t="s">
        <v>129</v>
      </c>
      <c r="F22" s="208"/>
      <c r="G22" s="203"/>
      <c r="H22" s="204" t="s">
        <v>3012</v>
      </c>
      <c r="I22" s="203" t="s">
        <v>3004</v>
      </c>
      <c r="J22" s="210" t="s">
        <v>3005</v>
      </c>
      <c r="K22" s="210"/>
      <c r="L22" s="211">
        <v>1</v>
      </c>
      <c r="M22" s="211"/>
      <c r="N22" s="211">
        <v>2</v>
      </c>
      <c r="O22" s="211"/>
      <c r="P22" s="176">
        <f t="shared" si="8"/>
        <v>1428.88</v>
      </c>
      <c r="Q22" s="212">
        <f t="shared" ref="Q22" si="23">IFERROR(O22*M22*K22,0)</f>
        <v>0</v>
      </c>
      <c r="R22" s="213">
        <f t="shared" si="18"/>
        <v>-1428.88</v>
      </c>
      <c r="S22" s="178">
        <v>0.06</v>
      </c>
      <c r="T22" s="178">
        <v>0</v>
      </c>
      <c r="U22" s="207"/>
      <c r="V22" s="207"/>
    </row>
    <row r="23" spans="1:22" s="214" customFormat="1" ht="22" customHeight="1">
      <c r="A23" s="207" t="s">
        <v>93</v>
      </c>
      <c r="B23" s="207" t="s">
        <v>2974</v>
      </c>
      <c r="C23" s="203" t="s">
        <v>2976</v>
      </c>
      <c r="D23" s="203" t="s">
        <v>2991</v>
      </c>
      <c r="E23" s="203" t="s">
        <v>129</v>
      </c>
      <c r="F23" s="208"/>
      <c r="G23" s="203"/>
      <c r="H23" s="209" t="s">
        <v>3016</v>
      </c>
      <c r="I23" s="203" t="s">
        <v>2979</v>
      </c>
      <c r="J23" s="210" t="s">
        <v>2992</v>
      </c>
      <c r="K23" s="210"/>
      <c r="L23" s="211">
        <v>1</v>
      </c>
      <c r="M23" s="211"/>
      <c r="N23" s="211">
        <v>4</v>
      </c>
      <c r="O23" s="211"/>
      <c r="P23" s="176">
        <f t="shared" si="8"/>
        <v>1400</v>
      </c>
      <c r="Q23" s="212">
        <f t="shared" si="17"/>
        <v>0</v>
      </c>
      <c r="R23" s="213">
        <f t="shared" ref="R23:R26" si="24">Q23-P23</f>
        <v>-1400</v>
      </c>
      <c r="S23" s="178">
        <v>0.06</v>
      </c>
      <c r="T23" s="178">
        <v>0</v>
      </c>
      <c r="U23" s="207"/>
      <c r="V23" s="207"/>
    </row>
    <row r="24" spans="1:22" s="214" customFormat="1" ht="22" customHeight="1">
      <c r="A24" s="207" t="s">
        <v>93</v>
      </c>
      <c r="B24" s="207" t="s">
        <v>2975</v>
      </c>
      <c r="C24" s="203" t="s">
        <v>2977</v>
      </c>
      <c r="D24" s="203" t="s">
        <v>3014</v>
      </c>
      <c r="E24" s="203" t="s">
        <v>129</v>
      </c>
      <c r="F24" s="208"/>
      <c r="G24" s="203"/>
      <c r="H24" s="209" t="s">
        <v>3010</v>
      </c>
      <c r="I24" s="203" t="s">
        <v>2980</v>
      </c>
      <c r="J24" s="210" t="s">
        <v>2985</v>
      </c>
      <c r="K24" s="210"/>
      <c r="L24" s="211">
        <v>1</v>
      </c>
      <c r="M24" s="211"/>
      <c r="N24" s="211">
        <v>6</v>
      </c>
      <c r="O24" s="211"/>
      <c r="P24" s="176">
        <f t="shared" si="8"/>
        <v>600</v>
      </c>
      <c r="Q24" s="212">
        <f t="shared" si="17"/>
        <v>0</v>
      </c>
      <c r="R24" s="213">
        <f t="shared" si="24"/>
        <v>-600</v>
      </c>
      <c r="S24" s="178">
        <v>0.06</v>
      </c>
      <c r="T24" s="178">
        <v>0</v>
      </c>
      <c r="U24" s="207"/>
      <c r="V24" s="207"/>
    </row>
    <row r="25" spans="1:22" s="214" customFormat="1" ht="22" customHeight="1">
      <c r="A25" s="207" t="s">
        <v>93</v>
      </c>
      <c r="B25" s="207" t="s">
        <v>2975</v>
      </c>
      <c r="C25" s="203" t="s">
        <v>2978</v>
      </c>
      <c r="D25" s="203" t="s">
        <v>3014</v>
      </c>
      <c r="E25" s="203" t="s">
        <v>129</v>
      </c>
      <c r="F25" s="208"/>
      <c r="G25" s="203"/>
      <c r="H25" s="209" t="s">
        <v>3010</v>
      </c>
      <c r="I25" s="203" t="s">
        <v>2980</v>
      </c>
      <c r="J25" s="210" t="s">
        <v>2985</v>
      </c>
      <c r="K25" s="210"/>
      <c r="L25" s="211">
        <v>1</v>
      </c>
      <c r="M25" s="211"/>
      <c r="N25" s="211">
        <v>6</v>
      </c>
      <c r="O25" s="211"/>
      <c r="P25" s="176">
        <f t="shared" si="8"/>
        <v>600</v>
      </c>
      <c r="Q25" s="212">
        <f t="shared" ref="Q25" si="25">IFERROR(O25*M25*K25,0)</f>
        <v>0</v>
      </c>
      <c r="R25" s="213">
        <f t="shared" ref="R25" si="26">Q25-P25</f>
        <v>-600</v>
      </c>
      <c r="S25" s="178">
        <v>0.06</v>
      </c>
      <c r="T25" s="178">
        <v>0</v>
      </c>
      <c r="U25" s="207"/>
      <c r="V25" s="207"/>
    </row>
    <row r="26" spans="1:22" s="214" customFormat="1" ht="22" customHeight="1">
      <c r="A26" s="207" t="s">
        <v>93</v>
      </c>
      <c r="B26" s="207" t="s">
        <v>3020</v>
      </c>
      <c r="C26" s="207" t="s">
        <v>3020</v>
      </c>
      <c r="D26" s="203" t="s">
        <v>3021</v>
      </c>
      <c r="E26" s="203" t="s">
        <v>129</v>
      </c>
      <c r="F26" s="208"/>
      <c r="G26" s="203"/>
      <c r="H26" s="209" t="s">
        <v>3022</v>
      </c>
      <c r="I26" s="203" t="s">
        <v>2980</v>
      </c>
      <c r="J26" s="210" t="s">
        <v>3023</v>
      </c>
      <c r="K26" s="210"/>
      <c r="L26" s="211">
        <v>45</v>
      </c>
      <c r="M26" s="211"/>
      <c r="N26" s="211">
        <v>30</v>
      </c>
      <c r="O26" s="211"/>
      <c r="P26" s="176">
        <f t="shared" si="8"/>
        <v>143.1</v>
      </c>
      <c r="Q26" s="212">
        <f t="shared" si="17"/>
        <v>0</v>
      </c>
      <c r="R26" s="213">
        <f t="shared" si="24"/>
        <v>-143.1</v>
      </c>
      <c r="S26" s="178">
        <v>0.06</v>
      </c>
      <c r="T26" s="178">
        <v>0</v>
      </c>
      <c r="U26" s="207"/>
      <c r="V26" s="207"/>
    </row>
    <row r="27" spans="1:22" s="75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191"/>
      <c r="K27" s="191"/>
      <c r="L27" s="58"/>
      <c r="M27" s="58"/>
      <c r="N27" s="58"/>
      <c r="O27" s="58"/>
      <c r="P27" s="246" t="s">
        <v>95</v>
      </c>
      <c r="Q27" s="247"/>
      <c r="R27" s="248"/>
      <c r="S27" s="165"/>
      <c r="T27" s="165"/>
      <c r="U27" s="60"/>
      <c r="V27" s="60"/>
    </row>
    <row r="28" spans="1:22" s="75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192"/>
      <c r="K28" s="192"/>
      <c r="L28" s="55"/>
      <c r="M28" s="55"/>
      <c r="N28" s="55"/>
      <c r="O28" s="55"/>
      <c r="P28" s="158">
        <f>SUM(P13:P26)</f>
        <v>278117.57999999996</v>
      </c>
      <c r="Q28" s="158">
        <f>SUM(Q13:Q26)</f>
        <v>0</v>
      </c>
      <c r="R28" s="158">
        <f>Q28-P28</f>
        <v>-278117.57999999996</v>
      </c>
      <c r="S28" s="166"/>
      <c r="T28" s="171"/>
      <c r="U28" s="55"/>
      <c r="V28" s="56"/>
    </row>
    <row r="29" spans="1:22" s="182" customFormat="1" ht="22" customHeight="1">
      <c r="A29" s="183" t="s">
        <v>2940</v>
      </c>
      <c r="B29" s="179" t="s">
        <v>2986</v>
      </c>
      <c r="C29" s="179" t="s">
        <v>2986</v>
      </c>
      <c r="D29" s="179" t="s">
        <v>2986</v>
      </c>
      <c r="E29" s="128" t="s">
        <v>132</v>
      </c>
      <c r="F29" s="175" t="s">
        <v>2943</v>
      </c>
      <c r="G29" s="128" t="str">
        <f>_xlfn.IFNA(IF(VLOOKUP($F29,'[1]3.框架内物料'!$A:$E,2,0)=0,"请勿填写",VLOOKUP($F29,'[1]3.框架内物料'!$A:$E,2,0)),"")</f>
        <v>M939882581652185090</v>
      </c>
      <c r="H29" s="204" t="str">
        <f>_xlfn.IFNA(VLOOKUP($F29,'[1]3.框架内物料'!$A:$E,4,0),"")</f>
        <v>服务费税费-项目服务费-项目服务费-制作搭建、AVL设备、第三方人员服务费-服务费比例</v>
      </c>
      <c r="I29" s="128" t="str">
        <f>_xlfn.IFNA(VLOOKUP($F29,'[1]3.框架内物料'!$A:$E,5,0),"")</f>
        <v>项</v>
      </c>
      <c r="J29" s="190">
        <f>_xlfn.IFNA(VLOOKUP($F29,'[1]3.框架内物料'!$A:$F,6,0),"")</f>
        <v>0.1</v>
      </c>
      <c r="K29" s="190">
        <f>_xlfn.IFNA(VLOOKUP($F29,'[1]3.框架内物料'!$A:$F,6,0),"")</f>
        <v>0.1</v>
      </c>
      <c r="L29" s="67">
        <f>P6+P9</f>
        <v>693.00749999999994</v>
      </c>
      <c r="M29" s="67"/>
      <c r="N29" s="67">
        <v>1</v>
      </c>
      <c r="O29" s="67"/>
      <c r="P29" s="176">
        <f>IFERROR(N29*L29*J29,0)</f>
        <v>69.300749999999994</v>
      </c>
      <c r="Q29" s="176">
        <f t="shared" ref="Q29:Q32" si="27">IFERROR(O29*M29*K29,0)</f>
        <v>0</v>
      </c>
      <c r="R29" s="184">
        <f t="shared" ref="R29" si="28">Q29-P29</f>
        <v>-69.300749999999994</v>
      </c>
      <c r="S29" s="178">
        <v>0.06</v>
      </c>
      <c r="T29" s="178">
        <v>0</v>
      </c>
      <c r="U29" s="181"/>
      <c r="V29" s="179"/>
    </row>
    <row r="30" spans="1:22" s="182" customFormat="1" ht="22" customHeight="1">
      <c r="A30" s="183" t="s">
        <v>2940</v>
      </c>
      <c r="B30" s="179" t="s">
        <v>2986</v>
      </c>
      <c r="C30" s="179" t="s">
        <v>2986</v>
      </c>
      <c r="D30" s="179" t="s">
        <v>2986</v>
      </c>
      <c r="E30" s="128" t="s">
        <v>132</v>
      </c>
      <c r="F30" s="175" t="s">
        <v>2942</v>
      </c>
      <c r="G30" s="128" t="str">
        <f>_xlfn.IFNA(IF(VLOOKUP($F30,'[1]3.框架内物料'!$A:$E,2,0)=0,"请勿填写",VLOOKUP($F30,'[1]3.框架内物料'!$A:$E,2,0)),"")</f>
        <v>M939882610784714754</v>
      </c>
      <c r="H30" s="204" t="str">
        <f>_xlfn.IFNA(VLOOKUP($F30,'[1]3.框架内物料'!$A:$E,4,0),"")</f>
        <v>服务费税费-项目服务费-项目服务费-机票、用车、用餐等第三方资源-服务费比例</v>
      </c>
      <c r="I30" s="128" t="str">
        <f>_xlfn.IFNA(VLOOKUP($F30,'[1]3.框架内物料'!$A:$E,5,0),"")</f>
        <v>项</v>
      </c>
      <c r="J30" s="190">
        <f>_xlfn.IFNA(VLOOKUP($F30,'[1]3.框架内物料'!$A:$F,6,0),"")</f>
        <v>0.06</v>
      </c>
      <c r="K30" s="190">
        <f>_xlfn.IFNA(VLOOKUP($F30,'[1]3.框架内物料'!$A:$F,6,0),"")</f>
        <v>0.06</v>
      </c>
      <c r="L30" s="67">
        <f>P28-P15-P23</f>
        <v>195717.57999999996</v>
      </c>
      <c r="M30" s="67"/>
      <c r="N30" s="67">
        <v>1</v>
      </c>
      <c r="O30" s="67"/>
      <c r="P30" s="176">
        <f>IFERROR(N30*L30*J30,0)</f>
        <v>11743.054799999996</v>
      </c>
      <c r="Q30" s="176">
        <f t="shared" si="27"/>
        <v>0</v>
      </c>
      <c r="R30" s="184">
        <f t="shared" ref="R30" si="29">Q30-P30</f>
        <v>-11743.054799999996</v>
      </c>
      <c r="S30" s="178">
        <v>0.06</v>
      </c>
      <c r="T30" s="178">
        <v>0</v>
      </c>
      <c r="U30" s="181" t="s">
        <v>2983</v>
      </c>
      <c r="V30" s="179"/>
    </row>
    <row r="31" spans="1:22" s="182" customFormat="1" ht="22" customHeight="1">
      <c r="A31" s="183" t="s">
        <v>2940</v>
      </c>
      <c r="B31" s="179" t="s">
        <v>2986</v>
      </c>
      <c r="C31" s="179" t="s">
        <v>2986</v>
      </c>
      <c r="D31" s="179" t="s">
        <v>2986</v>
      </c>
      <c r="E31" s="128" t="s">
        <v>132</v>
      </c>
      <c r="F31" s="175" t="s">
        <v>2942</v>
      </c>
      <c r="G31" s="128" t="str">
        <f>_xlfn.IFNA(IF(VLOOKUP($F31,'[1]3.框架内物料'!$A:$E,2,0)=0,"请勿填写",VLOOKUP($F31,'[1]3.框架内物料'!$A:$E,2,0)),"")</f>
        <v>M939882610784714754</v>
      </c>
      <c r="H31" s="204" t="str">
        <f>_xlfn.IFNA(VLOOKUP($F31,'[1]3.框架内物料'!$A:$E,4,0),"")</f>
        <v>服务费税费-项目服务费-项目服务费-机票、用车、用餐等第三方资源-服务费比例</v>
      </c>
      <c r="I31" s="128" t="str">
        <f>_xlfn.IFNA(VLOOKUP($F31,'[1]3.框架内物料'!$A:$E,5,0),"")</f>
        <v>项</v>
      </c>
      <c r="J31" s="190">
        <f>_xlfn.IFNA(VLOOKUP($F31,'[1]3.框架内物料'!$A:$F,6,0),"")</f>
        <v>0.06</v>
      </c>
      <c r="K31" s="190">
        <f>_xlfn.IFNA(VLOOKUP($F31,'[1]3.框架内物料'!$A:$F,6,0),"")</f>
        <v>0.06</v>
      </c>
      <c r="L31" s="67">
        <f>P15+P23</f>
        <v>82400</v>
      </c>
      <c r="M31" s="67"/>
      <c r="N31" s="67">
        <v>1</v>
      </c>
      <c r="O31" s="67"/>
      <c r="P31" s="176">
        <f>IFERROR(N31*L31*J31,0)</f>
        <v>4944</v>
      </c>
      <c r="Q31" s="176">
        <f t="shared" si="27"/>
        <v>0</v>
      </c>
      <c r="R31" s="184">
        <f t="shared" ref="R31" si="30">Q31-P31</f>
        <v>-4944</v>
      </c>
      <c r="S31" s="178">
        <v>0.06</v>
      </c>
      <c r="T31" s="178">
        <v>0</v>
      </c>
      <c r="U31" s="181" t="s">
        <v>2982</v>
      </c>
      <c r="V31" s="179"/>
    </row>
    <row r="32" spans="1:22" s="182" customFormat="1" ht="22" customHeight="1">
      <c r="A32" s="183" t="s">
        <v>2947</v>
      </c>
      <c r="B32" s="179" t="s">
        <v>2987</v>
      </c>
      <c r="C32" s="179" t="s">
        <v>2987</v>
      </c>
      <c r="D32" s="179" t="s">
        <v>2987</v>
      </c>
      <c r="E32" s="128" t="s">
        <v>132</v>
      </c>
      <c r="F32" s="175" t="s">
        <v>2946</v>
      </c>
      <c r="G32" s="128" t="str">
        <f>_xlfn.IFNA(IF(VLOOKUP($F32,'[1]3.框架内物料'!$A:$E,2,0)=0,"请勿填写",VLOOKUP($F32,'[1]3.框架内物料'!$A:$E,2,0)),"")</f>
        <v>M939882723582132226</v>
      </c>
      <c r="H32" s="204" t="str">
        <f>_xlfn.IFNA(VLOOKUP($F32,'[1]3.框架内物料'!$A:$E,4,0),"")</f>
        <v>服务费税费-项目税费-项目税费-机票、用车、用餐等第三方资源-增值税比例</v>
      </c>
      <c r="I32" s="128" t="str">
        <f>_xlfn.IFNA(VLOOKUP($F32,'[1]3.框架内物料'!$A:$E,5,0),"")</f>
        <v>项</v>
      </c>
      <c r="J32" s="190">
        <f>_xlfn.IFNA(VLOOKUP($F32,'[1]3.框架内物料'!$A:$F,6,0),"")</f>
        <v>0.06</v>
      </c>
      <c r="K32" s="190">
        <f>_xlfn.IFNA(VLOOKUP($F32,'[1]3.框架内物料'!$A:$F,6,0),"")</f>
        <v>0.06</v>
      </c>
      <c r="L32" s="67">
        <f>P31</f>
        <v>4944</v>
      </c>
      <c r="M32" s="67"/>
      <c r="N32" s="67">
        <v>1</v>
      </c>
      <c r="O32" s="67"/>
      <c r="P32" s="176">
        <f>IFERROR(N32*L32*J32,0)</f>
        <v>296.64</v>
      </c>
      <c r="Q32" s="176">
        <f t="shared" si="27"/>
        <v>0</v>
      </c>
      <c r="R32" s="184">
        <f t="shared" ref="R32" si="31">Q32-P32</f>
        <v>-296.64</v>
      </c>
      <c r="S32" s="178">
        <v>0.06</v>
      </c>
      <c r="T32" s="178">
        <v>0</v>
      </c>
      <c r="U32" s="181" t="s">
        <v>2981</v>
      </c>
      <c r="V32" s="179"/>
    </row>
    <row r="33" spans="1:22" s="75" customFormat="1" ht="18">
      <c r="A33" s="57"/>
      <c r="B33" s="61"/>
      <c r="C33" s="61"/>
      <c r="D33" s="61"/>
      <c r="E33" s="61"/>
      <c r="F33" s="58"/>
      <c r="G33" s="58"/>
      <c r="H33" s="58"/>
      <c r="I33" s="58"/>
      <c r="J33" s="191"/>
      <c r="K33" s="191"/>
      <c r="L33" s="58"/>
      <c r="M33" s="58"/>
      <c r="N33" s="58"/>
      <c r="O33" s="58"/>
      <c r="P33" s="246" t="s">
        <v>121</v>
      </c>
      <c r="Q33" s="247"/>
      <c r="R33" s="248"/>
      <c r="S33" s="165"/>
      <c r="T33" s="165"/>
      <c r="U33" s="60"/>
      <c r="V33" s="60" t="s">
        <v>170</v>
      </c>
    </row>
    <row r="34" spans="1:22" s="75" customFormat="1" ht="18">
      <c r="A34" s="54"/>
      <c r="B34" s="62"/>
      <c r="C34" s="62"/>
      <c r="D34" s="62"/>
      <c r="E34" s="62"/>
      <c r="F34" s="55"/>
      <c r="G34" s="55"/>
      <c r="H34" s="55"/>
      <c r="I34" s="55"/>
      <c r="J34" s="192"/>
      <c r="K34" s="192"/>
      <c r="L34" s="55"/>
      <c r="M34" s="55"/>
      <c r="N34" s="55"/>
      <c r="O34" s="55"/>
      <c r="P34" s="158">
        <f>SUM(P29:P32)</f>
        <v>17052.995549999996</v>
      </c>
      <c r="Q34" s="158">
        <f>SUM(Q29:Q32)</f>
        <v>0</v>
      </c>
      <c r="R34" s="158">
        <f>Q34-P34</f>
        <v>-17052.995549999996</v>
      </c>
      <c r="S34" s="166"/>
      <c r="T34" s="171"/>
      <c r="U34" s="55"/>
      <c r="V34" s="56"/>
    </row>
    <row r="35" spans="1:22" s="75" customFormat="1" ht="18">
      <c r="A35" s="59"/>
      <c r="B35" s="85"/>
      <c r="C35" s="85"/>
      <c r="D35" s="85"/>
      <c r="E35" s="85"/>
      <c r="F35" s="86"/>
      <c r="G35" s="85"/>
      <c r="H35" s="205"/>
      <c r="I35" s="85"/>
      <c r="J35" s="193"/>
      <c r="K35" s="194"/>
      <c r="L35" s="89"/>
      <c r="M35" s="89"/>
      <c r="N35" s="89"/>
      <c r="O35" s="89"/>
      <c r="P35" s="244" t="s">
        <v>169</v>
      </c>
      <c r="Q35" s="244"/>
      <c r="R35" s="245"/>
      <c r="S35" s="167"/>
      <c r="T35" s="167"/>
      <c r="U35" s="141"/>
      <c r="V35" s="141"/>
    </row>
    <row r="36" spans="1:22" ht="18">
      <c r="A36" s="90"/>
      <c r="B36" s="92"/>
      <c r="C36" s="92"/>
      <c r="D36" s="92"/>
      <c r="E36" s="92"/>
      <c r="F36" s="91"/>
      <c r="G36" s="91"/>
      <c r="H36" s="91"/>
      <c r="I36" s="91"/>
      <c r="J36" s="195"/>
      <c r="K36" s="195"/>
      <c r="L36" s="91"/>
      <c r="M36" s="91"/>
      <c r="N36" s="91"/>
      <c r="O36" s="91"/>
      <c r="P36" s="159">
        <f>SUM(P34,P28,P9,P12,P6)</f>
        <v>298513.58304999996</v>
      </c>
      <c r="Q36" s="159">
        <f>SUM(Q34,Q28,Q9,Q12,Q6)</f>
        <v>0</v>
      </c>
      <c r="R36" s="159">
        <f>Q36-P36</f>
        <v>-298513.58304999996</v>
      </c>
      <c r="S36" s="168"/>
      <c r="T36" s="172"/>
      <c r="U36" s="94"/>
      <c r="V36" s="95"/>
    </row>
    <row r="37" spans="1:22" s="182" customFormat="1" ht="74.5" customHeight="1">
      <c r="A37" s="173" t="s">
        <v>126</v>
      </c>
      <c r="B37" s="185"/>
      <c r="C37" s="185"/>
      <c r="D37" s="185"/>
      <c r="E37" s="173" t="s">
        <v>126</v>
      </c>
      <c r="F37" s="185"/>
      <c r="G37" s="185"/>
      <c r="H37" s="186" t="s">
        <v>127</v>
      </c>
      <c r="I37" s="128" t="s">
        <v>15</v>
      </c>
      <c r="J37" s="200" t="s">
        <v>2984</v>
      </c>
      <c r="K37" s="200" t="s">
        <v>2984</v>
      </c>
      <c r="L37" s="187">
        <v>1</v>
      </c>
      <c r="M37" s="187">
        <v>1</v>
      </c>
      <c r="N37" s="187">
        <v>1</v>
      </c>
      <c r="O37" s="187">
        <v>1</v>
      </c>
      <c r="P37" s="176">
        <f>J37*L37*N37</f>
        <v>0</v>
      </c>
      <c r="Q37" s="177">
        <f>K37*M37*O37</f>
        <v>0</v>
      </c>
      <c r="R37" s="177">
        <f>Q37-P37</f>
        <v>0</v>
      </c>
      <c r="S37" s="178">
        <v>0.06</v>
      </c>
      <c r="T37" s="178">
        <v>0</v>
      </c>
      <c r="U37" s="181"/>
      <c r="V37" s="181"/>
    </row>
    <row r="38" spans="1:22" s="75" customFormat="1" ht="18">
      <c r="A38" s="59"/>
      <c r="B38" s="85"/>
      <c r="C38" s="85"/>
      <c r="D38" s="85"/>
      <c r="E38" s="85"/>
      <c r="F38" s="86"/>
      <c r="G38" s="85"/>
      <c r="H38" s="205"/>
      <c r="I38" s="85"/>
      <c r="J38" s="193"/>
      <c r="K38" s="194"/>
      <c r="L38" s="89"/>
      <c r="M38" s="89"/>
      <c r="N38" s="89"/>
      <c r="O38" s="89"/>
      <c r="P38" s="244" t="s">
        <v>133</v>
      </c>
      <c r="Q38" s="244"/>
      <c r="R38" s="245"/>
      <c r="S38" s="167"/>
      <c r="T38" s="167"/>
      <c r="U38" s="141"/>
      <c r="V38" s="141"/>
    </row>
    <row r="39" spans="1:22" ht="18">
      <c r="A39" s="90"/>
      <c r="B39" s="92"/>
      <c r="C39" s="92"/>
      <c r="D39" s="92"/>
      <c r="E39" s="92"/>
      <c r="F39" s="91"/>
      <c r="G39" s="91"/>
      <c r="H39" s="91"/>
      <c r="I39" s="91"/>
      <c r="J39" s="195"/>
      <c r="K39" s="195"/>
      <c r="L39" s="91"/>
      <c r="M39" s="91"/>
      <c r="N39" s="91"/>
      <c r="O39" s="91"/>
      <c r="P39" s="159">
        <f>SUM(P36,P37)</f>
        <v>298513.58304999996</v>
      </c>
      <c r="Q39" s="159">
        <f>SUM(Q36,Q37)</f>
        <v>0</v>
      </c>
      <c r="R39" s="159">
        <f>Q39-P39</f>
        <v>-298513.58304999996</v>
      </c>
      <c r="S39" s="168"/>
      <c r="T39" s="172"/>
      <c r="U39" s="94"/>
      <c r="V39" s="95"/>
    </row>
    <row r="40" spans="1:22" ht="54" customHeight="1">
      <c r="A40" s="99"/>
      <c r="C40" s="100"/>
      <c r="D40" s="100"/>
      <c r="E40" s="100"/>
      <c r="F40" s="99"/>
      <c r="G40" s="99"/>
      <c r="H40" s="99"/>
      <c r="I40" s="99"/>
      <c r="J40" s="196"/>
      <c r="K40" s="224"/>
      <c r="L40" s="224"/>
      <c r="M40" s="224"/>
      <c r="N40" s="224"/>
      <c r="P40" s="160">
        <f>SUMIF(E1:E36,"框架内",P1:P36)/(P39-P37)</f>
        <v>7.7848796066702128E-2</v>
      </c>
      <c r="Q40" s="160" t="e">
        <f>SUMIF(E1:E36,"框架内",Q1:Q36)/(Q39-Q37)</f>
        <v>#DIV/0!</v>
      </c>
      <c r="R40" s="161" t="s">
        <v>100</v>
      </c>
      <c r="S40" s="169"/>
      <c r="T40" s="169"/>
    </row>
    <row r="41" spans="1:22" ht="54" customHeight="1">
      <c r="A41" s="99"/>
      <c r="C41" s="100"/>
      <c r="D41" s="100"/>
      <c r="E41" s="100"/>
      <c r="F41" s="99"/>
      <c r="G41" s="99"/>
      <c r="H41" s="99"/>
      <c r="I41" s="99"/>
      <c r="J41" s="196"/>
      <c r="K41" s="224"/>
      <c r="L41" s="224"/>
      <c r="M41" s="224"/>
      <c r="N41" s="224"/>
      <c r="P41" s="160">
        <f ca="1">SUMIF(E1:E37,"框架外",P1:P36)/(P39-P37)</f>
        <v>0</v>
      </c>
      <c r="Q41" s="160" t="e">
        <f ca="1">SUMIF(E1:E37,"框架外",Q1:Q36)/(Q39-Q37)</f>
        <v>#DIV/0!</v>
      </c>
      <c r="R41" s="161" t="s">
        <v>99</v>
      </c>
      <c r="S41" s="169"/>
      <c r="T41" s="169"/>
    </row>
    <row r="42" spans="1:22" ht="54" customHeight="1">
      <c r="A42" s="99"/>
      <c r="C42" s="100"/>
      <c r="D42" s="100"/>
      <c r="E42" s="100"/>
      <c r="F42" s="99"/>
      <c r="G42" s="99"/>
      <c r="H42" s="99"/>
      <c r="I42" s="99"/>
      <c r="J42" s="196"/>
      <c r="P42" s="160">
        <f ca="1">SUMIF(E1:E37,"据实结算",P1:P36)/(P39-P37)</f>
        <v>0.92215120393329808</v>
      </c>
      <c r="Q42" s="160" t="e">
        <f ca="1">SUMIF(E1:E37,"据实结算",Q1:Q36)/(Q39-Q37)</f>
        <v>#DIV/0!</v>
      </c>
      <c r="R42" s="161" t="s">
        <v>98</v>
      </c>
      <c r="S42" s="169"/>
      <c r="T42" s="169"/>
    </row>
    <row r="43" spans="1:22">
      <c r="K43" s="199"/>
      <c r="L43" s="104"/>
      <c r="M43" s="104"/>
      <c r="N43" s="104"/>
    </row>
  </sheetData>
  <sheetProtection formatCells="0" formatColumns="0" formatRows="0" insertRows="0" insertHyperlinks="0" deleteRows="0" autoFilter="0"/>
  <mergeCells count="9">
    <mergeCell ref="K40:N40"/>
    <mergeCell ref="K41:N41"/>
    <mergeCell ref="P38:R38"/>
    <mergeCell ref="P5:R5"/>
    <mergeCell ref="P8:R8"/>
    <mergeCell ref="P35:R35"/>
    <mergeCell ref="P27:R27"/>
    <mergeCell ref="P33:R33"/>
    <mergeCell ref="P11:R11"/>
  </mergeCells>
  <phoneticPr fontId="8" type="noConversion"/>
  <conditionalFormatting sqref="A2:A28 A33:A35">
    <cfRule type="containsText" dxfId="3" priority="11" operator="containsText" text="填写">
      <formula>NOT(ISERROR(SEARCH("填写",A2)))</formula>
    </cfRule>
  </conditionalFormatting>
  <conditionalFormatting sqref="A29:A32">
    <cfRule type="containsText" dxfId="2" priority="1" operator="containsText" text="填写">
      <formula>NOT(ISERROR(SEARCH("填写",A29)))</formula>
    </cfRule>
  </conditionalFormatting>
  <conditionalFormatting sqref="A37:A38">
    <cfRule type="containsText" dxfId="1" priority="12" operator="containsText" text="填写">
      <formula>NOT(ISERROR(SEARCH("填写",A37)))</formula>
    </cfRule>
  </conditionalFormatting>
  <conditionalFormatting sqref="E37">
    <cfRule type="containsText" dxfId="0" priority="13" operator="containsText" text="填写">
      <formula>NOT(ISERROR(SEARCH("填写",E37)))</formula>
    </cfRule>
  </conditionalFormatting>
  <dataValidations count="7">
    <dataValidation type="list" allowBlank="1" showInputMessage="1" showErrorMessage="1" sqref="H39" xr:uid="{00000000-0002-0000-0100-000000000000}">
      <formula1>"是,否"</formula1>
    </dataValidation>
    <dataValidation type="list" allowBlank="1" showInputMessage="1" showErrorMessage="1" sqref="K39" xr:uid="{C24F6F68-857E-5647-839A-4F75562B89C0}">
      <formula1>"0%,1%,3%,6%,13%"</formula1>
    </dataValidation>
    <dataValidation type="list" allowBlank="1" showInputMessage="1" showErrorMessage="1" sqref="D39" xr:uid="{9D1B43E1-175E-4C49-8176-43558324F529}">
      <formula1>"CNY, USD, JPY , HKD"</formula1>
    </dataValidation>
    <dataValidation type="list" allowBlank="1" showInputMessage="1" showErrorMessage="1" sqref="S7 S2:S4 S10 S37 S29:S32 S13:S26" xr:uid="{D7CC39CF-95DC-A64C-A7F7-4CBF33920DCC}">
      <formula1>"0%,1%,3%,6%,9%"</formula1>
    </dataValidation>
    <dataValidation type="list" allowBlank="1" showInputMessage="1" showErrorMessage="1" sqref="A37 E2:E1048576" xr:uid="{E31F6826-CA0D-4785-A20D-8ABED6E0F88E}">
      <formula1>"框架内,框架外,据实结算"</formula1>
    </dataValidation>
    <dataValidation type="list" allowBlank="1" showInputMessage="1" showErrorMessage="1" sqref="A38:A1048576 A2:A36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F2:F4 F38 F7 F35 F10 F29:F32 F13:F26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01" zoomScaleNormal="150" workbookViewId="0">
      <pane ySplit="1" topLeftCell="A248" activePane="bottomLeft" state="frozen"/>
      <selection activeCell="C23" sqref="C23:D23"/>
      <selection pane="bottomLeft" activeCell="D546" sqref="D546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546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1623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713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987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2025-08-08T02:57:21Z</dcterms:modified>
</cp:coreProperties>
</file>