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7B1C428-3814-47E9-9A43-D4DD7EBB09E4}" xr6:coauthVersionLast="47" xr6:coauthVersionMax="47" xr10:uidLastSave="{00000000-0000-0000-0000-000000000000}"/>
  <bookViews>
    <workbookView xWindow="-98" yWindow="-98" windowWidth="23596" windowHeight="1507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6" r:id="rId7"/>
    <sheet name="火车票明细" sheetId="25" r:id="rId8"/>
    <sheet name="嘉宾报销大交通明细" sheetId="27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4" hidden="1">'2.报价结算清单'!$A$1:$X$204</definedName>
    <definedName name="_xlnm._FilterDatabase" localSheetId="5" hidden="1">'3.框架内物料'!$A$1:$I$749</definedName>
    <definedName name="_xlnm._FilterDatabase" localSheetId="1" hidden="1">框架条目清单!$A$1:$U$550</definedName>
    <definedName name="_xlnm.Print_Area" localSheetId="4">'2.报价结算清单'!$A$1:$V$203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0" i="14" l="1"/>
  <c r="L189" i="14"/>
  <c r="Q60" i="14"/>
  <c r="M189" i="14" s="1"/>
  <c r="Q78" i="14"/>
  <c r="Q161" i="14"/>
  <c r="Q183" i="14"/>
  <c r="Q188" i="14"/>
  <c r="K79" i="14"/>
  <c r="K80" i="14" l="1"/>
  <c r="M191" i="14"/>
  <c r="M190" i="14"/>
  <c r="Q180" i="14"/>
  <c r="Q65" i="14"/>
  <c r="Q71" i="14"/>
  <c r="Q72" i="14"/>
  <c r="Q73" i="14"/>
  <c r="Q74" i="14"/>
  <c r="Q76" i="14"/>
  <c r="Q19" i="14"/>
  <c r="Q24" i="14"/>
  <c r="Q26" i="14"/>
  <c r="Q31" i="14"/>
  <c r="Q32" i="14"/>
  <c r="Q33" i="14"/>
  <c r="Q34" i="14"/>
  <c r="Q35" i="14"/>
  <c r="Q36" i="14"/>
  <c r="Q37" i="14"/>
  <c r="Q38" i="14"/>
  <c r="Q39" i="14"/>
  <c r="Q40" i="14"/>
  <c r="Q41" i="14"/>
  <c r="Q43" i="14"/>
  <c r="Q44" i="14"/>
  <c r="Q45" i="14"/>
  <c r="Q46" i="14"/>
  <c r="Q47" i="14"/>
  <c r="Q48" i="14"/>
  <c r="Q49" i="14"/>
  <c r="Q50" i="14"/>
  <c r="Q51" i="14"/>
  <c r="Q53" i="14"/>
  <c r="Q58" i="14"/>
  <c r="Q79" i="14"/>
  <c r="P79" i="14"/>
  <c r="K173" i="14"/>
  <c r="K51" i="14"/>
  <c r="K158" i="14" l="1"/>
  <c r="Q158" i="14" s="1"/>
  <c r="K159" i="14"/>
  <c r="Q159" i="14" s="1"/>
  <c r="K162" i="14"/>
  <c r="K156" i="14"/>
  <c r="Q156" i="14" s="1"/>
  <c r="K157" i="14"/>
  <c r="Q157" i="14"/>
  <c r="P157" i="14"/>
  <c r="P156" i="14"/>
  <c r="K74" i="14"/>
  <c r="K76" i="14"/>
  <c r="P74" i="14"/>
  <c r="H74" i="14"/>
  <c r="G74" i="14"/>
  <c r="G147" i="14"/>
  <c r="H147" i="14"/>
  <c r="I147" i="14"/>
  <c r="K147" i="14"/>
  <c r="Q147" i="14" s="1"/>
  <c r="P147" i="14"/>
  <c r="K148" i="14"/>
  <c r="Q148" i="14" s="1"/>
  <c r="K144" i="14"/>
  <c r="L140" i="14"/>
  <c r="R156" i="14" l="1"/>
  <c r="R157" i="14"/>
  <c r="R74" i="14"/>
  <c r="R147" i="14"/>
  <c r="Q149" i="14"/>
  <c r="Q181" i="14"/>
  <c r="K75" i="14" l="1"/>
  <c r="Q75" i="14" s="1"/>
  <c r="P75" i="14"/>
  <c r="I75" i="14"/>
  <c r="H75" i="14"/>
  <c r="G75" i="14"/>
  <c r="K58" i="14"/>
  <c r="J58" i="14"/>
  <c r="P58" i="14" s="1"/>
  <c r="K57" i="14"/>
  <c r="Q57" i="14" s="1"/>
  <c r="J57" i="14"/>
  <c r="P57" i="14" s="1"/>
  <c r="I57" i="14"/>
  <c r="H57" i="14"/>
  <c r="G57" i="14"/>
  <c r="K81" i="14"/>
  <c r="Q81" i="14" s="1"/>
  <c r="D20" i="27"/>
  <c r="Q80" i="14"/>
  <c r="L354" i="25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303" i="25"/>
  <c r="L304" i="25"/>
  <c r="L305" i="25"/>
  <c r="L306" i="25"/>
  <c r="L307" i="25"/>
  <c r="L308" i="25"/>
  <c r="L309" i="25"/>
  <c r="L310" i="25"/>
  <c r="L311" i="25"/>
  <c r="L312" i="25"/>
  <c r="L313" i="25"/>
  <c r="L314" i="25"/>
  <c r="L315" i="25"/>
  <c r="L316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" i="25"/>
  <c r="K178" i="14"/>
  <c r="Q178" i="14" s="1"/>
  <c r="K170" i="14"/>
  <c r="Q170" i="14" s="1"/>
  <c r="K138" i="14"/>
  <c r="Q138" i="14" s="1"/>
  <c r="P138" i="14"/>
  <c r="Q163" i="14"/>
  <c r="Q164" i="14"/>
  <c r="Q165" i="14"/>
  <c r="Q166" i="14"/>
  <c r="Q167" i="14"/>
  <c r="Q168" i="14"/>
  <c r="Q169" i="14"/>
  <c r="Q171" i="14"/>
  <c r="Q172" i="14"/>
  <c r="Q162" i="14"/>
  <c r="Q173" i="14"/>
  <c r="R75" i="14" l="1"/>
  <c r="R58" i="14"/>
  <c r="R57" i="14"/>
  <c r="R138" i="14"/>
  <c r="K115" i="14"/>
  <c r="K111" i="14"/>
  <c r="K12" i="14" l="1"/>
  <c r="Q12" i="14" s="1"/>
  <c r="G12" i="14"/>
  <c r="H12" i="14"/>
  <c r="I12" i="14"/>
  <c r="M106" i="14" l="1"/>
  <c r="K106" i="14"/>
  <c r="P106" i="14"/>
  <c r="M117" i="14"/>
  <c r="K117" i="14"/>
  <c r="P117" i="14"/>
  <c r="K107" i="14"/>
  <c r="Q107" i="14" s="1"/>
  <c r="P107" i="14"/>
  <c r="K116" i="14"/>
  <c r="Q116" i="14" s="1"/>
  <c r="Q115" i="14"/>
  <c r="P115" i="14"/>
  <c r="K114" i="14"/>
  <c r="Q114" i="14" s="1"/>
  <c r="J114" i="14"/>
  <c r="P114" i="14" s="1"/>
  <c r="K113" i="14"/>
  <c r="Q113" i="14" s="1"/>
  <c r="K112" i="14"/>
  <c r="Q112" i="14" s="1"/>
  <c r="Q111" i="14"/>
  <c r="P111" i="14"/>
  <c r="K110" i="14"/>
  <c r="K109" i="14"/>
  <c r="K108" i="14"/>
  <c r="K123" i="14"/>
  <c r="K122" i="14"/>
  <c r="K121" i="14"/>
  <c r="K120" i="14"/>
  <c r="K119" i="14"/>
  <c r="K118" i="14"/>
  <c r="Q117" i="14" l="1"/>
  <c r="R117" i="14" s="1"/>
  <c r="R107" i="14"/>
  <c r="Q106" i="14"/>
  <c r="R106" i="14" s="1"/>
  <c r="R111" i="14"/>
  <c r="R115" i="14"/>
  <c r="R114" i="14"/>
  <c r="M102" i="14" l="1"/>
  <c r="K102" i="14"/>
  <c r="G103" i="14"/>
  <c r="P103" i="14"/>
  <c r="Q103" i="14"/>
  <c r="M101" i="14"/>
  <c r="Q101" i="14" s="1"/>
  <c r="G101" i="14"/>
  <c r="P101" i="14"/>
  <c r="M100" i="14"/>
  <c r="K100" i="14"/>
  <c r="Q100" i="14" l="1"/>
  <c r="Q102" i="14"/>
  <c r="R103" i="14"/>
  <c r="R101" i="14"/>
  <c r="P154" i="14"/>
  <c r="M155" i="14"/>
  <c r="Q155" i="14" s="1"/>
  <c r="Q154" i="14"/>
  <c r="P155" i="14"/>
  <c r="Q108" i="14"/>
  <c r="Q109" i="14"/>
  <c r="Q110" i="14"/>
  <c r="Q82" i="14"/>
  <c r="K99" i="14"/>
  <c r="Q99" i="14" s="1"/>
  <c r="P96" i="14"/>
  <c r="K96" i="14"/>
  <c r="P99" i="14"/>
  <c r="P98" i="14"/>
  <c r="K98" i="14"/>
  <c r="Q98" i="14" s="1"/>
  <c r="K94" i="14"/>
  <c r="Q94" i="14" s="1"/>
  <c r="P93" i="14"/>
  <c r="K93" i="14"/>
  <c r="Q93" i="14" s="1"/>
  <c r="P94" i="14"/>
  <c r="K92" i="14"/>
  <c r="Q92" i="14" s="1"/>
  <c r="K95" i="14"/>
  <c r="Q95" i="14" s="1"/>
  <c r="K97" i="14"/>
  <c r="Q97" i="14" s="1"/>
  <c r="K91" i="14"/>
  <c r="Q91" i="14" s="1"/>
  <c r="K90" i="14"/>
  <c r="Q90" i="14" s="1"/>
  <c r="K89" i="14"/>
  <c r="Q89" i="14" s="1"/>
  <c r="P90" i="14"/>
  <c r="P89" i="14"/>
  <c r="K88" i="14"/>
  <c r="Q88" i="14" s="1"/>
  <c r="K87" i="14"/>
  <c r="Q87" i="14" s="1"/>
  <c r="P97" i="14"/>
  <c r="P95" i="14"/>
  <c r="P92" i="14"/>
  <c r="P91" i="14"/>
  <c r="P88" i="14"/>
  <c r="P87" i="14"/>
  <c r="P86" i="14"/>
  <c r="K86" i="14"/>
  <c r="Q86" i="14" s="1"/>
  <c r="G86" i="14"/>
  <c r="M84" i="14"/>
  <c r="Q84" i="14" s="1"/>
  <c r="K83" i="14"/>
  <c r="M83" i="14"/>
  <c r="Q83" i="14" s="1"/>
  <c r="M85" i="14"/>
  <c r="Q85" i="14" s="1"/>
  <c r="G85" i="14"/>
  <c r="P85" i="14"/>
  <c r="K139" i="14"/>
  <c r="Q139" i="14" s="1"/>
  <c r="K65" i="14"/>
  <c r="K8" i="14"/>
  <c r="Q8" i="14" s="1"/>
  <c r="K136" i="14"/>
  <c r="Q136" i="14" s="1"/>
  <c r="J136" i="14"/>
  <c r="K134" i="14"/>
  <c r="K133" i="14"/>
  <c r="K135" i="14"/>
  <c r="Q135" i="14" s="1"/>
  <c r="K132" i="14"/>
  <c r="J132" i="14"/>
  <c r="P135" i="14"/>
  <c r="K130" i="14"/>
  <c r="Q130" i="14" s="1"/>
  <c r="K129" i="14"/>
  <c r="Q129" i="14" s="1"/>
  <c r="K128" i="14"/>
  <c r="Q128" i="14" s="1"/>
  <c r="K127" i="14"/>
  <c r="Q127" i="14" s="1"/>
  <c r="K126" i="14"/>
  <c r="Q126" i="14" s="1"/>
  <c r="K125" i="14"/>
  <c r="Q125" i="14" s="1"/>
  <c r="K124" i="14"/>
  <c r="Q124" i="14" s="1"/>
  <c r="K131" i="14"/>
  <c r="Q131" i="14" s="1"/>
  <c r="J131" i="14"/>
  <c r="K177" i="14"/>
  <c r="Q177" i="14" s="1"/>
  <c r="P177" i="14"/>
  <c r="J51" i="14"/>
  <c r="P51" i="14" s="1"/>
  <c r="R155" i="14" l="1"/>
  <c r="R99" i="14"/>
  <c r="R86" i="14"/>
  <c r="Q96" i="14"/>
  <c r="R96" i="14" s="1"/>
  <c r="R98" i="14"/>
  <c r="R93" i="14"/>
  <c r="R94" i="14"/>
  <c r="R90" i="14"/>
  <c r="R89" i="14"/>
  <c r="R87" i="14"/>
  <c r="R88" i="14"/>
  <c r="R91" i="14"/>
  <c r="R92" i="14"/>
  <c r="R95" i="14"/>
  <c r="R97" i="14"/>
  <c r="R85" i="14"/>
  <c r="R135" i="14"/>
  <c r="R177" i="14"/>
  <c r="R51" i="14"/>
  <c r="G41" i="14" l="1"/>
  <c r="P41" i="14"/>
  <c r="P36" i="14"/>
  <c r="K34" i="14"/>
  <c r="J34" i="14"/>
  <c r="R41" i="14" l="1"/>
  <c r="R36" i="14"/>
  <c r="K53" i="14"/>
  <c r="P53" i="14"/>
  <c r="R53" i="14" l="1"/>
  <c r="K153" i="14"/>
  <c r="Q153" i="14" s="1"/>
  <c r="K152" i="14"/>
  <c r="Q152" i="14" s="1"/>
  <c r="J152" i="14"/>
  <c r="P152" i="14" s="1"/>
  <c r="R152" i="14" l="1"/>
  <c r="K137" i="14"/>
  <c r="Q137" i="14" s="1"/>
  <c r="K66" i="14" l="1"/>
  <c r="Q66" i="14" s="1"/>
  <c r="K56" i="14"/>
  <c r="Q56" i="14" s="1"/>
  <c r="P56" i="14"/>
  <c r="I56" i="14"/>
  <c r="H56" i="14"/>
  <c r="G56" i="14"/>
  <c r="K55" i="14"/>
  <c r="Q55" i="14" s="1"/>
  <c r="P55" i="14"/>
  <c r="I55" i="14"/>
  <c r="H55" i="14"/>
  <c r="G55" i="14"/>
  <c r="K54" i="14"/>
  <c r="Q54" i="14" s="1"/>
  <c r="K50" i="14"/>
  <c r="J50" i="14"/>
  <c r="P50" i="14" s="1"/>
  <c r="P54" i="14"/>
  <c r="I54" i="14"/>
  <c r="H54" i="14"/>
  <c r="G54" i="14"/>
  <c r="R56" i="14" l="1"/>
  <c r="R55" i="14"/>
  <c r="R50" i="14"/>
  <c r="R54" i="14"/>
  <c r="J12" i="14"/>
  <c r="K73" i="14" l="1"/>
  <c r="J73" i="14"/>
  <c r="K72" i="14"/>
  <c r="J72" i="14"/>
  <c r="K71" i="14"/>
  <c r="J71" i="14"/>
  <c r="K42" i="14"/>
  <c r="Q42" i="14" s="1"/>
  <c r="K24" i="14"/>
  <c r="K26" i="14"/>
  <c r="J26" i="14"/>
  <c r="K191" i="14" l="1"/>
  <c r="Q191" i="14" s="1"/>
  <c r="J191" i="14"/>
  <c r="I191" i="14"/>
  <c r="H191" i="14"/>
  <c r="G191" i="14"/>
  <c r="G186" i="14"/>
  <c r="K186" i="14"/>
  <c r="Q186" i="14" s="1"/>
  <c r="P186" i="14"/>
  <c r="P185" i="14"/>
  <c r="K185" i="14"/>
  <c r="Q185" i="14" s="1"/>
  <c r="G185" i="14"/>
  <c r="P184" i="14"/>
  <c r="K184" i="14"/>
  <c r="Q184" i="14" s="1"/>
  <c r="J178" i="14"/>
  <c r="P178" i="14" s="1"/>
  <c r="G178" i="14"/>
  <c r="K176" i="14"/>
  <c r="Q176" i="14" s="1"/>
  <c r="K175" i="14"/>
  <c r="Q175" i="14" s="1"/>
  <c r="K174" i="14"/>
  <c r="Q174" i="14" s="1"/>
  <c r="K49" i="14"/>
  <c r="K48" i="14"/>
  <c r="K47" i="14"/>
  <c r="K19" i="14"/>
  <c r="K190" i="14"/>
  <c r="Q190" i="14" s="1"/>
  <c r="K192" i="14"/>
  <c r="K193" i="14"/>
  <c r="K194" i="14"/>
  <c r="K189" i="14"/>
  <c r="K141" i="14"/>
  <c r="Q141" i="14" s="1"/>
  <c r="K140" i="14"/>
  <c r="Q140" i="14" s="1"/>
  <c r="K142" i="14"/>
  <c r="Q142" i="14" s="1"/>
  <c r="K143" i="14"/>
  <c r="Q143" i="14" s="1"/>
  <c r="Q144" i="14"/>
  <c r="K145" i="14"/>
  <c r="Q145" i="14" s="1"/>
  <c r="K146" i="14"/>
  <c r="Q146" i="14" s="1"/>
  <c r="Q150" i="14"/>
  <c r="Q151" i="14"/>
  <c r="K62" i="14"/>
  <c r="Q62" i="14" s="1"/>
  <c r="K63" i="14"/>
  <c r="Q63" i="14" s="1"/>
  <c r="K64" i="14"/>
  <c r="Q64" i="14" s="1"/>
  <c r="K67" i="14"/>
  <c r="Q67" i="14" s="1"/>
  <c r="K68" i="14"/>
  <c r="Q68" i="14" s="1"/>
  <c r="K69" i="14"/>
  <c r="Q69" i="14" s="1"/>
  <c r="K70" i="14"/>
  <c r="Q70" i="14" s="1"/>
  <c r="K61" i="14"/>
  <c r="Q61" i="14" s="1"/>
  <c r="K52" i="14"/>
  <c r="Q52" i="14" s="1"/>
  <c r="K3" i="14"/>
  <c r="Q3" i="14" s="1"/>
  <c r="K4" i="14"/>
  <c r="Q4" i="14" s="1"/>
  <c r="K5" i="14"/>
  <c r="Q5" i="14" s="1"/>
  <c r="K6" i="14"/>
  <c r="Q6" i="14" s="1"/>
  <c r="K7" i="14"/>
  <c r="Q7" i="14" s="1"/>
  <c r="K9" i="14"/>
  <c r="Q9" i="14" s="1"/>
  <c r="K10" i="14"/>
  <c r="Q10" i="14" s="1"/>
  <c r="K11" i="14"/>
  <c r="Q11" i="14" s="1"/>
  <c r="K13" i="14"/>
  <c r="Q13" i="14" s="1"/>
  <c r="K14" i="14"/>
  <c r="Q14" i="14" s="1"/>
  <c r="K15" i="14"/>
  <c r="Q15" i="14" s="1"/>
  <c r="K16" i="14"/>
  <c r="Q16" i="14" s="1"/>
  <c r="K17" i="14"/>
  <c r="Q17" i="14" s="1"/>
  <c r="K18" i="14"/>
  <c r="Q18" i="14" s="1"/>
  <c r="K20" i="14"/>
  <c r="Q20" i="14" s="1"/>
  <c r="K21" i="14"/>
  <c r="Q21" i="14" s="1"/>
  <c r="K22" i="14"/>
  <c r="Q22" i="14" s="1"/>
  <c r="K23" i="14"/>
  <c r="Q23" i="14" s="1"/>
  <c r="K25" i="14"/>
  <c r="Q25" i="14" s="1"/>
  <c r="K27" i="14"/>
  <c r="Q27" i="14" s="1"/>
  <c r="K28" i="14"/>
  <c r="Q28" i="14" s="1"/>
  <c r="K29" i="14"/>
  <c r="Q29" i="14" s="1"/>
  <c r="K30" i="14"/>
  <c r="Q30" i="14" s="1"/>
  <c r="K2" i="14"/>
  <c r="Q2" i="14" s="1"/>
  <c r="J2" i="14"/>
  <c r="P2" i="14" s="1"/>
  <c r="J189" i="14"/>
  <c r="Q104" i="14"/>
  <c r="Q105" i="14"/>
  <c r="Q133" i="14"/>
  <c r="Q134" i="14"/>
  <c r="Q132" i="14"/>
  <c r="Q118" i="14"/>
  <c r="Q119" i="14"/>
  <c r="Q120" i="14"/>
  <c r="Q121" i="14"/>
  <c r="Q122" i="14"/>
  <c r="Q12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99" i="14"/>
  <c r="P199" i="14"/>
  <c r="J194" i="14"/>
  <c r="I194" i="14"/>
  <c r="H194" i="14"/>
  <c r="G194" i="14"/>
  <c r="J193" i="14"/>
  <c r="I193" i="14"/>
  <c r="H193" i="14"/>
  <c r="G193" i="14"/>
  <c r="J192" i="14"/>
  <c r="I192" i="14"/>
  <c r="H192" i="14"/>
  <c r="G192" i="14"/>
  <c r="J190" i="14"/>
  <c r="I190" i="14"/>
  <c r="H190" i="14"/>
  <c r="G190" i="14"/>
  <c r="I189" i="14"/>
  <c r="H189" i="14"/>
  <c r="G189" i="14"/>
  <c r="P181" i="14"/>
  <c r="G181" i="14"/>
  <c r="J169" i="14"/>
  <c r="P169" i="14" s="1"/>
  <c r="J166" i="14"/>
  <c r="P166" i="14" s="1"/>
  <c r="J165" i="14"/>
  <c r="P165" i="14" s="1"/>
  <c r="J176" i="14"/>
  <c r="P176" i="14" s="1"/>
  <c r="J175" i="14"/>
  <c r="P175" i="14" s="1"/>
  <c r="J174" i="14"/>
  <c r="P174" i="14" s="1"/>
  <c r="J168" i="14"/>
  <c r="P168" i="14" s="1"/>
  <c r="R168" i="14" s="1"/>
  <c r="J167" i="14"/>
  <c r="P167" i="14" s="1"/>
  <c r="J170" i="14"/>
  <c r="P170" i="14" s="1"/>
  <c r="J172" i="14"/>
  <c r="P172" i="14" s="1"/>
  <c r="J171" i="14"/>
  <c r="P171" i="14" s="1"/>
  <c r="J173" i="14"/>
  <c r="P173" i="14" s="1"/>
  <c r="P164" i="14"/>
  <c r="P163" i="14"/>
  <c r="P162" i="14"/>
  <c r="J159" i="14"/>
  <c r="P159" i="14" s="1"/>
  <c r="P158" i="14"/>
  <c r="J153" i="14"/>
  <c r="P153" i="14" s="1"/>
  <c r="R153" i="14" s="1"/>
  <c r="J151" i="14"/>
  <c r="P151" i="14" s="1"/>
  <c r="G151" i="14"/>
  <c r="J150" i="14"/>
  <c r="P150" i="14" s="1"/>
  <c r="G150" i="14"/>
  <c r="J149" i="14"/>
  <c r="P149" i="14" s="1"/>
  <c r="G149" i="14"/>
  <c r="J148" i="14"/>
  <c r="P148" i="14" s="1"/>
  <c r="H148" i="14"/>
  <c r="G148" i="14"/>
  <c r="J146" i="14"/>
  <c r="P146" i="14" s="1"/>
  <c r="I146" i="14"/>
  <c r="H146" i="14"/>
  <c r="G146" i="14"/>
  <c r="J145" i="14"/>
  <c r="P145" i="14" s="1"/>
  <c r="I145" i="14"/>
  <c r="H145" i="14"/>
  <c r="G145" i="14"/>
  <c r="J144" i="14"/>
  <c r="P144" i="14" s="1"/>
  <c r="I144" i="14"/>
  <c r="H144" i="14"/>
  <c r="G144" i="14"/>
  <c r="J143" i="14"/>
  <c r="P143" i="14" s="1"/>
  <c r="I143" i="14"/>
  <c r="H143" i="14"/>
  <c r="G143" i="14"/>
  <c r="J142" i="14"/>
  <c r="P142" i="14" s="1"/>
  <c r="I142" i="14"/>
  <c r="H142" i="14"/>
  <c r="G142" i="14"/>
  <c r="J140" i="14"/>
  <c r="P140" i="14" s="1"/>
  <c r="I140" i="14"/>
  <c r="H140" i="14"/>
  <c r="G140" i="14"/>
  <c r="J141" i="14"/>
  <c r="P141" i="14" s="1"/>
  <c r="I141" i="14"/>
  <c r="H141" i="14"/>
  <c r="G141" i="14"/>
  <c r="J139" i="14"/>
  <c r="P139" i="14" s="1"/>
  <c r="J137" i="14"/>
  <c r="P137" i="14" s="1"/>
  <c r="P131" i="14"/>
  <c r="J130" i="14"/>
  <c r="P130" i="14" s="1"/>
  <c r="J129" i="14"/>
  <c r="P129" i="14" s="1"/>
  <c r="J128" i="14"/>
  <c r="P128" i="14" s="1"/>
  <c r="J127" i="14"/>
  <c r="P127" i="14" s="1"/>
  <c r="J126" i="14"/>
  <c r="P126" i="14" s="1"/>
  <c r="J125" i="14"/>
  <c r="P125" i="14" s="1"/>
  <c r="J124" i="14"/>
  <c r="P124" i="14" s="1"/>
  <c r="J123" i="14"/>
  <c r="P123" i="14" s="1"/>
  <c r="J122" i="14"/>
  <c r="P122" i="14" s="1"/>
  <c r="J121" i="14"/>
  <c r="P121" i="14" s="1"/>
  <c r="J120" i="14"/>
  <c r="P120" i="14" s="1"/>
  <c r="J119" i="14"/>
  <c r="P119" i="14" s="1"/>
  <c r="J118" i="14"/>
  <c r="P118" i="14" s="1"/>
  <c r="P132" i="14"/>
  <c r="P136" i="14"/>
  <c r="J134" i="14"/>
  <c r="P134" i="14" s="1"/>
  <c r="J116" i="14"/>
  <c r="P116" i="14" s="1"/>
  <c r="J113" i="14"/>
  <c r="P113" i="14" s="1"/>
  <c r="J112" i="14"/>
  <c r="P112" i="14" s="1"/>
  <c r="J110" i="14"/>
  <c r="P110" i="14" s="1"/>
  <c r="J133" i="14"/>
  <c r="P133" i="14" s="1"/>
  <c r="J109" i="14"/>
  <c r="P109" i="14" s="1"/>
  <c r="J108" i="14"/>
  <c r="P108" i="14" s="1"/>
  <c r="J105" i="14"/>
  <c r="P105" i="14" s="1"/>
  <c r="G105" i="14"/>
  <c r="J104" i="14"/>
  <c r="P104" i="14" s="1"/>
  <c r="G104" i="14"/>
  <c r="J82" i="14"/>
  <c r="P82" i="14" s="1"/>
  <c r="G82" i="14"/>
  <c r="J102" i="14"/>
  <c r="P102" i="14" s="1"/>
  <c r="G102" i="14"/>
  <c r="J100" i="14"/>
  <c r="P100" i="14" s="1"/>
  <c r="G100" i="14"/>
  <c r="P84" i="14"/>
  <c r="G84" i="14"/>
  <c r="J83" i="14"/>
  <c r="P83" i="14" s="1"/>
  <c r="G83" i="14"/>
  <c r="J81" i="14"/>
  <c r="P81" i="14" s="1"/>
  <c r="R81" i="14" s="1"/>
  <c r="J80" i="14"/>
  <c r="P80" i="14" s="1"/>
  <c r="J79" i="14"/>
  <c r="J76" i="14"/>
  <c r="P76" i="14" s="1"/>
  <c r="H76" i="14"/>
  <c r="G76" i="14"/>
  <c r="P73" i="14"/>
  <c r="G73" i="14"/>
  <c r="P72" i="14"/>
  <c r="G72" i="14"/>
  <c r="P71" i="14"/>
  <c r="R71" i="14" s="1"/>
  <c r="G71" i="14"/>
  <c r="J70" i="14"/>
  <c r="P70" i="14" s="1"/>
  <c r="I70" i="14"/>
  <c r="H70" i="14"/>
  <c r="G70" i="14"/>
  <c r="J69" i="14"/>
  <c r="P69" i="14" s="1"/>
  <c r="I69" i="14"/>
  <c r="H69" i="14"/>
  <c r="G69" i="14"/>
  <c r="J68" i="14"/>
  <c r="P68" i="14" s="1"/>
  <c r="I68" i="14"/>
  <c r="H68" i="14"/>
  <c r="G68" i="14"/>
  <c r="J66" i="14"/>
  <c r="P66" i="14" s="1"/>
  <c r="I66" i="14"/>
  <c r="H66" i="14"/>
  <c r="G66" i="14"/>
  <c r="J67" i="14"/>
  <c r="P67" i="14" s="1"/>
  <c r="I67" i="14"/>
  <c r="H67" i="14"/>
  <c r="G67" i="14"/>
  <c r="J64" i="14"/>
  <c r="P64" i="14" s="1"/>
  <c r="I64" i="14"/>
  <c r="H64" i="14"/>
  <c r="G64" i="14"/>
  <c r="J65" i="14"/>
  <c r="P65" i="14" s="1"/>
  <c r="I65" i="14"/>
  <c r="H65" i="14"/>
  <c r="G65" i="14"/>
  <c r="J63" i="14"/>
  <c r="P63" i="14" s="1"/>
  <c r="I63" i="14"/>
  <c r="H63" i="14"/>
  <c r="G63" i="14"/>
  <c r="J62" i="14"/>
  <c r="P62" i="14" s="1"/>
  <c r="I62" i="14"/>
  <c r="H62" i="14"/>
  <c r="G62" i="14"/>
  <c r="J61" i="14"/>
  <c r="P61" i="14" s="1"/>
  <c r="I61" i="14"/>
  <c r="H61" i="14"/>
  <c r="G61" i="14"/>
  <c r="J52" i="14"/>
  <c r="P52" i="14" s="1"/>
  <c r="I52" i="14"/>
  <c r="H52" i="14"/>
  <c r="G52" i="14"/>
  <c r="J49" i="14"/>
  <c r="P49" i="14" s="1"/>
  <c r="J48" i="14"/>
  <c r="P48" i="14" s="1"/>
  <c r="J47" i="14"/>
  <c r="P47" i="14" s="1"/>
  <c r="J40" i="14"/>
  <c r="P40" i="14" s="1"/>
  <c r="G40" i="14"/>
  <c r="J43" i="14"/>
  <c r="P43" i="14" s="1"/>
  <c r="G43" i="14"/>
  <c r="J39" i="14"/>
  <c r="P39" i="14" s="1"/>
  <c r="G39" i="14"/>
  <c r="J38" i="14"/>
  <c r="P38" i="14" s="1"/>
  <c r="G38" i="14"/>
  <c r="J37" i="14"/>
  <c r="P37" i="14" s="1"/>
  <c r="G37" i="14"/>
  <c r="J35" i="14"/>
  <c r="P35" i="14" s="1"/>
  <c r="J45" i="14"/>
  <c r="P45" i="14" s="1"/>
  <c r="J44" i="14"/>
  <c r="P44" i="14" s="1"/>
  <c r="J46" i="14"/>
  <c r="P46" i="14" s="1"/>
  <c r="P34" i="14"/>
  <c r="P42" i="14"/>
  <c r="J33" i="14"/>
  <c r="P33" i="14" s="1"/>
  <c r="J32" i="14"/>
  <c r="P32" i="14" s="1"/>
  <c r="J31" i="14"/>
  <c r="P31" i="14" s="1"/>
  <c r="J30" i="14"/>
  <c r="P30" i="14" s="1"/>
  <c r="I30" i="14"/>
  <c r="H30" i="14"/>
  <c r="G30" i="14"/>
  <c r="J29" i="14"/>
  <c r="P29" i="14" s="1"/>
  <c r="I29" i="14"/>
  <c r="H29" i="14"/>
  <c r="G29" i="14"/>
  <c r="J28" i="14"/>
  <c r="P28" i="14" s="1"/>
  <c r="I28" i="14"/>
  <c r="H28" i="14"/>
  <c r="G28" i="14"/>
  <c r="J27" i="14"/>
  <c r="P27" i="14" s="1"/>
  <c r="I27" i="14"/>
  <c r="H27" i="14"/>
  <c r="G27" i="14"/>
  <c r="P26" i="14"/>
  <c r="H26" i="14"/>
  <c r="G26" i="14"/>
  <c r="J25" i="14"/>
  <c r="P25" i="14" s="1"/>
  <c r="I25" i="14"/>
  <c r="H25" i="14"/>
  <c r="G25" i="14"/>
  <c r="P24" i="14"/>
  <c r="J23" i="14"/>
  <c r="P23" i="14" s="1"/>
  <c r="I23" i="14"/>
  <c r="H23" i="14"/>
  <c r="G23" i="14"/>
  <c r="J22" i="14"/>
  <c r="P22" i="14" s="1"/>
  <c r="I22" i="14"/>
  <c r="H22" i="14"/>
  <c r="G22" i="14"/>
  <c r="J21" i="14"/>
  <c r="P21" i="14" s="1"/>
  <c r="I21" i="14"/>
  <c r="H21" i="14"/>
  <c r="G21" i="14"/>
  <c r="J20" i="14"/>
  <c r="P20" i="14" s="1"/>
  <c r="I20" i="14"/>
  <c r="H20" i="14"/>
  <c r="G20" i="14"/>
  <c r="J19" i="14"/>
  <c r="P19" i="14" s="1"/>
  <c r="J18" i="14"/>
  <c r="P18" i="14" s="1"/>
  <c r="H18" i="14"/>
  <c r="J17" i="14"/>
  <c r="P17" i="14" s="1"/>
  <c r="H17" i="14"/>
  <c r="J16" i="14"/>
  <c r="P16" i="14" s="1"/>
  <c r="H16" i="14"/>
  <c r="J15" i="14"/>
  <c r="P15" i="14" s="1"/>
  <c r="H15" i="14"/>
  <c r="J14" i="14"/>
  <c r="P14" i="14" s="1"/>
  <c r="I14" i="14"/>
  <c r="H14" i="14"/>
  <c r="G14" i="14"/>
  <c r="J13" i="14"/>
  <c r="P13" i="14" s="1"/>
  <c r="I13" i="14"/>
  <c r="H13" i="14"/>
  <c r="G13" i="14"/>
  <c r="P12" i="14"/>
  <c r="J11" i="14"/>
  <c r="P11" i="14" s="1"/>
  <c r="I11" i="14"/>
  <c r="H11" i="14"/>
  <c r="G11" i="14"/>
  <c r="J10" i="14"/>
  <c r="P10" i="14" s="1"/>
  <c r="I10" i="14"/>
  <c r="H10" i="14"/>
  <c r="G10" i="14"/>
  <c r="J9" i="14"/>
  <c r="P9" i="14" s="1"/>
  <c r="I9" i="14"/>
  <c r="H9" i="14"/>
  <c r="G9" i="14"/>
  <c r="J8" i="14"/>
  <c r="P8" i="14" s="1"/>
  <c r="I8" i="14"/>
  <c r="H8" i="14"/>
  <c r="G8" i="14"/>
  <c r="J7" i="14"/>
  <c r="P7" i="14" s="1"/>
  <c r="I7" i="14"/>
  <c r="H7" i="14"/>
  <c r="G7" i="14"/>
  <c r="J6" i="14"/>
  <c r="P6" i="14" s="1"/>
  <c r="I6" i="14"/>
  <c r="H6" i="14"/>
  <c r="G6" i="14"/>
  <c r="J5" i="14"/>
  <c r="P5" i="14" s="1"/>
  <c r="I5" i="14"/>
  <c r="H5" i="14"/>
  <c r="G5" i="14"/>
  <c r="J4" i="14"/>
  <c r="P4" i="14" s="1"/>
  <c r="I4" i="14"/>
  <c r="H4" i="14"/>
  <c r="G4" i="14"/>
  <c r="J3" i="14"/>
  <c r="P3" i="14" s="1"/>
  <c r="I3" i="14"/>
  <c r="H3" i="14"/>
  <c r="G3" i="14"/>
  <c r="I2" i="14"/>
  <c r="H2" i="14"/>
  <c r="G2" i="14"/>
  <c r="E18" i="15"/>
  <c r="C18" i="15"/>
  <c r="R81" i="23"/>
  <c r="Q81" i="23"/>
  <c r="P81" i="23"/>
  <c r="M78" i="23"/>
  <c r="L78" i="23"/>
  <c r="K78" i="23"/>
  <c r="Q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R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189" i="14" l="1"/>
  <c r="P161" i="14"/>
  <c r="R42" i="23"/>
  <c r="R59" i="23"/>
  <c r="R32" i="23"/>
  <c r="R50" i="23"/>
  <c r="R17" i="23"/>
  <c r="R41" i="23"/>
  <c r="P180" i="14"/>
  <c r="M193" i="14"/>
  <c r="Q193" i="14" s="1"/>
  <c r="L192" i="14"/>
  <c r="P78" i="14"/>
  <c r="C11" i="15" s="1"/>
  <c r="P60" i="14"/>
  <c r="R2" i="23"/>
  <c r="P10" i="23"/>
  <c r="R12" i="23"/>
  <c r="P37" i="23"/>
  <c r="R33" i="23"/>
  <c r="R34" i="23"/>
  <c r="Q70" i="23"/>
  <c r="Q19" i="23"/>
  <c r="P46" i="23"/>
  <c r="P61" i="23"/>
  <c r="R22" i="23"/>
  <c r="R68" i="23"/>
  <c r="R39" i="23"/>
  <c r="R24" i="23"/>
  <c r="R56" i="23"/>
  <c r="P188" i="14"/>
  <c r="R49" i="23"/>
  <c r="R8" i="23"/>
  <c r="P19" i="23"/>
  <c r="R15" i="23"/>
  <c r="R25" i="23"/>
  <c r="R35" i="23"/>
  <c r="R5" i="23"/>
  <c r="P28" i="23"/>
  <c r="Q37" i="23"/>
  <c r="P70" i="23"/>
  <c r="R3" i="23"/>
  <c r="R29" i="23"/>
  <c r="R62" i="23"/>
  <c r="R66" i="23"/>
  <c r="R13" i="23"/>
  <c r="R43" i="23"/>
  <c r="R31" i="23"/>
  <c r="Q10" i="23"/>
  <c r="R64" i="23"/>
  <c r="R30" i="23"/>
  <c r="R55" i="23"/>
  <c r="R14" i="23"/>
  <c r="R44" i="23"/>
  <c r="R26" i="23"/>
  <c r="R21" i="23"/>
  <c r="R78" i="23"/>
  <c r="Q61" i="23"/>
  <c r="R53" i="23"/>
  <c r="R7" i="23"/>
  <c r="R57" i="23"/>
  <c r="R48" i="23"/>
  <c r="R16" i="23"/>
  <c r="R4" i="23"/>
  <c r="R54" i="23"/>
  <c r="R58" i="23"/>
  <c r="R67" i="23"/>
  <c r="R40" i="23"/>
  <c r="R11" i="23"/>
  <c r="R23" i="23"/>
  <c r="R65" i="23"/>
  <c r="R6" i="23"/>
  <c r="P52" i="23"/>
  <c r="Q28" i="23"/>
  <c r="R20" i="23"/>
  <c r="R38" i="23"/>
  <c r="Q46" i="23"/>
  <c r="Q52" i="23"/>
  <c r="R47" i="23"/>
  <c r="R52" i="14"/>
  <c r="R40" i="14"/>
  <c r="R47" i="14"/>
  <c r="L191" i="14"/>
  <c r="P191" i="14" s="1"/>
  <c r="R48" i="14"/>
  <c r="R49" i="14"/>
  <c r="P183" i="14"/>
  <c r="L193" i="14" s="1"/>
  <c r="R184" i="14"/>
  <c r="R186" i="14"/>
  <c r="R185" i="14"/>
  <c r="R12" i="14"/>
  <c r="R133" i="14"/>
  <c r="R110" i="14"/>
  <c r="R9" i="14"/>
  <c r="R148" i="14"/>
  <c r="R199" i="14"/>
  <c r="R158" i="14"/>
  <c r="R164" i="14"/>
  <c r="R167" i="14"/>
  <c r="R125" i="14"/>
  <c r="R178" i="14"/>
  <c r="R132" i="14"/>
  <c r="R84" i="14"/>
  <c r="R108" i="14"/>
  <c r="R25" i="14"/>
  <c r="R66" i="14"/>
  <c r="R119" i="14"/>
  <c r="R162" i="14"/>
  <c r="R120" i="14"/>
  <c r="G18" i="15"/>
  <c r="R68" i="14"/>
  <c r="R165" i="14"/>
  <c r="R130" i="14"/>
  <c r="R42" i="14"/>
  <c r="R11" i="14"/>
  <c r="R176" i="14"/>
  <c r="R30" i="14"/>
  <c r="R116" i="14"/>
  <c r="R163" i="14"/>
  <c r="R5" i="14"/>
  <c r="R172" i="14"/>
  <c r="R8" i="14"/>
  <c r="R124" i="14"/>
  <c r="R121" i="14"/>
  <c r="R26" i="14"/>
  <c r="R150" i="14"/>
  <c r="R83" i="14"/>
  <c r="R24" i="14"/>
  <c r="R73" i="14"/>
  <c r="R72" i="14"/>
  <c r="R62" i="14"/>
  <c r="R79" i="14"/>
  <c r="R139" i="14"/>
  <c r="R46" i="14"/>
  <c r="R34" i="14"/>
  <c r="R65" i="14"/>
  <c r="R33" i="14"/>
  <c r="R10" i="14"/>
  <c r="R19" i="14"/>
  <c r="R104" i="14"/>
  <c r="R32" i="14"/>
  <c r="R31" i="14"/>
  <c r="R102" i="14"/>
  <c r="R173" i="14"/>
  <c r="R7" i="14"/>
  <c r="R100" i="14"/>
  <c r="R29" i="14"/>
  <c r="R6" i="14"/>
  <c r="R123" i="14"/>
  <c r="R122" i="14"/>
  <c r="R38" i="14"/>
  <c r="R14" i="14"/>
  <c r="R3" i="14"/>
  <c r="R109" i="14"/>
  <c r="R64" i="14"/>
  <c r="R4" i="14"/>
  <c r="R131" i="14"/>
  <c r="R174" i="14"/>
  <c r="R69" i="14"/>
  <c r="R129" i="14"/>
  <c r="R154" i="14"/>
  <c r="R70" i="14"/>
  <c r="R18" i="14"/>
  <c r="R17" i="14"/>
  <c r="R151" i="14"/>
  <c r="R28" i="14"/>
  <c r="R128" i="14"/>
  <c r="R105" i="14"/>
  <c r="R170" i="14"/>
  <c r="R63" i="14"/>
  <c r="R16" i="14"/>
  <c r="R76" i="14"/>
  <c r="R15" i="14"/>
  <c r="R149" i="14"/>
  <c r="R27" i="14"/>
  <c r="R127" i="14"/>
  <c r="R126" i="14"/>
  <c r="R82" i="14"/>
  <c r="R171" i="14"/>
  <c r="R159" i="14"/>
  <c r="R23" i="14"/>
  <c r="R35" i="14"/>
  <c r="R145" i="14"/>
  <c r="R80" i="14"/>
  <c r="R22" i="14"/>
  <c r="R44" i="14"/>
  <c r="R143" i="14"/>
  <c r="R142" i="14"/>
  <c r="R134" i="14"/>
  <c r="R45" i="14"/>
  <c r="R144" i="14"/>
  <c r="R136" i="14"/>
  <c r="R43" i="14"/>
  <c r="R21" i="14"/>
  <c r="R39" i="14"/>
  <c r="R20" i="14"/>
  <c r="R140" i="14"/>
  <c r="R169" i="14"/>
  <c r="R67" i="14"/>
  <c r="R141" i="14"/>
  <c r="R113" i="14"/>
  <c r="R166" i="14"/>
  <c r="R112" i="14"/>
  <c r="R137" i="14"/>
  <c r="R37" i="14"/>
  <c r="R13" i="14"/>
  <c r="R146" i="14"/>
  <c r="R118" i="14"/>
  <c r="R175" i="14"/>
  <c r="R61" i="14"/>
  <c r="R2" i="14"/>
  <c r="E14" i="15"/>
  <c r="R181" i="14"/>
  <c r="R37" i="23" l="1"/>
  <c r="R10" i="23"/>
  <c r="M194" i="14"/>
  <c r="Q194" i="14" s="1"/>
  <c r="M192" i="14"/>
  <c r="Q192" i="14" s="1"/>
  <c r="Q196" i="14" s="1"/>
  <c r="Q198" i="14" s="1"/>
  <c r="Q201" i="14" s="1"/>
  <c r="P189" i="14"/>
  <c r="P192" i="14"/>
  <c r="P193" i="14"/>
  <c r="R193" i="14" s="1"/>
  <c r="R78" i="14"/>
  <c r="R180" i="14"/>
  <c r="R188" i="14"/>
  <c r="P76" i="23"/>
  <c r="R61" i="23"/>
  <c r="R161" i="14"/>
  <c r="R19" i="23"/>
  <c r="R46" i="23"/>
  <c r="E11" i="15"/>
  <c r="G11" i="15" s="1"/>
  <c r="R60" i="14"/>
  <c r="L77" i="23"/>
  <c r="P77" i="23" s="1"/>
  <c r="P80" i="23" s="1"/>
  <c r="P83" i="23" s="1"/>
  <c r="R28" i="23"/>
  <c r="R52" i="23"/>
  <c r="Q76" i="23"/>
  <c r="R70" i="23"/>
  <c r="C14" i="15"/>
  <c r="R191" i="14"/>
  <c r="R183" i="14"/>
  <c r="E12" i="15"/>
  <c r="C12" i="15"/>
  <c r="C13" i="15"/>
  <c r="P190" i="14"/>
  <c r="R190" i="14" s="1"/>
  <c r="E13" i="15"/>
  <c r="E10" i="15"/>
  <c r="C10" i="15"/>
  <c r="L194" i="14" l="1"/>
  <c r="P194" i="14" s="1"/>
  <c r="P196" i="14" s="1"/>
  <c r="P198" i="14" s="1"/>
  <c r="P201" i="14" s="1"/>
  <c r="R76" i="23"/>
  <c r="M77" i="23"/>
  <c r="Q77" i="23" s="1"/>
  <c r="P84" i="23"/>
  <c r="P85" i="23"/>
  <c r="P86" i="23"/>
  <c r="G13" i="15"/>
  <c r="R189" i="14"/>
  <c r="R192" i="14"/>
  <c r="G12" i="15"/>
  <c r="G10" i="15"/>
  <c r="R194" i="14" l="1"/>
  <c r="C19" i="15"/>
  <c r="R196" i="14"/>
  <c r="Q80" i="23"/>
  <c r="R77" i="23"/>
  <c r="E16" i="15"/>
  <c r="C16" i="15"/>
  <c r="E20" i="15" l="1"/>
  <c r="F18" i="15" s="1"/>
  <c r="R198" i="14"/>
  <c r="Q202" i="14"/>
  <c r="Q204" i="14"/>
  <c r="Q203" i="14"/>
  <c r="R80" i="23"/>
  <c r="R83" i="23" s="1"/>
  <c r="Q83" i="23"/>
  <c r="G16" i="15"/>
  <c r="P203" i="14"/>
  <c r="P202" i="14"/>
  <c r="C20" i="15"/>
  <c r="P204" i="14"/>
  <c r="R201" i="14" l="1"/>
  <c r="E19" i="15"/>
  <c r="F13" i="15" s="1"/>
  <c r="Q86" i="23"/>
  <c r="Q84" i="23"/>
  <c r="Q85" i="23"/>
  <c r="D11" i="15"/>
  <c r="D19" i="15"/>
  <c r="D10" i="15"/>
  <c r="D14" i="15"/>
  <c r="D13" i="15"/>
  <c r="D12" i="15"/>
  <c r="D16" i="15"/>
  <c r="D18" i="15"/>
  <c r="G20" i="15"/>
  <c r="G19" i="15" l="1"/>
  <c r="F19" i="15"/>
  <c r="F10" i="15"/>
  <c r="F16" i="15"/>
  <c r="F11" i="15"/>
  <c r="F12" i="15"/>
</calcChain>
</file>

<file path=xl/sharedStrings.xml><?xml version="1.0" encoding="utf-8"?>
<sst xmlns="http://schemas.openxmlformats.org/spreadsheetml/2006/main" count="10518" uniqueCount="3748">
  <si>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</si>
  <si>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</si>
  <si>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</si>
  <si>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</si>
  <si>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</si>
  <si>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</si>
  <si>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</si>
  <si>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</si>
  <si>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</si>
  <si>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</si>
  <si>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</si>
  <si>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</si>
  <si>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</si>
  <si>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</si>
  <si>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</si>
  <si>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</si>
  <si>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</si>
  <si>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</si>
  <si>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</si>
  <si>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</si>
  <si>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</si>
  <si>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</si>
  <si>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</si>
  <si>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</si>
  <si>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</si>
  <si>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</si>
  <si>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</si>
  <si>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</si>
  <si>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</si>
  <si>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</si>
  <si>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</si>
  <si>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</si>
  <si>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</si>
  <si>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</si>
  <si>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</si>
  <si>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</si>
  <si>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</si>
  <si>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</si>
  <si>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</si>
  <si>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</si>
  <si>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</si>
  <si>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</si>
  <si>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</si>
  <si>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</si>
  <si>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</si>
  <si>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</si>
  <si>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</si>
  <si>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</si>
  <si>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</si>
  <si>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</si>
  <si>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</si>
  <si>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</si>
  <si>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</si>
  <si>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</si>
  <si>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</si>
  <si>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</si>
  <si>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</si>
  <si>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</si>
  <si>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</si>
  <si>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</si>
  <si>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</si>
  <si>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</si>
  <si>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</si>
  <si>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</si>
  <si>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</si>
  <si>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</si>
  <si>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</si>
  <si>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</si>
  <si>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</si>
  <si>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</si>
  <si>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</si>
  <si>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</si>
  <si>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</si>
  <si>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</si>
  <si>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</si>
  <si>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</si>
  <si>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</si>
  <si>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</si>
  <si>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</si>
  <si>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</si>
  <si>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</si>
  <si>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</si>
  <si>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</si>
  <si>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</si>
  <si>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</si>
  <si>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</si>
  <si>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</si>
  <si>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</si>
  <si>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</si>
  <si>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</si>
  <si>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</si>
  <si>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</si>
  <si>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</si>
  <si>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</si>
  <si>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</si>
  <si>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</si>
  <si>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</si>
  <si>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</si>
  <si>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</si>
  <si>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</si>
  <si>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</si>
  <si>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</si>
  <si>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</si>
  <si>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</si>
  <si>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</si>
  <si>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</si>
  <si>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</si>
  <si>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</si>
  <si>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</si>
  <si>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</si>
  <si>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</si>
  <si>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</si>
  <si>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</si>
  <si>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</si>
  <si>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</si>
  <si>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</si>
  <si>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</si>
  <si>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</si>
  <si>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</si>
  <si>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</si>
  <si>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</si>
  <si>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</si>
  <si>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</si>
  <si>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</si>
  <si>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</si>
  <si>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</si>
  <si>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</si>
  <si>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</si>
  <si>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</si>
  <si>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</si>
  <si>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</si>
  <si>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</si>
  <si>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</si>
  <si>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</si>
  <si>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</si>
  <si>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</si>
  <si>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</si>
  <si>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</si>
  <si>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</si>
  <si>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</si>
  <si>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</si>
  <si>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</si>
  <si>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</si>
  <si>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</si>
  <si>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</si>
  <si>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</si>
  <si>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</si>
  <si>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</si>
  <si>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</si>
  <si>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</si>
  <si>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</si>
  <si>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</si>
  <si>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</si>
  <si>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</si>
  <si>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</si>
  <si>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</si>
  <si>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</si>
  <si>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</si>
  <si>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</si>
  <si>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</si>
  <si>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</si>
  <si>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</si>
  <si>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</si>
  <si>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</si>
  <si>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</si>
  <si>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</si>
  <si>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</si>
  <si>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</si>
  <si>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</si>
  <si>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</si>
  <si>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</si>
  <si>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</si>
  <si>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</si>
  <si>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</si>
  <si>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</si>
  <si>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</si>
  <si>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</si>
  <si>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</si>
  <si>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</si>
  <si>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</si>
  <si>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</si>
  <si>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</si>
  <si>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</si>
  <si>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</si>
  <si>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</si>
  <si>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</si>
  <si>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</si>
  <si>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</si>
  <si>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</si>
  <si>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</si>
  <si>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</si>
  <si>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</si>
  <si>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</si>
  <si>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</si>
  <si>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</si>
  <si>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</si>
  <si>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</si>
  <si>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</si>
  <si>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</si>
  <si>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</si>
  <si>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</si>
  <si>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</si>
  <si>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</si>
  <si>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</si>
  <si>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</si>
  <si>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</si>
  <si>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</si>
  <si>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</si>
  <si>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</si>
  <si>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</si>
  <si>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</si>
  <si>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</si>
  <si>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</si>
  <si>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</si>
  <si>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</si>
  <si>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</si>
  <si>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</si>
  <si>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</si>
  <si>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</si>
  <si>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</si>
  <si>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</si>
  <si>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</si>
  <si>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</si>
  <si>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</si>
  <si>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</si>
  <si>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</si>
  <si>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</si>
  <si>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</si>
  <si>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</si>
  <si>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</si>
  <si>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</si>
  <si>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</si>
  <si>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</si>
  <si>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</si>
  <si>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</si>
  <si>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</si>
  <si>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</si>
  <si>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</si>
  <si>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</si>
  <si>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</si>
  <si>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</si>
  <si>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</si>
  <si>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</si>
  <si>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</si>
  <si>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</si>
  <si>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</si>
  <si>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</si>
  <si>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</si>
  <si>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</si>
  <si>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</si>
  <si>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</si>
  <si>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</si>
  <si>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</si>
  <si>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</si>
  <si>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</si>
  <si>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</si>
  <si>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</si>
  <si>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</si>
  <si>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</si>
  <si>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</si>
  <si>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</si>
  <si>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</si>
  <si>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</si>
  <si>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</si>
  <si>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</si>
  <si>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</si>
  <si>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</si>
  <si>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</si>
  <si>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</si>
  <si>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</si>
  <si>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</si>
  <si>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</si>
  <si>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</si>
  <si>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</si>
  <si>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</si>
  <si>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</si>
  <si>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</si>
  <si>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</si>
  <si>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</si>
  <si>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</si>
  <si>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</si>
  <si>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</si>
  <si>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</si>
  <si>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</si>
  <si>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</si>
  <si>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</si>
  <si>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</si>
  <si>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</si>
  <si>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</si>
  <si>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</si>
  <si>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</si>
  <si>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</si>
  <si>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</si>
  <si>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</si>
  <si>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</si>
  <si>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</si>
  <si>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</si>
  <si>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</si>
  <si>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</si>
  <si>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</si>
  <si>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</si>
  <si>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</si>
  <si>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</si>
  <si>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</si>
  <si>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</si>
  <si>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</si>
  <si>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</si>
  <si>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</si>
  <si>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</si>
  <si>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</si>
  <si>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</si>
  <si>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</si>
  <si>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</si>
  <si>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</si>
  <si>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</si>
  <si>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</si>
  <si>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</si>
  <si>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</si>
  <si>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</si>
  <si>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</si>
  <si>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</si>
  <si>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</si>
  <si>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</si>
  <si>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</si>
  <si>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</si>
  <si>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</si>
  <si>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</si>
  <si>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</si>
  <si>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</si>
  <si>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</si>
  <si>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</si>
  <si>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</si>
  <si>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</si>
  <si>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</si>
  <si>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</si>
  <si>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</si>
  <si>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</si>
  <si>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</si>
  <si>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</si>
  <si>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</si>
  <si>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</si>
  <si>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</si>
  <si>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</si>
  <si>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</si>
  <si>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</si>
  <si>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</si>
  <si>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</si>
  <si>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</si>
  <si>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</si>
  <si>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</si>
  <si>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</si>
  <si>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</si>
  <si>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</si>
  <si>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</si>
  <si>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</si>
  <si>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</si>
  <si>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</si>
  <si>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</si>
  <si>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</si>
  <si>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</si>
  <si>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</si>
  <si>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</si>
  <si>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</si>
  <si>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</si>
  <si>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</si>
  <si>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</si>
  <si>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</si>
  <si>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</si>
  <si>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</si>
  <si>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</si>
  <si>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</si>
  <si>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</si>
  <si>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</si>
  <si>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</si>
  <si>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</si>
  <si>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</si>
  <si>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</si>
  <si>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</si>
  <si>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</si>
  <si>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</si>
  <si>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</si>
  <si>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</si>
  <si>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</si>
  <si>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</si>
  <si>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</si>
  <si>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</si>
  <si>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</si>
  <si>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</si>
  <si>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</si>
  <si>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</si>
  <si>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</si>
  <si>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</si>
  <si>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</si>
  <si>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</si>
  <si>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</si>
  <si>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</si>
  <si>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</si>
  <si>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</si>
  <si>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</si>
  <si>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</si>
  <si>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</si>
  <si>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</si>
  <si>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</si>
  <si>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</si>
  <si>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</si>
  <si>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</si>
  <si>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</si>
  <si>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</si>
  <si>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</si>
  <si>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</si>
  <si>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</si>
  <si>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</si>
  <si>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</si>
  <si>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</si>
  <si>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</si>
  <si>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</si>
  <si>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</si>
  <si>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</si>
  <si>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</si>
  <si>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</si>
  <si>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</si>
  <si>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</si>
  <si>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</si>
  <si>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</si>
  <si>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</si>
  <si>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</si>
  <si>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</si>
  <si>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</si>
  <si>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</si>
  <si>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</si>
  <si>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</si>
  <si>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</si>
  <si>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</si>
  <si>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</si>
  <si>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</si>
  <si>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</si>
  <si>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</si>
  <si>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</si>
  <si>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</si>
  <si>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</si>
  <si>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</si>
  <si>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</si>
  <si>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</si>
  <si>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</si>
  <si>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</si>
  <si>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</si>
  <si>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</si>
  <si>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</si>
  <si>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</si>
  <si>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</si>
  <si>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</si>
  <si>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</si>
  <si>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</si>
  <si>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</si>
  <si>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</si>
  <si>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</si>
  <si>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</si>
  <si>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</si>
  <si>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</si>
  <si>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</si>
  <si>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</si>
  <si>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</si>
  <si>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</si>
  <si>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</si>
  <si>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</si>
  <si>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</si>
  <si>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</si>
  <si>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</si>
  <si>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</si>
  <si>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</si>
  <si>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</si>
  <si>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</si>
  <si>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</si>
  <si>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</si>
  <si>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</si>
  <si>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</si>
  <si>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</si>
  <si>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</si>
  <si>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</si>
  <si>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</si>
  <si>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</si>
  <si>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</si>
  <si>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</si>
  <si>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</si>
  <si>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</si>
  <si>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</si>
  <si>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</si>
  <si>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</si>
  <si>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</si>
  <si>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</si>
  <si>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</si>
  <si>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</si>
  <si>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</si>
  <si>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</si>
  <si>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</si>
  <si>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</si>
  <si>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</si>
  <si>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</si>
  <si>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</si>
  <si>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</si>
  <si>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</si>
  <si>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</si>
  <si>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</si>
  <si>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</si>
  <si>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</si>
  <si>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</si>
  <si>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</si>
  <si>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</si>
  <si>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</si>
  <si>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</si>
  <si>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</si>
  <si>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</si>
  <si>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</si>
  <si>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</si>
  <si>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</si>
  <si>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</si>
  <si>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</si>
  <si>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</si>
  <si>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</si>
  <si>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</si>
  <si>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</si>
  <si>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</si>
  <si>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</si>
  <si>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</si>
  <si>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</si>
  <si>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</si>
  <si>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</si>
  <si>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</si>
  <si>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</si>
  <si>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</si>
  <si>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</si>
  <si>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</si>
  <si>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</si>
  <si>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</si>
  <si>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</si>
  <si>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</si>
  <si>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</si>
  <si>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</si>
  <si>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</si>
  <si>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</si>
  <si>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</si>
  <si>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</si>
  <si>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</si>
  <si>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</si>
  <si>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</si>
  <si>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</si>
  <si>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</si>
  <si>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</si>
  <si>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</si>
  <si>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</si>
  <si>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</si>
  <si>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</si>
  <si>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</si>
  <si>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</si>
  <si>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</si>
  <si>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</si>
  <si>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</si>
  <si>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</si>
  <si>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</si>
  <si>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</si>
  <si>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</si>
  <si>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</si>
  <si>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</si>
  <si>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</si>
  <si>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</si>
  <si>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</si>
  <si>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</si>
  <si>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</si>
  <si>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</si>
  <si>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</si>
  <si>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</si>
  <si>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</si>
  <si>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</si>
  <si>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</si>
  <si>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</si>
  <si>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</si>
  <si>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</si>
  <si>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</si>
  <si>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</si>
  <si>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</si>
  <si>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</si>
  <si>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</si>
  <si>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</si>
  <si>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</si>
  <si>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</si>
  <si>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</si>
  <si>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</si>
  <si>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</si>
  <si>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</si>
  <si>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</si>
  <si>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</si>
  <si>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</si>
  <si>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</si>
  <si>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</si>
  <si>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</si>
  <si>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</si>
  <si>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</si>
  <si>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</si>
  <si>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</si>
  <si>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</si>
  <si>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</si>
  <si>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</si>
  <si>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</si>
  <si>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</si>
  <si>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</si>
  <si>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</si>
  <si>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</si>
  <si>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</si>
  <si>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</si>
  <si>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</si>
  <si>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</si>
  <si>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</si>
  <si>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</si>
  <si>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</si>
  <si>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</si>
  <si>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</si>
  <si>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</si>
  <si>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</si>
  <si>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</si>
  <si>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</si>
  <si>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</si>
  <si>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</si>
  <si>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</si>
  <si>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</si>
  <si>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</si>
  <si>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</si>
  <si>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</si>
  <si>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</si>
  <si>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</si>
  <si>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</si>
  <si>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</si>
  <si>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</si>
  <si>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</si>
  <si>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</si>
  <si>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</si>
  <si>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</si>
  <si>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</si>
  <si>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</si>
  <si>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</si>
  <si>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</si>
  <si>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</si>
  <si>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</si>
  <si>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</si>
  <si>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</si>
  <si>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</si>
  <si>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</si>
  <si>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</si>
  <si>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</si>
  <si>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</si>
  <si>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</si>
  <si>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</si>
  <si>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</si>
  <si>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</si>
  <si>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</si>
  <si>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</si>
  <si>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</si>
  <si>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</si>
  <si>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</si>
  <si>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</si>
  <si>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</si>
  <si>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</si>
  <si>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</si>
  <si>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</si>
  <si>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</si>
  <si>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</si>
  <si>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</si>
  <si>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</si>
  <si>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</si>
  <si>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</si>
  <si>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</si>
  <si>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</si>
  <si>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</si>
  <si>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</si>
  <si>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</si>
  <si>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</si>
  <si>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</si>
  <si>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</si>
  <si>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</si>
  <si>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</si>
  <si>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</si>
  <si>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</si>
  <si>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</si>
  <si>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</si>
  <si>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</si>
  <si>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</si>
  <si>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</si>
  <si>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</si>
  <si>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</si>
  <si>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</si>
  <si>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</si>
  <si>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</si>
  <si>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</si>
  <si>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</si>
  <si>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</si>
  <si>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</si>
  <si>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</si>
  <si>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</si>
  <si>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</si>
  <si>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</si>
  <si>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</si>
  <si>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</si>
  <si>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</si>
  <si>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</si>
  <si>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</si>
  <si>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</si>
  <si>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</si>
  <si>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</si>
  <si>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</si>
  <si>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</si>
  <si>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</si>
  <si>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</si>
  <si>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</si>
  <si>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</si>
  <si>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</si>
  <si>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</si>
  <si>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</si>
  <si>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</si>
  <si>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</si>
  <si>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</si>
  <si>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</si>
  <si>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</si>
  <si>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</si>
  <si>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</si>
  <si>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</si>
  <si>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</si>
  <si>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</si>
  <si>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</si>
  <si>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</si>
  <si>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</si>
  <si>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</si>
  <si>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</si>
  <si>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</si>
  <si>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</si>
  <si>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</si>
  <si>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</si>
  <si>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</si>
  <si>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</si>
  <si>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</si>
  <si>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</si>
  <si>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</si>
  <si>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</si>
  <si>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</si>
  <si>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</si>
  <si>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</si>
  <si>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</si>
  <si>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</si>
  <si>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</si>
  <si>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</si>
  <si>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</si>
  <si>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</si>
  <si>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</si>
  <si>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</si>
  <si>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</si>
  <si>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</si>
  <si>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</si>
  <si>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</si>
  <si>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</si>
  <si>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</si>
  <si>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</si>
  <si>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</si>
  <si>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</si>
  <si>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</si>
  <si>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</si>
  <si>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</si>
  <si>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</si>
  <si>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</si>
  <si>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</si>
  <si>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</si>
  <si>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</si>
  <si>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</si>
  <si>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</si>
  <si>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</si>
  <si>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</si>
  <si>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</si>
  <si>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</si>
  <si>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</si>
  <si>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</si>
  <si>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</si>
  <si>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</si>
  <si>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</si>
  <si>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</si>
  <si>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</si>
  <si>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</si>
  <si>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</si>
  <si>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</si>
  <si>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</si>
  <si>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</si>
  <si>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</si>
  <si>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</si>
  <si>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</si>
  <si>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</si>
  <si>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</si>
  <si>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</si>
  <si>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</si>
  <si>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</si>
  <si>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</si>
  <si>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</si>
  <si>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</si>
  <si>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</si>
  <si>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</si>
  <si>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</si>
  <si>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</si>
  <si>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</si>
  <si>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</si>
  <si>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</si>
  <si>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</si>
  <si>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</si>
  <si>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</si>
  <si>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</si>
  <si>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</si>
  <si>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</si>
  <si>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</si>
  <si>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</si>
  <si>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</si>
  <si>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</si>
  <si>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</si>
  <si>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</si>
  <si>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</si>
  <si>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</si>
  <si>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</si>
  <si>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</si>
  <si>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</si>
  <si>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</si>
  <si>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</si>
  <si>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</si>
  <si>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</si>
  <si>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</si>
  <si>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</si>
  <si>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</si>
  <si>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</si>
  <si>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</si>
  <si>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</si>
  <si>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</si>
  <si>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</si>
  <si>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</si>
  <si>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</si>
  <si>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</si>
  <si>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</si>
  <si>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</si>
  <si>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</si>
  <si>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</si>
  <si>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</si>
  <si>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</si>
  <si>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</si>
  <si>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</si>
  <si>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</si>
  <si>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</si>
  <si>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</si>
  <si>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</si>
  <si>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</si>
  <si>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</si>
  <si>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</si>
  <si>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</si>
  <si>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</si>
  <si>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</si>
  <si>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</si>
  <si>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</si>
  <si>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</si>
  <si>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</si>
  <si>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</si>
  <si>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</si>
  <si>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</si>
  <si>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</si>
  <si>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</si>
  <si>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</si>
  <si>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</si>
  <si>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</si>
  <si>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</si>
  <si>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</si>
  <si>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</si>
  <si>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</si>
  <si>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</si>
  <si>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</si>
  <si>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</si>
  <si>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</si>
  <si>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</si>
  <si>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</si>
  <si>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</si>
  <si>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</si>
  <si>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</si>
  <si>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</si>
  <si>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</si>
  <si>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</si>
  <si>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</si>
  <si>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</si>
  <si>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</si>
  <si>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</si>
  <si>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</si>
  <si>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</si>
  <si>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</si>
  <si>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</si>
  <si>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</si>
  <si>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</si>
  <si>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</si>
  <si>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</si>
  <si>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</si>
  <si>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</si>
  <si>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</si>
  <si>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</si>
  <si>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</si>
  <si>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</si>
  <si>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</si>
  <si>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</si>
  <si>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</si>
  <si>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</si>
  <si>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</si>
  <si>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</si>
  <si>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</si>
  <si>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</si>
  <si>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</si>
  <si>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</si>
  <si>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</si>
  <si>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</si>
  <si>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</si>
  <si>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</si>
  <si>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</si>
  <si>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</si>
  <si>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</si>
  <si>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</si>
  <si>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</si>
  <si>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</si>
  <si>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</si>
  <si>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</si>
  <si>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</si>
  <si>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</si>
  <si>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</si>
  <si>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</si>
  <si>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</si>
  <si>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</si>
  <si>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</si>
  <si>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</si>
  <si>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</si>
  <si>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</si>
  <si>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</si>
  <si>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</si>
  <si>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</si>
  <si>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</si>
  <si>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</si>
  <si>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</si>
  <si>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</si>
  <si>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</si>
  <si>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</si>
  <si>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</si>
  <si>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</si>
  <si>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</si>
  <si>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</si>
  <si>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</si>
  <si>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</si>
  <si>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</si>
  <si>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</si>
  <si>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</si>
  <si>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</si>
  <si>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</si>
  <si>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</si>
  <si>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</si>
  <si>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</si>
  <si>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</si>
  <si>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</si>
  <si>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</si>
  <si>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</si>
  <si>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</si>
  <si>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</si>
  <si>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</si>
  <si>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</si>
  <si>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</si>
  <si>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</si>
  <si>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</si>
  <si>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</si>
  <si>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</si>
  <si>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</si>
  <si>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</si>
  <si>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</si>
  <si>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</si>
  <si>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</si>
  <si>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</si>
  <si>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</si>
  <si>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</si>
  <si>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</si>
  <si>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</si>
  <si>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</si>
  <si>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</si>
  <si>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</si>
  <si>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</si>
  <si>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</si>
  <si>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</si>
  <si>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</si>
  <si>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</si>
  <si>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</si>
  <si>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</si>
  <si>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</si>
  <si>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</si>
  <si>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</si>
  <si>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</si>
  <si>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</si>
  <si>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</si>
  <si>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</si>
  <si>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</si>
  <si>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</si>
  <si>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</si>
  <si>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</si>
  <si>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</si>
  <si>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</si>
  <si>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</si>
  <si>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</si>
  <si>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</si>
  <si>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</si>
  <si>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</si>
  <si>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</si>
  <si>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</si>
  <si>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</si>
  <si>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</si>
  <si>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</si>
  <si>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</si>
  <si>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</si>
  <si>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</si>
  <si>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</si>
  <si>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</si>
  <si>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</si>
  <si>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</si>
  <si>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</si>
  <si>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</si>
  <si>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</si>
  <si>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</si>
  <si>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</si>
  <si>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</si>
  <si>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</si>
  <si>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</si>
  <si>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</si>
  <si>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</si>
  <si>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</si>
  <si>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</si>
  <si>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</si>
  <si>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</si>
  <si>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</si>
  <si>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</si>
  <si>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</si>
  <si>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</si>
  <si>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</si>
  <si>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</si>
  <si>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</si>
  <si>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</si>
  <si>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</si>
  <si>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</si>
  <si>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</si>
  <si>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</si>
  <si>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</si>
  <si>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</si>
  <si>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</si>
  <si>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</si>
  <si>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</si>
  <si>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</si>
  <si>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</si>
  <si>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</si>
  <si>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</si>
  <si>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</si>
  <si>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</si>
  <si>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</si>
  <si>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</si>
  <si>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</si>
  <si>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</si>
  <si>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</si>
  <si>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</si>
  <si>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</si>
  <si>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</si>
  <si>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</si>
  <si>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</si>
  <si>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</si>
  <si>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</si>
  <si>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</si>
  <si>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</si>
  <si>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</si>
  <si>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</si>
  <si>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</si>
  <si>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</si>
  <si>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</si>
  <si>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</si>
  <si>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</si>
  <si>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</si>
  <si>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</si>
  <si>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</si>
  <si>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</si>
  <si>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</si>
  <si>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</si>
  <si>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</si>
  <si>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</si>
  <si>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</si>
  <si>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</si>
  <si>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</si>
  <si>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</si>
  <si>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</si>
  <si>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</si>
  <si>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</si>
  <si>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</si>
  <si>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</si>
  <si>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</si>
  <si>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</si>
  <si>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</si>
  <si>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</si>
  <si>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</si>
  <si>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</si>
  <si>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</si>
  <si>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</si>
  <si>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</si>
  <si>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</si>
  <si>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</si>
  <si>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</si>
  <si>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</si>
  <si>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</si>
  <si>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</si>
  <si>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</si>
  <si>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</si>
  <si>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</si>
  <si>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</si>
  <si>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</si>
  <si>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</si>
  <si>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</si>
  <si>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</si>
  <si>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</si>
  <si>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</si>
  <si>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</si>
  <si>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</si>
  <si>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</si>
  <si>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</si>
  <si>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</si>
  <si>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</si>
  <si>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</si>
  <si>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</si>
  <si>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</si>
  <si>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</si>
  <si>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</si>
  <si>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</si>
  <si>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</si>
  <si>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</si>
  <si>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</si>
  <si>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</si>
  <si>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</si>
  <si>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</si>
  <si>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</si>
  <si>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</si>
  <si>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</si>
  <si>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</si>
  <si>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</si>
  <si>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</si>
  <si>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</si>
  <si>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</si>
  <si>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</si>
  <si>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</si>
  <si>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</si>
  <si>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</si>
  <si>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</si>
  <si>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</si>
  <si>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</si>
  <si>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</si>
  <si>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</si>
  <si>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</si>
  <si>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</si>
  <si>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</si>
  <si>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</si>
  <si>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</si>
  <si>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</si>
  <si>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</si>
  <si>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</si>
  <si>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</si>
  <si>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</si>
  <si>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</si>
  <si>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</si>
  <si>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</si>
  <si>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</si>
  <si>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</si>
  <si>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</si>
  <si>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</si>
  <si>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</si>
  <si>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</si>
  <si>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</si>
  <si>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</si>
  <si>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</si>
  <si>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</si>
  <si>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</si>
  <si>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</si>
  <si>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</si>
  <si>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</si>
  <si>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</si>
  <si>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</si>
  <si>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</si>
  <si>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</si>
  <si>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</si>
  <si>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</si>
  <si>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</si>
  <si>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</si>
  <si>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</si>
  <si>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</si>
  <si>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</si>
  <si>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</si>
  <si>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</si>
  <si>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</si>
  <si>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</si>
  <si>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</si>
  <si>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</si>
  <si>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</si>
  <si>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</si>
  <si>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</si>
  <si>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</si>
  <si>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</si>
  <si>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</si>
  <si>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</si>
  <si>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</si>
  <si>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</si>
  <si>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</si>
  <si>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</si>
  <si>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</si>
  <si>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</si>
  <si>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</si>
  <si>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</si>
  <si>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</si>
  <si>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</si>
  <si>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</si>
  <si>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</si>
  <si>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</si>
  <si>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</si>
  <si>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</si>
  <si>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</si>
  <si>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</si>
  <si>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</si>
  <si>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</si>
  <si>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</si>
  <si>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</si>
  <si>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</si>
  <si>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</si>
  <si>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</si>
  <si>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</si>
  <si>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</si>
  <si>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</si>
  <si>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</si>
  <si>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</si>
  <si>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</si>
  <si>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</si>
  <si>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</si>
  <si>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</si>
  <si>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</si>
  <si>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</si>
  <si>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</si>
  <si>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</si>
  <si>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</si>
  <si>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</si>
  <si>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</si>
  <si>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</si>
  <si>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</si>
  <si>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</si>
  <si>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</si>
  <si>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</si>
  <si>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</si>
  <si>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</si>
  <si>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</si>
  <si>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</si>
  <si>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</si>
  <si>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</si>
  <si>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</si>
  <si>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</si>
  <si>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</si>
  <si>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</si>
  <si>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</si>
  <si>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</si>
  <si>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</si>
  <si>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</si>
  <si>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</si>
  <si>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</si>
  <si>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</si>
  <si>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</si>
  <si>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</si>
  <si>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</si>
  <si>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</si>
  <si>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</si>
  <si>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</si>
  <si>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</si>
  <si>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</si>
  <si>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</si>
  <si>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</si>
  <si>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</si>
  <si>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</si>
  <si>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</si>
  <si>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</si>
  <si>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</si>
  <si>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</si>
  <si>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</si>
  <si>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</si>
  <si>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</si>
  <si>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</si>
  <si>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</si>
  <si>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</si>
  <si>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</si>
  <si>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</si>
  <si>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</si>
  <si>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</si>
  <si>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</si>
  <si>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</si>
  <si>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</si>
  <si>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</si>
  <si>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</si>
  <si>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</si>
  <si>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</si>
  <si>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</si>
  <si>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</si>
  <si>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</si>
  <si>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</si>
  <si>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</si>
  <si>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</si>
  <si>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</si>
  <si>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</si>
  <si>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</si>
  <si>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</si>
  <si>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</si>
  <si>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</si>
  <si>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</si>
  <si>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</si>
  <si>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</si>
  <si>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</si>
  <si>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</si>
  <si>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</si>
  <si>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</si>
  <si>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</si>
  <si>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</si>
  <si>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</si>
  <si>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</si>
  <si>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</si>
  <si>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</si>
  <si>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</si>
  <si>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</si>
  <si>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</si>
  <si>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</si>
  <si>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</si>
  <si>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</si>
  <si>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</si>
  <si>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</si>
  <si>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</si>
  <si>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</si>
  <si>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</si>
  <si>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</si>
  <si>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</si>
  <si>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</si>
  <si>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</si>
  <si>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</si>
  <si>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</si>
  <si>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</si>
  <si>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</si>
  <si>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</si>
  <si>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</si>
  <si>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</si>
  <si>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</si>
  <si>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</si>
  <si>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</si>
  <si>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</si>
  <si>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</si>
  <si>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</si>
  <si>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</si>
  <si>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</si>
  <si>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</si>
  <si>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</si>
  <si>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</si>
  <si>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</si>
  <si>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</si>
  <si>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</si>
  <si>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</si>
  <si>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</si>
  <si>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</si>
  <si>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</si>
  <si>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</si>
  <si>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</si>
  <si>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</si>
  <si>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</si>
  <si>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</si>
  <si>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</si>
  <si>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</si>
  <si>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</si>
  <si>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</si>
  <si>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</si>
  <si>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</si>
  <si>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</si>
  <si>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</si>
  <si>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</si>
  <si>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</si>
  <si>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</si>
  <si>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</si>
  <si>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</si>
  <si>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</si>
  <si>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</si>
  <si>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</si>
  <si>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</si>
  <si>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</si>
  <si>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</si>
  <si>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</si>
  <si>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</si>
  <si>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</si>
  <si>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</si>
  <si>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</si>
  <si>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</si>
  <si>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</si>
  <si>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</si>
  <si>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</si>
  <si>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</si>
  <si>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</si>
  <si>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</si>
  <si>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</si>
  <si>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</si>
  <si>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</si>
  <si>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</si>
  <si>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</si>
  <si>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</si>
  <si>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</si>
  <si>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</si>
  <si>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</si>
  <si>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</si>
  <si>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</si>
  <si>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</si>
  <si>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</si>
  <si>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</si>
  <si>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</si>
  <si>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</si>
  <si>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</si>
  <si>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</si>
  <si>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</si>
  <si>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</si>
  <si>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</si>
  <si>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</si>
  <si>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</si>
  <si>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</si>
  <si>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</si>
  <si>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</si>
  <si>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</si>
  <si>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</si>
  <si>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</si>
  <si>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</si>
  <si>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</si>
  <si>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</si>
  <si>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</si>
  <si>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</si>
  <si>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</si>
  <si>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</si>
  <si>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</si>
  <si>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</si>
  <si>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</si>
  <si>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</si>
  <si>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</si>
  <si>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</si>
  <si>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</si>
  <si>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</si>
  <si>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</si>
  <si>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</si>
  <si>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</si>
  <si>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</si>
  <si>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</si>
  <si>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</si>
  <si>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</si>
  <si>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</si>
  <si>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</si>
  <si>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</si>
  <si>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</si>
  <si>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</si>
  <si>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</si>
  <si>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</si>
  <si>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</si>
  <si>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</si>
  <si>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</si>
  <si>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</si>
  <si>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</si>
  <si>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</si>
  <si>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</si>
  <si>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</si>
  <si>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</si>
  <si>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</si>
  <si>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</si>
  <si>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</si>
  <si>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</si>
  <si>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</si>
  <si>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</si>
  <si>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</si>
  <si>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</si>
  <si>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</si>
  <si>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</si>
  <si>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</si>
  <si>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</si>
  <si>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</si>
  <si>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</si>
  <si>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</si>
  <si>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</si>
  <si>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</si>
  <si>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</si>
  <si>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</si>
  <si>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</si>
  <si>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</si>
  <si>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</si>
  <si>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</si>
  <si>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</si>
  <si>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</si>
  <si>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</si>
  <si>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</si>
  <si>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</si>
  <si>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</si>
  <si>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</si>
  <si>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</si>
  <si>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</si>
  <si>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</si>
  <si>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</si>
  <si>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</si>
  <si>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</si>
  <si>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</si>
  <si>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</si>
  <si>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</si>
  <si>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</si>
  <si>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</si>
  <si>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</si>
  <si>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</si>
  <si>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</si>
  <si>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</si>
  <si>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</si>
  <si>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</si>
  <si>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</si>
  <si>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</si>
  <si>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</si>
  <si>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</si>
  <si>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</si>
  <si>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</si>
  <si>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</si>
  <si>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</si>
  <si>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</si>
  <si>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</si>
  <si>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</si>
  <si>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</si>
  <si>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</si>
  <si>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</si>
  <si>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</si>
  <si>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</si>
  <si>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</si>
  <si>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</si>
  <si>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</si>
  <si>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</si>
  <si>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</si>
  <si>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</si>
  <si>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</si>
  <si>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</si>
  <si>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</si>
  <si>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</si>
  <si>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</si>
  <si>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</si>
  <si>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</si>
  <si>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</si>
  <si>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</si>
  <si>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</si>
  <si>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</si>
  <si>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</si>
  <si>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</si>
  <si>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</si>
  <si>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</si>
  <si>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</si>
  <si>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</si>
  <si>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</si>
  <si>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</si>
  <si>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</si>
  <si>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</si>
  <si>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</si>
  <si>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</si>
  <si>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</si>
  <si>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</si>
  <si>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</si>
  <si>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</si>
  <si>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</si>
  <si>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</si>
  <si>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</si>
  <si>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</si>
  <si>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</si>
  <si>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</si>
  <si>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</si>
  <si>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</si>
  <si>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</si>
  <si>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</si>
  <si>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</si>
  <si>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</si>
  <si>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</si>
  <si>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</si>
  <si>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</si>
  <si>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</si>
  <si>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</si>
  <si>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</si>
  <si>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</si>
  <si>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</si>
  <si>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</si>
  <si>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</si>
  <si>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</si>
  <si>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</si>
  <si>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</si>
  <si>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</si>
  <si>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</si>
  <si>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</si>
  <si>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</si>
  <si>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</si>
  <si>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</si>
  <si>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</si>
  <si>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</si>
  <si>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</si>
  <si>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</si>
  <si>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</si>
  <si>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</si>
  <si>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</si>
  <si>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</si>
  <si>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</si>
  <si>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</si>
  <si>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</si>
  <si>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</si>
  <si>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</si>
  <si>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</si>
  <si>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</si>
  <si>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</si>
  <si>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</si>
  <si>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</si>
  <si>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</si>
  <si>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</si>
  <si>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</si>
  <si>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</si>
  <si>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</si>
  <si>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</si>
  <si>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</si>
  <si>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</si>
  <si>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</si>
  <si>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</si>
  <si>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</si>
  <si>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</si>
  <si>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</si>
  <si>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</si>
  <si>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</si>
  <si>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</si>
  <si>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</si>
  <si>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</si>
  <si>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</si>
  <si>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</si>
  <si>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</si>
  <si>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</si>
  <si>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</si>
  <si>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</si>
  <si>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</si>
  <si>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</si>
  <si>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</si>
  <si>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</si>
  <si>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</si>
  <si>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</si>
  <si>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</si>
  <si>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</si>
  <si>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</si>
  <si>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</si>
  <si>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</si>
  <si>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</si>
  <si>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</si>
  <si>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</si>
  <si>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</si>
  <si>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</si>
  <si>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</si>
  <si>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</si>
  <si>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</si>
  <si>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</si>
  <si>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</si>
  <si>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</si>
  <si>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</si>
  <si>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</si>
  <si>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</si>
  <si>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</si>
  <si>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</si>
  <si>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</si>
  <si>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</si>
  <si>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</si>
  <si>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</si>
  <si>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</si>
  <si>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</si>
  <si>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</si>
  <si>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</si>
  <si>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</si>
  <si>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</si>
  <si>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</si>
  <si>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</si>
  <si>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</si>
  <si>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</si>
  <si>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</si>
  <si>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</si>
  <si>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</si>
  <si>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</si>
  <si>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</si>
  <si>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</si>
  <si>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</si>
  <si>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</si>
  <si>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</si>
  <si>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</si>
  <si>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</si>
  <si>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</si>
  <si>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</si>
  <si>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</si>
  <si>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</si>
  <si>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</si>
  <si>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</si>
  <si>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</si>
  <si>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</si>
  <si>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</si>
  <si>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</si>
  <si>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</si>
  <si>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</si>
  <si>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</si>
  <si>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</si>
  <si>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</si>
  <si>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</si>
  <si>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</si>
  <si>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</si>
  <si>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</si>
  <si>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</si>
  <si>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</si>
  <si>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</si>
  <si>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</si>
  <si>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</si>
  <si>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</si>
  <si>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</si>
  <si>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</si>
  <si>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</si>
  <si>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</si>
  <si>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</si>
  <si>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</si>
  <si>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</si>
  <si>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</si>
  <si>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</si>
  <si>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</si>
  <si>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</si>
  <si>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</si>
  <si>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</si>
  <si>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</si>
  <si>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</si>
  <si>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</si>
  <si>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</si>
  <si>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</si>
  <si>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</si>
  <si>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</si>
  <si>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</si>
  <si>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</si>
  <si>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</si>
  <si>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</si>
  <si>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</si>
  <si>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</si>
  <si>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</si>
  <si>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</si>
  <si>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</si>
  <si>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</si>
  <si>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</si>
  <si>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</si>
  <si>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</si>
  <si>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</si>
  <si>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</si>
  <si>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</si>
  <si>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</si>
  <si>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</si>
  <si>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</si>
  <si>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</si>
  <si>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</si>
  <si>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</si>
  <si>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</si>
  <si>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</si>
  <si>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</si>
  <si>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</si>
  <si>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</si>
  <si>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</si>
  <si>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</si>
  <si>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</si>
  <si>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</si>
  <si>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</si>
  <si>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</si>
  <si>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</si>
  <si>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</si>
  <si>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</si>
  <si>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</si>
  <si>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</si>
  <si>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</si>
  <si>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</si>
  <si>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</si>
  <si>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</si>
  <si>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</si>
  <si>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</si>
  <si>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</si>
  <si>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</si>
  <si>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</si>
  <si>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</si>
  <si>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</si>
  <si>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</si>
  <si>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</si>
  <si>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</si>
  <si>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</si>
  <si>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</si>
  <si>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</si>
  <si>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</si>
  <si>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</si>
  <si>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</si>
  <si>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</si>
  <si>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</si>
  <si>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</si>
  <si>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</si>
  <si>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</si>
  <si>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</si>
  <si>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</si>
  <si>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</si>
  <si>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</si>
  <si>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</si>
  <si>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</si>
  <si>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</si>
  <si>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</si>
  <si>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</si>
  <si>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</si>
  <si>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</si>
  <si>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</si>
  <si>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</si>
  <si>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</si>
  <si>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</si>
  <si>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</si>
  <si>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</si>
  <si>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</si>
  <si>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</si>
  <si>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</si>
  <si>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</si>
  <si>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</si>
  <si>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</si>
  <si>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</si>
  <si>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</si>
  <si>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</si>
  <si>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</si>
  <si>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</si>
  <si>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</si>
  <si>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</si>
  <si>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</si>
  <si>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</si>
  <si>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</si>
  <si>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</si>
  <si>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</si>
  <si>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</si>
  <si>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</si>
  <si>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</si>
  <si>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</si>
  <si>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</si>
  <si>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</si>
  <si>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</si>
  <si>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</si>
  <si>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</si>
  <si>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</si>
  <si>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</si>
  <si>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</si>
  <si>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</si>
  <si>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</si>
  <si>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</si>
  <si>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</si>
  <si>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</si>
  <si>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</si>
  <si>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</si>
  <si>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</si>
  <si>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</si>
  <si>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</si>
  <si>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</si>
  <si>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</si>
  <si>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</si>
  <si>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</si>
  <si>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</si>
  <si>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</si>
  <si>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</si>
  <si>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</si>
  <si>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</si>
  <si>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</si>
  <si>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</si>
  <si>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</si>
  <si>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</si>
  <si>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</si>
  <si>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</si>
  <si>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</si>
  <si>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</si>
  <si>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</si>
  <si>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</si>
  <si>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</si>
  <si>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</si>
  <si>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</si>
  <si>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</si>
  <si>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</si>
  <si>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</si>
  <si>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</si>
  <si>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</si>
  <si>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</si>
  <si>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</si>
  <si>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</si>
  <si>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</si>
  <si>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</si>
  <si>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</si>
  <si>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</si>
  <si>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</si>
  <si>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</si>
  <si>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</si>
  <si>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</si>
  <si>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</si>
  <si>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</si>
  <si>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</si>
  <si>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</si>
  <si>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</si>
  <si>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</si>
  <si>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</si>
  <si>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</si>
  <si>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</si>
  <si>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</si>
  <si>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</si>
  <si>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</si>
  <si>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</si>
  <si>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</si>
  <si>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</si>
  <si>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</si>
  <si>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</si>
  <si>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</si>
  <si>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</si>
  <si>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</si>
  <si>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</si>
  <si>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</si>
  <si>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</si>
  <si>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</si>
  <si>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</si>
  <si>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</si>
  <si>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</si>
  <si>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</si>
  <si>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</si>
  <si>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</si>
  <si>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</si>
  <si>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</si>
  <si>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</si>
  <si>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</si>
  <si>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</si>
  <si>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</si>
  <si>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</si>
  <si>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</si>
  <si>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</si>
  <si>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</si>
  <si>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</si>
  <si>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</si>
  <si>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</si>
  <si>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</si>
  <si>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</si>
  <si>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</si>
  <si>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</si>
  <si>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</si>
  <si>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</si>
  <si>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</si>
  <si>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</si>
  <si>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</si>
  <si>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</si>
  <si>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</si>
  <si>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</si>
  <si>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</si>
  <si>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</si>
  <si>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</si>
  <si>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</si>
  <si>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</si>
  <si>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</si>
  <si>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</si>
  <si>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</si>
  <si>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</si>
  <si>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</si>
  <si>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</si>
  <si>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</si>
  <si>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</si>
  <si>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</si>
  <si>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</si>
  <si>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</si>
  <si>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</si>
  <si>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</si>
  <si>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</si>
  <si>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</si>
  <si>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</si>
  <si>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</si>
  <si>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</si>
  <si>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</si>
  <si>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</si>
  <si>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</si>
  <si>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</si>
  <si>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</si>
  <si>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</si>
  <si>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</si>
  <si>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</si>
  <si>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</si>
  <si>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</si>
  <si>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</si>
  <si>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</si>
  <si>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</si>
  <si>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</si>
  <si>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</si>
  <si>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</si>
  <si>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</si>
  <si>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</si>
  <si>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</si>
  <si>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</si>
  <si>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</si>
  <si>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</si>
  <si>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</si>
  <si>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</si>
  <si>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</si>
  <si>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</si>
  <si>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</si>
  <si>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</si>
  <si>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</si>
  <si>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</si>
  <si>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</si>
  <si>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</si>
  <si>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</si>
  <si>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</si>
  <si>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</si>
  <si>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</si>
  <si>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</si>
  <si>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</si>
  <si>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</si>
  <si>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</si>
  <si>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</si>
  <si>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</si>
  <si>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</si>
  <si>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</si>
  <si>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</si>
  <si>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</si>
  <si>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</si>
  <si>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</si>
  <si>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</si>
  <si>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</si>
  <si>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</si>
  <si>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</si>
  <si>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</si>
  <si>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</si>
  <si>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</si>
  <si>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</si>
  <si>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</si>
  <si>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</si>
  <si>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</si>
  <si>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</si>
  <si>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</si>
  <si>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</si>
  <si>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</si>
  <si>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</si>
  <si>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</si>
  <si>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</si>
  <si>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</si>
  <si>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</si>
  <si>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</si>
  <si>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</si>
  <si>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</si>
  <si>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</si>
  <si>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</si>
  <si>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</si>
  <si>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</si>
  <si>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</si>
  <si>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</si>
  <si>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</si>
  <si>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</si>
  <si>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</si>
  <si>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</si>
  <si>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</si>
  <si>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</si>
  <si>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</si>
  <si>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</si>
  <si>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</si>
  <si>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</si>
  <si>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</si>
  <si>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</si>
  <si>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</si>
  <si>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</si>
  <si>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</si>
  <si>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</si>
  <si>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</si>
  <si>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</si>
  <si>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</si>
  <si>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</si>
  <si>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</si>
  <si>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</si>
  <si>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</si>
  <si>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</si>
  <si>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</si>
  <si>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</si>
  <si>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</si>
  <si>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</si>
  <si>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</si>
  <si>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</si>
  <si>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</si>
  <si>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</si>
  <si>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</si>
  <si>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</si>
  <si>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</si>
  <si>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</si>
  <si>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</si>
  <si>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</si>
  <si>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</si>
  <si>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</si>
  <si>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</si>
  <si>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</si>
  <si>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</si>
  <si>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</si>
  <si>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</si>
  <si>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</si>
  <si>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</si>
  <si>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</si>
  <si>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</si>
  <si>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</si>
  <si>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</si>
  <si>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</si>
  <si>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</si>
  <si>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</si>
  <si>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</si>
  <si>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</si>
  <si>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</si>
  <si>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</si>
  <si>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</si>
  <si>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</si>
  <si>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</si>
  <si>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</si>
  <si>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</si>
  <si>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</si>
  <si>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</si>
  <si>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</si>
  <si>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</si>
  <si>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</si>
  <si>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</si>
  <si>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</si>
  <si>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</si>
  <si>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</si>
  <si>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</si>
  <si>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</si>
  <si>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</si>
  <si>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</si>
  <si>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</si>
  <si>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</si>
  <si>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</si>
  <si>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</si>
  <si>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</si>
  <si>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</si>
  <si>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</si>
  <si>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</si>
  <si>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</si>
  <si>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</si>
  <si>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</si>
  <si>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</si>
  <si>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</si>
  <si>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</si>
  <si>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</si>
  <si>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</si>
  <si>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</si>
  <si>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</si>
  <si>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</si>
  <si>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</si>
  <si>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</si>
  <si>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</si>
  <si>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</si>
  <si>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</si>
  <si>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</si>
  <si>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</si>
  <si>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</si>
  <si>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</si>
  <si>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</si>
  <si>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</si>
  <si>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</si>
  <si>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</si>
  <si>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</si>
  <si>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</si>
  <si>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</si>
  <si>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</si>
  <si>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</si>
  <si>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</si>
  <si>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</si>
  <si>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</si>
  <si>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</si>
  <si>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</si>
  <si>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</si>
  <si>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</si>
  <si>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</si>
  <si>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</si>
  <si>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</si>
  <si>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</si>
  <si>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</si>
  <si>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</si>
  <si>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</si>
  <si>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</si>
  <si>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</si>
  <si>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</si>
  <si>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</si>
  <si>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</si>
  <si>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</si>
  <si>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</si>
  <si>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</si>
  <si>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</si>
  <si>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</si>
  <si>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</si>
  <si>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</si>
  <si>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</si>
  <si>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</si>
  <si>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</si>
  <si>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</si>
  <si>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</si>
  <si>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</si>
  <si>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</si>
  <si>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</si>
  <si>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</si>
  <si>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</si>
  <si>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</si>
  <si>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</si>
  <si>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</si>
  <si>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</si>
  <si>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</si>
  <si>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</si>
  <si>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</si>
  <si>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</si>
  <si>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</si>
  <si>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</si>
  <si>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</si>
  <si>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</si>
  <si>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</si>
  <si>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</si>
  <si>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</si>
  <si>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</si>
  <si>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</si>
  <si>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</si>
  <si>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</si>
  <si>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</si>
  <si>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</si>
  <si>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</si>
  <si>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</si>
  <si>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</si>
  <si>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</si>
  <si>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</si>
  <si>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</si>
  <si>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</si>
  <si>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</si>
  <si>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</si>
  <si>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</si>
  <si>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</si>
  <si>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</si>
  <si>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</si>
  <si>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</si>
  <si>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</si>
  <si>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</si>
  <si>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</si>
  <si>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</si>
  <si>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</si>
  <si>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</si>
  <si>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</si>
  <si>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</si>
  <si>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</si>
  <si>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</si>
  <si>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</si>
  <si>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</si>
  <si>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</si>
  <si>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</si>
  <si>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</si>
  <si>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</si>
  <si>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</si>
  <si>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</si>
  <si>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</si>
  <si>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</si>
  <si>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</si>
  <si>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</si>
  <si>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</si>
  <si>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</si>
  <si>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</si>
  <si>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</si>
  <si>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</si>
  <si>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</si>
  <si>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</si>
  <si>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</si>
  <si>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</si>
  <si>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</si>
  <si>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</si>
  <si>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</si>
  <si>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</si>
  <si>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</si>
  <si>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</si>
  <si>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</si>
  <si>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</si>
  <si>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</si>
  <si>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</si>
  <si>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</si>
  <si>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</si>
  <si>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</si>
  <si>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</si>
  <si>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</si>
  <si>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</si>
  <si>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</si>
  <si>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</si>
  <si>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</si>
  <si>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</si>
  <si>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</si>
  <si>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</si>
  <si>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</si>
  <si>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</si>
  <si>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</si>
  <si>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</si>
  <si>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</si>
  <si>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</si>
  <si>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</si>
  <si>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</si>
  <si>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</si>
  <si>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</si>
  <si>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</si>
  <si>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</si>
  <si>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</si>
  <si>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</si>
  <si>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</si>
  <si>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</si>
  <si>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</si>
  <si>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</si>
  <si>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</si>
  <si>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</si>
  <si>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</si>
  <si>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</si>
  <si>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</si>
  <si>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</si>
  <si>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</si>
  <si>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</si>
  <si>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</si>
  <si>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</si>
  <si>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</si>
  <si>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</si>
  <si>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</si>
  <si>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</si>
  <si>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</si>
  <si>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</si>
  <si>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</si>
  <si>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</si>
  <si>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</si>
  <si>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</si>
  <si>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</si>
  <si>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</si>
  <si>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</si>
  <si>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</si>
  <si>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</si>
  <si>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</si>
  <si>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</si>
  <si>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</si>
  <si>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</si>
  <si>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PR2511100772-2025红果创作者大会活动-报价单</t>
  </si>
  <si>
    <t>项目名称</t>
  </si>
  <si>
    <t>2025红果创作者大会</t>
  </si>
  <si>
    <t>项目地址</t>
  </si>
  <si>
    <t>山西·太原</t>
  </si>
  <si>
    <t>结算标色说明</t>
  </si>
  <si>
    <t>项目时间</t>
  </si>
  <si>
    <t>11月25日-27日</t>
  </si>
  <si>
    <t>项目人数</t>
  </si>
  <si>
    <t>字节跳动业务接口人</t>
  </si>
  <si>
    <t>刘芷晴</t>
  </si>
  <si>
    <t>电话</t>
  </si>
  <si>
    <t>邮箱</t>
  </si>
  <si>
    <t>liuzhiqing.213@bytedance.com</t>
  </si>
  <si>
    <t>新增需求数量增加</t>
  </si>
  <si>
    <t>字节跳动采购接口人</t>
  </si>
  <si>
    <t>余浩</t>
  </si>
  <si>
    <t>yuhao.0620@bytedance.com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</si>
  <si>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</si>
  <si>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</si>
  <si>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</si>
  <si>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</si>
  <si>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</si>
  <si>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</si>
  <si>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wangfengyu@cct.cn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</si>
  <si>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</si>
  <si>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</si>
  <si>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</si>
  <si>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</si>
  <si>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</si>
  <si>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</si>
  <si>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</si>
  <si>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</si>
  <si>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</si>
  <si>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</si>
  <si>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</si>
  <si>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</si>
  <si>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</si>
  <si>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</si>
  <si>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</si>
  <si>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</si>
  <si>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</si>
  <si>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</si>
  <si>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</si>
  <si>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</si>
  <si>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</si>
  <si>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</si>
  <si>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</si>
  <si>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</si>
  <si>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</si>
  <si>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</si>
  <si>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</si>
  <si>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</si>
  <si>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</si>
  <si>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</si>
  <si>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</si>
  <si>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山西太原</t>
  </si>
  <si>
    <t>签到背板-嘉宾酒店</t>
  </si>
  <si>
    <t>签到背景板</t>
  </si>
  <si>
    <t>A#007</t>
  </si>
  <si>
    <t>背景板射灯</t>
  </si>
  <si>
    <t>A#237</t>
  </si>
  <si>
    <t>第三方搭建公司制作</t>
  </si>
  <si>
    <t>签到背板-演员酒店</t>
  </si>
  <si>
    <t>定制零食柜</t>
  </si>
  <si>
    <t>地台结构</t>
  </si>
  <si>
    <t>A#096</t>
  </si>
  <si>
    <t>2m*3m长，演员酒店1，嘉宾酒店2，第三方搭建公司制作</t>
  </si>
  <si>
    <t>地台饰面</t>
  </si>
  <si>
    <t>A#092</t>
  </si>
  <si>
    <t>后立面（“结果总会发光”侧）</t>
  </si>
  <si>
    <t>A#002</t>
  </si>
  <si>
    <t>3m长*3m高*2侧，双面，演员酒店1，嘉宾酒店2，第三方搭建公司制作</t>
  </si>
  <si>
    <t>正立面结构（隔扇）</t>
  </si>
  <si>
    <t>A#113</t>
  </si>
  <si>
    <t>上方0.9m*0.28m*8块；下方0.8m*0.28m*8块；两侧3m*0.28m*2块，演员酒店1，嘉宾酒店2，第三方搭建公司制作</t>
  </si>
  <si>
    <t>后立面隔板（“结果总会发光”侧）</t>
  </si>
  <si>
    <t>A#114</t>
  </si>
  <si>
    <t>窗口上方棚子结构</t>
  </si>
  <si>
    <t>投影面积3.8m*0.9m，演员酒店1，嘉宾酒店2，第三方搭建公司制作</t>
  </si>
  <si>
    <t>A#059</t>
  </si>
  <si>
    <t>前后结构连接方钢</t>
  </si>
  <si>
    <t>A#030</t>
  </si>
  <si>
    <t>2m*2根，演员酒店1，嘉宾酒店2，第三方搭建公司制作</t>
  </si>
  <si>
    <t>发光字</t>
  </si>
  <si>
    <t>A#143</t>
  </si>
  <si>
    <t>“结果总会发光”1.6m长，“创作者零食屋”1.2m长，演员酒店1，嘉宾酒店2，第三方搭建公司制作</t>
  </si>
  <si>
    <t>储藏柜</t>
  </si>
  <si>
    <t>A#068</t>
  </si>
  <si>
    <t>演员酒店1，嘉宾酒店2，第三方搭建公司制作</t>
  </si>
  <si>
    <t>室外发光字</t>
  </si>
  <si>
    <t>A#136</t>
  </si>
  <si>
    <t>“2025”1.63m，“红果创作者大会”4.5m，演员酒店1，嘉宾酒店1，第三方搭建公司制作</t>
  </si>
  <si>
    <t>过桥板</t>
  </si>
  <si>
    <t>A#111</t>
  </si>
  <si>
    <t>用于演员酒店发光字，第三方搭建公司制作</t>
  </si>
  <si>
    <t>线材</t>
  </si>
  <si>
    <t>用于酒店发光字，接电较远，第三方搭建公司采购</t>
  </si>
  <si>
    <t>发光字框架结构</t>
  </si>
  <si>
    <t>A#025</t>
  </si>
  <si>
    <t>演员酒店1，嘉宾酒店1，第三方搭建公司制作</t>
  </si>
  <si>
    <t>发光字底座钢板</t>
  </si>
  <si>
    <t>A#032</t>
  </si>
  <si>
    <t>发光字地台</t>
  </si>
  <si>
    <t>道旗</t>
  </si>
  <si>
    <t>A#160</t>
  </si>
  <si>
    <t>道旗运费</t>
  </si>
  <si>
    <t>北京-太原，物流</t>
  </si>
  <si>
    <t>指示牌</t>
  </si>
  <si>
    <t>A#157</t>
  </si>
  <si>
    <t>室外，酒店名称，放置于酒店外，第三方搭建公司制作</t>
  </si>
  <si>
    <t>丽屏展架</t>
  </si>
  <si>
    <t>包含进场、撤场</t>
  </si>
  <si>
    <t>搭建工人</t>
  </si>
  <si>
    <t>C#046</t>
  </si>
  <si>
    <t>搭建美工</t>
  </si>
  <si>
    <t>C#048</t>
  </si>
  <si>
    <t>搭建电工</t>
  </si>
  <si>
    <t>C#049</t>
  </si>
  <si>
    <t>运输车辆</t>
  </si>
  <si>
    <t>A#296</t>
  </si>
  <si>
    <t>车头牌</t>
  </si>
  <si>
    <t/>
  </si>
  <si>
    <t>车头牌A3塑封，300克铜版纸、塑封</t>
  </si>
  <si>
    <t>第三方制作；大巴使用</t>
  </si>
  <si>
    <t>车头牌A4塑封，300克铜版纸、塑封</t>
  </si>
  <si>
    <t>第三方制作；小车使用</t>
  </si>
  <si>
    <t>车号贴</t>
  </si>
  <si>
    <t>静电贴；圆形15cm，含圆形模切</t>
  </si>
  <si>
    <t>第三方制作；演员车辆识别使用</t>
  </si>
  <si>
    <t>接机牌</t>
  </si>
  <si>
    <t>A#116</t>
  </si>
  <si>
    <t>第三方制作；机场16个/南站10个/太原站10个/至尊酒店10个/万达酒店10个</t>
  </si>
  <si>
    <t>氛围布置</t>
  </si>
  <si>
    <t>签到台亚力克雕刻立牌</t>
  </si>
  <si>
    <t>第三方制作；两个签到台</t>
  </si>
  <si>
    <t>房卡套</t>
  </si>
  <si>
    <t>第三方制作；</t>
  </si>
  <si>
    <t>欢迎卡片</t>
  </si>
  <si>
    <t>欢迎小卡</t>
  </si>
  <si>
    <t>茶歇旗</t>
  </si>
  <si>
    <t>logo茶歇旗</t>
  </si>
  <si>
    <t>提示卡</t>
  </si>
  <si>
    <t>餐券</t>
  </si>
  <si>
    <t>房间点餐菜单</t>
  </si>
  <si>
    <t>点餐餐单</t>
  </si>
  <si>
    <t>250g铜版纸纸、双面、对折、四色印刷</t>
  </si>
  <si>
    <t>行程手册</t>
  </si>
  <si>
    <t>300g铜版纸纸、双面、四色印刷</t>
  </si>
  <si>
    <t>三方制作，预留备用</t>
  </si>
  <si>
    <t>名牌卡</t>
  </si>
  <si>
    <t>司机联系方式卡片</t>
  </si>
  <si>
    <t>工作服</t>
  </si>
  <si>
    <t>工作服装</t>
  </si>
  <si>
    <t>伴手礼</t>
  </si>
  <si>
    <t>150g特种纸-硫酸纸，logo烫金，印刷</t>
  </si>
  <si>
    <t>打样费用</t>
  </si>
  <si>
    <t>对讲机租赁</t>
  </si>
  <si>
    <t>B#129</t>
  </si>
  <si>
    <t>打印机租赁</t>
  </si>
  <si>
    <t>A4彩打</t>
  </si>
  <si>
    <t>A#263</t>
  </si>
  <si>
    <t>Onsite 人员</t>
  </si>
  <si>
    <t>项目总监</t>
  </si>
  <si>
    <t>D#001</t>
  </si>
  <si>
    <t>项目经理</t>
  </si>
  <si>
    <t>D#002</t>
  </si>
  <si>
    <t>项目助理</t>
  </si>
  <si>
    <t>D#003</t>
  </si>
  <si>
    <t>现场工作人员（含酒店、会场、车调）</t>
  </si>
  <si>
    <t>D#004</t>
  </si>
  <si>
    <t>高层管家</t>
  </si>
  <si>
    <t>政府侧艺人管家</t>
  </si>
  <si>
    <t>安保</t>
  </si>
  <si>
    <t>K#010</t>
  </si>
  <si>
    <t>K#011</t>
  </si>
  <si>
    <t>艺统</t>
  </si>
  <si>
    <t>艺统负责人</t>
  </si>
  <si>
    <t>间/夜</t>
  </si>
  <si>
    <t>艺统组长</t>
  </si>
  <si>
    <t>艺统组员</t>
  </si>
  <si>
    <t>人员超时费</t>
  </si>
  <si>
    <t>演员机票</t>
  </si>
  <si>
    <t>头等舱机票往返预估</t>
  </si>
  <si>
    <t>往返</t>
  </si>
  <si>
    <t>高铁</t>
  </si>
  <si>
    <t>演员高铁</t>
  </si>
  <si>
    <t>商务座火车往返预估</t>
  </si>
  <si>
    <t>嘉宾机票</t>
  </si>
  <si>
    <t>房间</t>
  </si>
  <si>
    <t>长短剧演员随行+主持人随行房间</t>
  </si>
  <si>
    <t>短剧主创房间</t>
  </si>
  <si>
    <t>媒体嘉宾房间</t>
  </si>
  <si>
    <t>高层房间</t>
  </si>
  <si>
    <t>高层-万达锦华行政套房 含早</t>
  </si>
  <si>
    <t>高层-万达锦华豪华套 含早</t>
  </si>
  <si>
    <t>餐费</t>
  </si>
  <si>
    <t>自助午餐</t>
  </si>
  <si>
    <t>人</t>
  </si>
  <si>
    <t>实报实销</t>
  </si>
  <si>
    <t>【day1-25日】晚餐</t>
  </si>
  <si>
    <t>自助晚餐</t>
  </si>
  <si>
    <t>25日夜宵</t>
  </si>
  <si>
    <t>【day2-26日】午餐</t>
  </si>
  <si>
    <t>【day2-26日】晚餐</t>
  </si>
  <si>
    <t>【day2-26日】高层酒会</t>
  </si>
  <si>
    <t>26日夜宵</t>
  </si>
  <si>
    <t>会议中心茶歇</t>
  </si>
  <si>
    <t>【工作餐】21日午餐</t>
  </si>
  <si>
    <t>盒饭-万达酒店提供</t>
  </si>
  <si>
    <t>【工作餐】21日晚餐</t>
  </si>
  <si>
    <t>【工作餐】22日午餐</t>
  </si>
  <si>
    <t>【工作餐】22日晚餐</t>
  </si>
  <si>
    <t>【工作餐】23日午餐</t>
  </si>
  <si>
    <t>【工作餐】23日晚餐</t>
  </si>
  <si>
    <t>【工作餐】24日午餐</t>
  </si>
  <si>
    <t>盒饭-会议中心提供</t>
  </si>
  <si>
    <t>【工作餐】24日晚餐</t>
  </si>
  <si>
    <t>【工作餐】25日午餐</t>
  </si>
  <si>
    <t>【工作餐】25日晚餐</t>
  </si>
  <si>
    <t>【工作餐】26日午餐</t>
  </si>
  <si>
    <t>【工作餐】26日晚餐</t>
  </si>
  <si>
    <t>【工作餐】27日午餐</t>
  </si>
  <si>
    <t>酒水</t>
  </si>
  <si>
    <t>红酒、起泡酒等</t>
  </si>
  <si>
    <t>小交通</t>
  </si>
  <si>
    <t>G#008</t>
  </si>
  <si>
    <t>G#001</t>
  </si>
  <si>
    <t>机场/车站接送机备车</t>
  </si>
  <si>
    <t>机场高铁接送机/站 大巴摆渡车</t>
  </si>
  <si>
    <t>G#002</t>
  </si>
  <si>
    <t>G#003</t>
  </si>
  <si>
    <t>26日活动摆渡车</t>
  </si>
  <si>
    <t>G#011</t>
  </si>
  <si>
    <t>车辆超时费</t>
  </si>
  <si>
    <t>所有司机提前踩线</t>
  </si>
  <si>
    <t>演员司机预计50个司机踩线</t>
  </si>
  <si>
    <t>保险</t>
  </si>
  <si>
    <t>人员旅游保险30万保额</t>
  </si>
  <si>
    <t>艺人保险</t>
  </si>
  <si>
    <t>人员旅游保险100万保额</t>
  </si>
  <si>
    <t>项目人员大交通</t>
  </si>
  <si>
    <t>康辉侧人员大交通</t>
  </si>
  <si>
    <t>项目人员住宿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</si>
  <si>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</si>
  <si>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</si>
  <si>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</si>
  <si>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106</t>
  </si>
  <si>
    <t>工作人员打车费</t>
  </si>
  <si>
    <t>前期踩点</t>
  </si>
  <si>
    <t>康辉侧人员踩点费用</t>
  </si>
  <si>
    <t>车辆备品</t>
  </si>
  <si>
    <t>车辆备品-湿巾</t>
  </si>
  <si>
    <t>湿纸巾-德宝</t>
  </si>
  <si>
    <t>车辆备品-纸巾</t>
  </si>
  <si>
    <t>干纸巾-德宝</t>
  </si>
  <si>
    <t>车辆备品-零食</t>
  </si>
  <si>
    <t>VIP零食、饮料采买</t>
  </si>
  <si>
    <t>矿泉水</t>
  </si>
  <si>
    <t>房间备品</t>
  </si>
  <si>
    <t>高层房间备品</t>
  </si>
  <si>
    <t>高层房间零食饮料</t>
  </si>
  <si>
    <t>演员房间备品</t>
  </si>
  <si>
    <t>演员房间零食饮料</t>
  </si>
  <si>
    <t>零食区采买</t>
  </si>
  <si>
    <t>酒店零食区物料</t>
  </si>
  <si>
    <t>零食、饮料等</t>
  </si>
  <si>
    <t>演员房间物料</t>
  </si>
  <si>
    <t>房间暖心物料</t>
  </si>
  <si>
    <t>暖手宝</t>
  </si>
  <si>
    <t>毛毯</t>
  </si>
  <si>
    <t>活动备品</t>
  </si>
  <si>
    <t>充电宝</t>
  </si>
  <si>
    <t>活动备用充电宝</t>
  </si>
  <si>
    <t>现场备品</t>
  </si>
  <si>
    <t>现场备品-雨伞</t>
  </si>
  <si>
    <t>黑色雨伞</t>
  </si>
  <si>
    <t>现场备品-应急用品</t>
  </si>
  <si>
    <t>应急用品-碘伏、创可贴、药品、跌打损伤、感冒药等</t>
  </si>
  <si>
    <t>第三方采买，万达酒店签到台3个+至尊酒店签到台2个</t>
  </si>
  <si>
    <t>快递费</t>
  </si>
  <si>
    <t>快递费预估</t>
  </si>
  <si>
    <t>场地租赁</t>
  </si>
  <si>
    <t>潇河会议中心</t>
  </si>
  <si>
    <t>M#006</t>
  </si>
  <si>
    <t>含税金额的服务费</t>
  </si>
  <si>
    <t>税费</t>
  </si>
  <si>
    <t>M#007</t>
  </si>
  <si>
    <t>M#005</t>
  </si>
  <si>
    <t>M#004</t>
  </si>
  <si>
    <t>不含税内容金额的服务费</t>
  </si>
  <si>
    <t>M#012</t>
  </si>
  <si>
    <t>不含税内容金额的服务费的，税费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</si>
  <si>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</si>
  <si>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</si>
  <si>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</si>
  <si>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</si>
  <si>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</si>
  <si>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</si>
  <si>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</si>
  <si>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</si>
  <si>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</si>
  <si>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</si>
  <si>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</si>
  <si>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</si>
  <si>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A#003</t>
  </si>
  <si>
    <t>A#004</t>
  </si>
  <si>
    <t>A#005</t>
  </si>
  <si>
    <t>A#006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</si>
  <si>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</si>
  <si>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</si>
  <si>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</si>
  <si>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</si>
  <si>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</si>
  <si>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</si>
  <si>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</si>
  <si>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</si>
  <si>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</si>
  <si>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</si>
  <si>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</si>
  <si>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</si>
  <si>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</si>
  <si>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</si>
  <si>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</si>
  <si>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</si>
  <si>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</si>
  <si>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A#026</t>
  </si>
  <si>
    <t>A#027</t>
  </si>
  <si>
    <t>A#028</t>
  </si>
  <si>
    <t>A#029</t>
  </si>
  <si>
    <t>A#031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</si>
  <si>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</si>
  <si>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</si>
  <si>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</si>
  <si>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</si>
  <si>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</si>
  <si>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</si>
  <si>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</si>
  <si>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</si>
  <si>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</si>
  <si>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</si>
  <si>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</si>
  <si>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</si>
  <si>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</si>
  <si>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</si>
  <si>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</si>
  <si>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</si>
  <si>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</si>
  <si>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</si>
  <si>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</si>
  <si>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</si>
  <si>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</si>
  <si>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</si>
  <si>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</si>
  <si>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</si>
  <si>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</si>
  <si>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</si>
  <si>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</si>
  <si>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</si>
  <si>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</si>
  <si>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</si>
  <si>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</si>
  <si>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</si>
  <si>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</si>
  <si>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</si>
  <si>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</si>
  <si>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</si>
  <si>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</si>
  <si>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</si>
  <si>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</si>
  <si>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</si>
  <si>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</si>
  <si>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</si>
  <si>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</si>
  <si>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</si>
  <si>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</si>
  <si>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</si>
  <si>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</si>
  <si>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</si>
  <si>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</si>
  <si>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</si>
  <si>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</si>
  <si>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</si>
  <si>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</si>
  <si>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</si>
  <si>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</si>
  <si>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</si>
  <si>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</si>
  <si>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A#093</t>
  </si>
  <si>
    <t>A#094</t>
  </si>
  <si>
    <t>A#095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</si>
  <si>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</si>
  <si>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</si>
  <si>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</si>
  <si>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</si>
  <si>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</si>
  <si>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</si>
  <si>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</si>
  <si>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</si>
  <si>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</si>
  <si>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</si>
  <si>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A#112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</si>
  <si>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</si>
  <si>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</si>
  <si>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</si>
  <si>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</si>
  <si>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</si>
  <si>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</si>
  <si>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</si>
  <si>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</si>
  <si>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</si>
  <si>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</si>
  <si>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</si>
  <si>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</si>
  <si>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</si>
  <si>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</si>
  <si>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</si>
  <si>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</si>
  <si>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</si>
  <si>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</si>
  <si>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</si>
  <si>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</si>
  <si>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A#137</t>
  </si>
  <si>
    <t>A#138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</si>
  <si>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</si>
  <si>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</si>
  <si>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</si>
  <si>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</si>
  <si>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</si>
  <si>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</si>
  <si>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</si>
  <si>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</si>
  <si>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</si>
  <si>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</si>
  <si>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</si>
  <si>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</si>
  <si>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</si>
  <si>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A#158</t>
  </si>
  <si>
    <t>A#159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</si>
  <si>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</si>
  <si>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</si>
  <si>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</si>
  <si>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</si>
  <si>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</si>
  <si>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</si>
  <si>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</si>
  <si>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</si>
  <si>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</si>
  <si>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</si>
  <si>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</si>
  <si>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</si>
  <si>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</si>
  <si>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</si>
  <si>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</si>
  <si>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</si>
  <si>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</si>
  <si>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</si>
  <si>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</si>
  <si>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</si>
  <si>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</si>
  <si>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</si>
  <si>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</si>
  <si>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</si>
  <si>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</si>
  <si>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</si>
  <si>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</si>
  <si>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</si>
  <si>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</si>
  <si>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</si>
  <si>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</si>
  <si>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</si>
  <si>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</si>
  <si>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</si>
  <si>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</si>
  <si>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</si>
  <si>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</si>
  <si>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</si>
  <si>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</si>
  <si>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</si>
  <si>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</si>
  <si>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</si>
  <si>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</si>
  <si>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</si>
  <si>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</si>
  <si>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</si>
  <si>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</si>
  <si>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</si>
  <si>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</si>
  <si>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</si>
  <si>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</si>
  <si>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</si>
  <si>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</si>
  <si>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</si>
  <si>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</si>
  <si>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</si>
  <si>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</si>
  <si>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</si>
  <si>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</si>
  <si>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</si>
  <si>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</si>
  <si>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</si>
  <si>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</si>
  <si>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</si>
  <si>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</si>
  <si>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</si>
  <si>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</si>
  <si>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</si>
  <si>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</si>
  <si>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</si>
  <si>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</si>
  <si>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</si>
  <si>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</si>
  <si>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</si>
  <si>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</si>
  <si>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</si>
  <si>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</si>
  <si>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</si>
  <si>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</si>
  <si>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</si>
  <si>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</si>
  <si>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</si>
  <si>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</si>
  <si>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</si>
  <si>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</si>
  <si>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</si>
  <si>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</si>
  <si>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</si>
  <si>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</si>
  <si>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</si>
  <si>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</si>
  <si>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</si>
  <si>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</si>
  <si>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</si>
  <si>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</si>
  <si>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</si>
  <si>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</si>
  <si>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</si>
  <si>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</si>
  <si>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</si>
  <si>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</si>
  <si>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</si>
  <si>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</si>
  <si>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</si>
  <si>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</si>
  <si>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</si>
  <si>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</si>
  <si>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</si>
  <si>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</si>
  <si>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</si>
  <si>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</si>
  <si>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</si>
  <si>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</si>
  <si>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</si>
  <si>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A#280</t>
  </si>
  <si>
    <t>A#281</t>
  </si>
  <si>
    <t>A#282</t>
  </si>
  <si>
    <t>A#283</t>
  </si>
  <si>
    <t>A#295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</si>
  <si>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</si>
  <si>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</si>
  <si>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</si>
  <si>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</si>
  <si>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</si>
  <si>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</si>
  <si>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</si>
  <si>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</si>
  <si>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</si>
  <si>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</si>
  <si>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</si>
  <si>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</si>
  <si>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</si>
  <si>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</si>
  <si>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</si>
  <si>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</si>
  <si>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</si>
  <si>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</si>
  <si>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</si>
  <si>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</si>
  <si>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</si>
  <si>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</si>
  <si>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</si>
  <si>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</si>
  <si>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</si>
  <si>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</si>
  <si>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</si>
  <si>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</si>
  <si>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</si>
  <si>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</si>
  <si>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</si>
  <si>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</si>
  <si>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</si>
  <si>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</si>
  <si>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</si>
  <si>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</si>
  <si>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</si>
  <si>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</si>
  <si>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</si>
  <si>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</si>
  <si>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</si>
  <si>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</si>
  <si>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</si>
  <si>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</si>
  <si>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</si>
  <si>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</si>
  <si>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</si>
  <si>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</si>
  <si>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</si>
  <si>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</si>
  <si>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</si>
  <si>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</si>
  <si>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</si>
  <si>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</si>
  <si>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</si>
  <si>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</si>
  <si>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</si>
  <si>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</si>
  <si>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</si>
  <si>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</si>
  <si>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</si>
  <si>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</si>
  <si>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</si>
  <si>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</si>
  <si>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</si>
  <si>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</si>
  <si>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</si>
  <si>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</si>
  <si>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</si>
  <si>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</si>
  <si>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</si>
  <si>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</si>
  <si>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</si>
  <si>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</si>
  <si>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</si>
  <si>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</si>
  <si>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</si>
  <si>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</si>
  <si>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</si>
  <si>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</si>
  <si>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</si>
  <si>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</si>
  <si>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</si>
  <si>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</si>
  <si>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</si>
  <si>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</si>
  <si>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</si>
  <si>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</si>
  <si>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</si>
  <si>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</si>
  <si>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</si>
  <si>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</si>
  <si>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</si>
  <si>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</si>
  <si>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</si>
  <si>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</si>
  <si>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</si>
  <si>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</si>
  <si>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</si>
  <si>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</si>
  <si>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</si>
  <si>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</si>
  <si>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</si>
  <si>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</si>
  <si>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</si>
  <si>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</si>
  <si>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</si>
  <si>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</si>
  <si>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</si>
  <si>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</si>
  <si>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</si>
  <si>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</si>
  <si>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</si>
  <si>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</si>
  <si>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</si>
  <si>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</si>
  <si>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</si>
  <si>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</si>
  <si>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</si>
  <si>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</si>
  <si>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</si>
  <si>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</si>
  <si>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</si>
  <si>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</si>
  <si>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</si>
  <si>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</si>
  <si>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</si>
  <si>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</si>
  <si>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</si>
  <si>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</si>
  <si>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</si>
  <si>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</si>
  <si>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</si>
  <si>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</si>
  <si>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</si>
  <si>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</si>
  <si>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</si>
  <si>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</si>
  <si>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</si>
  <si>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</si>
  <si>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</si>
  <si>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</si>
  <si>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</si>
  <si>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</si>
  <si>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</si>
  <si>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</si>
  <si>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</si>
  <si>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</si>
  <si>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</si>
  <si>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</si>
  <si>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</si>
  <si>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</si>
  <si>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</si>
  <si>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</si>
  <si>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</si>
  <si>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</si>
  <si>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</si>
  <si>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</si>
  <si>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</si>
  <si>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</si>
  <si>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</si>
  <si>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</si>
  <si>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</si>
  <si>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</si>
  <si>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</si>
  <si>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</si>
  <si>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</si>
  <si>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</si>
  <si>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</si>
  <si>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</si>
  <si>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</si>
  <si>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</si>
  <si>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</si>
  <si>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</si>
  <si>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</si>
  <si>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</si>
  <si>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</si>
  <si>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</si>
  <si>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</si>
  <si>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</si>
  <si>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</si>
  <si>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</si>
  <si>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</si>
  <si>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</si>
  <si>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</si>
  <si>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</si>
  <si>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</si>
  <si>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</si>
  <si>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</si>
  <si>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</si>
  <si>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</si>
  <si>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</si>
  <si>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</si>
  <si>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</si>
  <si>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</si>
  <si>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</si>
  <si>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</si>
  <si>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</si>
  <si>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</si>
  <si>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</si>
  <si>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</si>
  <si>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</si>
  <si>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</si>
  <si>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</si>
  <si>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</si>
  <si>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</si>
  <si>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</si>
  <si>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</si>
  <si>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</si>
  <si>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</si>
  <si>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</si>
  <si>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</si>
  <si>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</si>
  <si>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</si>
  <si>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</si>
  <si>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</si>
  <si>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</si>
  <si>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</si>
  <si>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</si>
  <si>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</si>
  <si>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</si>
  <si>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</si>
  <si>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C#051</t>
  </si>
  <si>
    <t>C#052</t>
  </si>
  <si>
    <t>C#053</t>
  </si>
  <si>
    <t>C#054</t>
  </si>
  <si>
    <t>C#055</t>
  </si>
  <si>
    <t>D#005</t>
  </si>
  <si>
    <t>D#006</t>
  </si>
  <si>
    <t>D#007</t>
  </si>
  <si>
    <t>D#008</t>
  </si>
  <si>
    <t>E#109</t>
  </si>
  <si>
    <t>E#122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</si>
  <si>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</si>
  <si>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</si>
  <si>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</si>
  <si>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</si>
  <si>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</si>
  <si>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</si>
  <si>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</si>
  <si>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</si>
  <si>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G#015</t>
  </si>
  <si>
    <t>G#016</t>
  </si>
  <si>
    <t>K#009</t>
  </si>
  <si>
    <t>K#012</t>
  </si>
  <si>
    <t>K#013</t>
  </si>
  <si>
    <t>K#014</t>
  </si>
  <si>
    <t>M#008</t>
  </si>
  <si>
    <t>M#010</t>
  </si>
  <si>
    <t>M#011</t>
  </si>
  <si>
    <t>M#013</t>
  </si>
  <si>
    <t>#N/A</t>
  </si>
  <si>
    <t>*报价数量
（一）</t>
    <phoneticPr fontId="41" type="noConversion"/>
  </si>
  <si>
    <t>三方制作，预留备用10张</t>
    <phoneticPr fontId="41" type="noConversion"/>
  </si>
  <si>
    <t>出场费</t>
    <phoneticPr fontId="41" type="noConversion"/>
  </si>
  <si>
    <t>刘天池老师</t>
    <phoneticPr fontId="41" type="noConversion"/>
  </si>
  <si>
    <t>饶雪漫老师</t>
    <phoneticPr fontId="41" type="noConversion"/>
  </si>
  <si>
    <t>有票代垫付</t>
    <phoneticPr fontId="41" type="noConversion"/>
  </si>
  <si>
    <t>已走敏捷流审批</t>
    <phoneticPr fontId="41" type="noConversion"/>
  </si>
  <si>
    <t>其他垫付类</t>
    <phoneticPr fontId="41" type="noConversion"/>
  </si>
  <si>
    <t>姜伟老师</t>
    <phoneticPr fontId="41" type="noConversion"/>
  </si>
  <si>
    <t>无票代垫付</t>
    <phoneticPr fontId="41" type="noConversion"/>
  </si>
  <si>
    <t>其他代垫付小计</t>
    <phoneticPr fontId="41" type="noConversion"/>
  </si>
  <si>
    <t>M#003</t>
    <phoneticPr fontId="41" type="noConversion"/>
  </si>
  <si>
    <t>实际未使用；活动公司统一采买</t>
    <phoneticPr fontId="41" type="noConversion"/>
  </si>
  <si>
    <t>0.2cm*2.7m*4层，演员酒店1，嘉宾酒店2，第三方搭建公司制作；监理核算按3层结算0.2*2.7*3层</t>
    <phoneticPr fontId="41" type="noConversion"/>
  </si>
  <si>
    <t>“结果总会发光”，演员酒店1，嘉宾酒店1，第三方搭建公司制作；监理核算按2.25m/个结算</t>
    <phoneticPr fontId="41" type="noConversion"/>
  </si>
  <si>
    <t>政府赞助安保
机场10人/南站10人太原站4人+酒店地下车场10人+大堂10人+楼层巡逻50人三班倒</t>
    <phoneticPr fontId="41" type="noConversion"/>
  </si>
  <si>
    <t>铁马</t>
    <phoneticPr fontId="41" type="noConversion"/>
  </si>
  <si>
    <t>租赁</t>
    <phoneticPr fontId="41" type="noConversion"/>
  </si>
  <si>
    <t>A#279</t>
    <phoneticPr fontId="41" type="noConversion"/>
  </si>
  <si>
    <t>打印机租赁；</t>
    <phoneticPr fontId="41" type="noConversion"/>
  </si>
  <si>
    <t>铁马租赁；11.22-27日6天；至尊酒店B1层停车场电梯间围挡</t>
    <phoneticPr fontId="41" type="noConversion"/>
  </si>
  <si>
    <t>22日晚安装铁马/27日下午撤走铁马</t>
    <phoneticPr fontId="41" type="noConversion"/>
  </si>
  <si>
    <t>A#296</t>
    <phoneticPr fontId="41" type="noConversion"/>
  </si>
  <si>
    <t>包含进场、撤场</t>
    <phoneticPr fontId="41" type="noConversion"/>
  </si>
  <si>
    <t>淘宝采买
【淘宝】大促价保 https://e.tb.cn/h.SnYe7glzqos2do4?tk=i883fUzOYjx HU591 「拷贝链接」
点击链接直接打开 或者 淘宝搜索直接打开</t>
    <phoneticPr fontId="41" type="noConversion"/>
  </si>
  <si>
    <t>BRUNO磁吸防水创意音箱</t>
    <phoneticPr fontId="41" type="noConversion"/>
  </si>
  <si>
    <t>原价209，团队价178元，约85折；【淘宝】假一赔四 https://e.tb.cn/h.SnYWy9J3kIbAY5a?tk=EXnjfUzPoz8 HU287 「拷贝链接」
点击链接直接打开 或者 淘宝搜索直接打开</t>
    <phoneticPr fontId="41" type="noConversion"/>
  </si>
  <si>
    <t>初照复古仿真双反数码相机</t>
    <phoneticPr fontId="41" type="noConversion"/>
  </si>
  <si>
    <t>原价219元，团队价180元，约82折；【淘宝】7天无理由退货 https://e.tb.cn/h.SAFr04XtwxNFugm?tk=v5IKfqVYinH CZ225 「拷贝链接」
点击链接直接打开 或者 淘宝搜索直接打开</t>
    <phoneticPr fontId="41" type="noConversion"/>
  </si>
  <si>
    <t>番茄罐头植物；需要单独购买茶叶罐，单独定制外包装，铜版纸背胶覆哑光膜，带备用种子，带营养种植土</t>
    <phoneticPr fontId="41" type="noConversion"/>
  </si>
  <si>
    <t>据实结算</t>
    <phoneticPr fontId="41" type="noConversion"/>
  </si>
  <si>
    <t>对讲机租赁运费</t>
    <phoneticPr fontId="41" type="noConversion"/>
  </si>
  <si>
    <t>项</t>
    <phoneticPr fontId="41" type="noConversion"/>
  </si>
  <si>
    <t>打印机租赁；25-26日发车使用</t>
    <phoneticPr fontId="41" type="noConversion"/>
  </si>
  <si>
    <t>打印机租赁往返顺丰快递195元税前</t>
    <phoneticPr fontId="41" type="noConversion"/>
  </si>
  <si>
    <t>7m长*4m高，侧边0.6m宽，嘉宾酒店，双面；第三方搭建公司制作</t>
    <phoneticPr fontId="41" type="noConversion"/>
  </si>
  <si>
    <t>7m长*4m高，侧边0.4m宽，演员酒店，单面；第三方搭建公司制作</t>
    <phoneticPr fontId="41" type="noConversion"/>
  </si>
  <si>
    <t>指引T板</t>
    <phoneticPr fontId="41" type="noConversion"/>
  </si>
  <si>
    <t>搭建制作-制作-指引-注水道旗-高度3米，加强铝合金旗杆，5级以上抗风性，双面画面旗帜布120cmx380cm（含30升以上升注水量配重支撑）</t>
    <phoneticPr fontId="41" type="noConversion"/>
  </si>
  <si>
    <t>搭建制作-制作-指引-注水道旗-高度5米，加强铝合金旗杆，5级以上抗风性，双面画面旗帜布120cmx380cm（含30升以上升注水量配重支撑）</t>
    <phoneticPr fontId="41" type="noConversion"/>
  </si>
  <si>
    <t>包含进场23日14人、撤场27日6人；25日安装道旗2人</t>
    <phoneticPr fontId="41" type="noConversion"/>
  </si>
  <si>
    <t>进场</t>
    <phoneticPr fontId="41" type="noConversion"/>
  </si>
  <si>
    <t>包含进场、撤场</t>
    <phoneticPr fontId="41" type="noConversion"/>
  </si>
  <si>
    <t>车头牌</t>
    <phoneticPr fontId="41" type="noConversion"/>
  </si>
  <si>
    <t>房卡套定制，250克铜版纸 、覆哑膜、模切、粘；14.5*10.5cm+兜6.6*4.4cm</t>
    <phoneticPr fontId="41" type="noConversion"/>
  </si>
  <si>
    <t>亚克力异形雕刻+开模；60cm等比logo牌；10mm厚透明亚克力、UV画面 底座20mm厚透明亚克力 铣槽</t>
    <phoneticPr fontId="41" type="noConversion"/>
  </si>
  <si>
    <t>200g采石纹双面</t>
    <phoneticPr fontId="41" type="noConversion"/>
  </si>
  <si>
    <t>logo茶歇旗-200g铜版纸；双面带牙签</t>
    <phoneticPr fontId="41" type="noConversion"/>
  </si>
  <si>
    <t>A3立牌，250g铜版纸；双面</t>
    <phoneticPr fontId="41" type="noConversion"/>
  </si>
  <si>
    <t>用餐提醒</t>
    <phoneticPr fontId="41" type="noConversion"/>
  </si>
  <si>
    <t>餐券定制副券压线；300g采石纹特种纸；12*4cm；双面</t>
    <phoneticPr fontId="41" type="noConversion"/>
  </si>
  <si>
    <t>300g采石纹特种纸；6*4cm；双面</t>
    <phoneticPr fontId="41" type="noConversion"/>
  </si>
  <si>
    <t>9*6cm 300g超感纸；双面</t>
    <phoneticPr fontId="41" type="noConversion"/>
  </si>
  <si>
    <t>第三方制作；用餐提示卡3张；</t>
    <phoneticPr fontId="41" type="noConversion"/>
  </si>
  <si>
    <t>第三方制作；媒体、内部嘉宾、参会嘉宾共6张</t>
    <phoneticPr fontId="41" type="noConversion"/>
  </si>
  <si>
    <t>一米栏柱头牌（媒体、内部嘉宾、参会嘉宾）</t>
    <phoneticPr fontId="41" type="noConversion"/>
  </si>
  <si>
    <t>电梯贴</t>
    <phoneticPr fontId="41" type="noConversion"/>
  </si>
  <si>
    <t>圆形提示贴纸</t>
    <phoneticPr fontId="41" type="noConversion"/>
  </si>
  <si>
    <t>3cm直径；不干胶、覆膜、模切</t>
    <phoneticPr fontId="41" type="noConversion"/>
  </si>
  <si>
    <t>三方制作，预留备用；预留300份由会议中心发放使用</t>
    <phoneticPr fontId="41" type="noConversion"/>
  </si>
  <si>
    <t>定制logo；420g厚线圈不加绒 纯棉</t>
    <phoneticPr fontId="41" type="noConversion"/>
  </si>
  <si>
    <t>定制种子纸</t>
    <phoneticPr fontId="41" type="noConversion"/>
  </si>
  <si>
    <t>透卡相框</t>
    <phoneticPr fontId="41" type="noConversion"/>
  </si>
  <si>
    <t>硫酸纸</t>
    <phoneticPr fontId="41" type="noConversion"/>
  </si>
  <si>
    <t>番茄种字纸，300g特种纸；压印</t>
    <phoneticPr fontId="41" type="noConversion"/>
  </si>
  <si>
    <t>200g特种纸两张对裱+菲林胶片印字；异形</t>
    <phoneticPr fontId="41" type="noConversion"/>
  </si>
  <si>
    <t>正面红果logo、背面icon画面；增加志愿者负责数量；含顺丰邮寄</t>
    <phoneticPr fontId="41" type="noConversion"/>
  </si>
  <si>
    <t>铁马运输车辆</t>
    <phoneticPr fontId="41" type="noConversion"/>
  </si>
  <si>
    <t>铁马搭建工人</t>
    <phoneticPr fontId="41" type="noConversion"/>
  </si>
  <si>
    <t>番茄罐头植物；打样费用</t>
    <phoneticPr fontId="41" type="noConversion"/>
  </si>
  <si>
    <t>罐子打样开模费，300元税前</t>
    <phoneticPr fontId="41" type="noConversion"/>
  </si>
  <si>
    <t>会议中心提供：24日120份（60+60）/25日475份（210+265）/26日945份（490+455）/
27日254份</t>
    <phoneticPr fontId="41" type="noConversion"/>
  </si>
  <si>
    <t>【志愿者、安保、公安、政府司机第三方盒餐】</t>
    <phoneticPr fontId="41" type="noConversion"/>
  </si>
  <si>
    <t>午餐、晚餐 盒饭-会议中心提供</t>
    <phoneticPr fontId="41" type="noConversion"/>
  </si>
  <si>
    <t>会议中心提供</t>
  </si>
  <si>
    <t>会议中心提供</t>
    <phoneticPr fontId="41" type="noConversion"/>
  </si>
  <si>
    <t>会议中心提供；已减掉独立PR-传播12份</t>
    <phoneticPr fontId="41" type="noConversion"/>
  </si>
  <si>
    <t>会议中心提供；已减掉独立PR-传播15份</t>
    <phoneticPr fontId="41" type="noConversion"/>
  </si>
  <si>
    <t>会议中心提供；已减掉独立PR-传播56份</t>
    <phoneticPr fontId="41" type="noConversion"/>
  </si>
  <si>
    <t>【day1-25日】晚餐</t>
    <phoneticPr fontId="41" type="noConversion"/>
  </si>
  <si>
    <t>【day1-11.25日】欢迎party晚餐</t>
    <phoneticPr fontId="41" type="noConversion"/>
  </si>
  <si>
    <t>【day2-11.26日】party冷餐会</t>
    <phoneticPr fontId="41" type="noConversion"/>
  </si>
  <si>
    <t>【day3-11.27日】自助午餐</t>
    <phoneticPr fontId="41" type="noConversion"/>
  </si>
  <si>
    <t>【11月26-27日】会场内茶歇</t>
    <phoneticPr fontId="41" type="noConversion"/>
  </si>
  <si>
    <t>party冷餐会</t>
    <phoneticPr fontId="41" type="noConversion"/>
  </si>
  <si>
    <t>【day2-11.26日】会场内彩排商务套餐</t>
    <phoneticPr fontId="41" type="noConversion"/>
  </si>
  <si>
    <t>演员团队、颁奖嘉宾团队、演讲嘉宾、高层等于会场彩排商务套餐</t>
    <phoneticPr fontId="41" type="noConversion"/>
  </si>
  <si>
    <t>会议中心提供：26日600份（200+400），27日300份</t>
    <phoneticPr fontId="41" type="noConversion"/>
  </si>
  <si>
    <t>会议中心提供；由于接下来政府会议封闭酒店，原定由酒店安排自助餐改为于会议中心用餐
已减掉独立pr-媒体1人用餐、研究院2人用餐</t>
    <phoneticPr fontId="41" type="noConversion"/>
  </si>
  <si>
    <t>会议中心场租；</t>
    <phoneticPr fontId="41" type="noConversion"/>
  </si>
  <si>
    <t>11.21-28日酒店对接；至尊酒店1人+万达酒店2人
马洁21-28日/曹园22-28日/张紫祎21-28日；共23人次</t>
    <phoneticPr fontId="41" type="noConversion"/>
  </si>
  <si>
    <t>11.21-28日全程跟进、嘉宾接待
杨苗苗21-27日/王凤雨21-28日/侯莹24-28日；共20人次</t>
    <phoneticPr fontId="41" type="noConversion"/>
  </si>
  <si>
    <t>政府侧艺人专人对接信息、接待-取消</t>
    <phoneticPr fontId="41" type="noConversion"/>
  </si>
  <si>
    <t>政府赞助兼职指引人员；提前对接跟进
高郅前期跟进志愿者数量需求与志愿者接送用餐等对接</t>
    <phoneticPr fontId="41" type="noConversion"/>
  </si>
  <si>
    <t>11.21-28日餐饮、物料、采买、指引等
张若晗21-28日/张靓芳21-28日/李腾瀚21-28日/陈曦22-28日；共31人次</t>
    <phoneticPr fontId="41" type="noConversion"/>
  </si>
  <si>
    <t>政府赞助接驳车辆，车辆统筹人员；提前对接跟进
王靖楠前期政府沟通会，协助协调车辆部分；共20人天含现场22-28日</t>
    <phoneticPr fontId="41" type="noConversion"/>
  </si>
  <si>
    <t>随行-温德姆至尊酒店 双床房 含双早</t>
    <phoneticPr fontId="41" type="noConversion"/>
  </si>
  <si>
    <t>至尊酒店：23日高层提前入住一晚，实际住宿大床房</t>
    <phoneticPr fontId="41" type="noConversion"/>
  </si>
  <si>
    <t>温德姆至尊酒店 大床房 含单早</t>
    <phoneticPr fontId="41" type="noConversion"/>
  </si>
  <si>
    <t>温德姆至尊酒店 豪华套房房 含单早</t>
    <phoneticPr fontId="41" type="noConversion"/>
  </si>
  <si>
    <t>温德姆至尊-至尊套房 含早</t>
    <phoneticPr fontId="41" type="noConversion"/>
  </si>
  <si>
    <t>长短剧演员房间</t>
    <phoneticPr fontId="41" type="noConversion"/>
  </si>
  <si>
    <t>至尊酒店：25日56间+26日77间；共133间夜</t>
    <phoneticPr fontId="41" type="noConversion"/>
  </si>
  <si>
    <t>至尊酒店：24日3间+25日119间+26日149间；共271间夜</t>
    <phoneticPr fontId="41" type="noConversion"/>
  </si>
  <si>
    <t>至尊酒店：24日1间+25日29间+26日29间；共59间夜</t>
    <phoneticPr fontId="41" type="noConversion"/>
  </si>
  <si>
    <t>房间杂费</t>
    <phoneticPr fontId="41" type="noConversion"/>
  </si>
  <si>
    <t>演员房间打碎复古花瓶</t>
    <phoneticPr fontId="41" type="noConversion"/>
  </si>
  <si>
    <t>项</t>
    <phoneticPr fontId="41" type="noConversion"/>
  </si>
  <si>
    <t>至尊酒店：演员房间杂费</t>
    <phoneticPr fontId="41" type="noConversion"/>
  </si>
  <si>
    <t>至尊酒店：446元+168元</t>
    <phoneticPr fontId="41" type="noConversion"/>
  </si>
  <si>
    <t>【day1-25日】房间点餐</t>
    <phoneticPr fontId="41" type="noConversion"/>
  </si>
  <si>
    <t>【day1-25日】商务宴请</t>
    <phoneticPr fontId="41" type="noConversion"/>
  </si>
  <si>
    <t>至尊酒店：3位*320元</t>
    <phoneticPr fontId="41" type="noConversion"/>
  </si>
  <si>
    <t>25日高层房间点餐</t>
    <phoneticPr fontId="41" type="noConversion"/>
  </si>
  <si>
    <t>25日演员房间送餐</t>
    <phoneticPr fontId="41" type="noConversion"/>
  </si>
  <si>
    <t>25日自助晚餐</t>
    <phoneticPr fontId="41" type="noConversion"/>
  </si>
  <si>
    <t>25日夜宵</t>
    <phoneticPr fontId="41" type="noConversion"/>
  </si>
  <si>
    <t>至尊酒店</t>
    <phoneticPr fontId="41" type="noConversion"/>
  </si>
  <si>
    <t>26日自助午餐</t>
    <phoneticPr fontId="41" type="noConversion"/>
  </si>
  <si>
    <t>26日自助晚餐</t>
    <phoneticPr fontId="41" type="noConversion"/>
  </si>
  <si>
    <t>【day2-26日】商务宴请</t>
    <phoneticPr fontId="41" type="noConversion"/>
  </si>
  <si>
    <t>【day2-26日】房间点餐</t>
    <phoneticPr fontId="41" type="noConversion"/>
  </si>
  <si>
    <t>25日中午包间</t>
    <phoneticPr fontId="41" type="noConversion"/>
  </si>
  <si>
    <t>26日中午包间</t>
    <phoneticPr fontId="41" type="noConversion"/>
  </si>
  <si>
    <t xml:space="preserve">至尊酒店：320元*7位 +168元一壶茉莉花茶   </t>
    <phoneticPr fontId="41" type="noConversion"/>
  </si>
  <si>
    <t>至尊酒店：房间31份</t>
    <phoneticPr fontId="41" type="noConversion"/>
  </si>
  <si>
    <t>至尊酒店：午餐146份</t>
    <phoneticPr fontId="41" type="noConversion"/>
  </si>
  <si>
    <t>【day3-27日】房间点餐</t>
    <phoneticPr fontId="41" type="noConversion"/>
  </si>
  <si>
    <t>26日房间午餐送餐</t>
    <phoneticPr fontId="41" type="noConversion"/>
  </si>
  <si>
    <t>26日房间晚餐送餐</t>
    <phoneticPr fontId="41" type="noConversion"/>
  </si>
  <si>
    <t>【day2-26日】晚餐</t>
    <phoneticPr fontId="41" type="noConversion"/>
  </si>
  <si>
    <t>26日夜宵</t>
    <phoneticPr fontId="41" type="noConversion"/>
  </si>
  <si>
    <t>【day2-26日】午餐</t>
    <phoneticPr fontId="41" type="noConversion"/>
  </si>
  <si>
    <t>至尊酒店：晚餐70份</t>
    <phoneticPr fontId="41" type="noConversion"/>
  </si>
  <si>
    <t>房间果盘</t>
    <phoneticPr fontId="41" type="noConversion"/>
  </si>
  <si>
    <t>果盘</t>
    <phoneticPr fontId="41" type="noConversion"/>
  </si>
  <si>
    <t>至尊酒店：午餐42份</t>
    <phoneticPr fontId="41" type="noConversion"/>
  </si>
  <si>
    <t>27日房间午餐送餐</t>
    <phoneticPr fontId="41" type="noConversion"/>
  </si>
  <si>
    <t>康辉侧人员住宿 11.21-11.28：大床</t>
    <phoneticPr fontId="41" type="noConversion"/>
  </si>
  <si>
    <t>康辉侧人员住宿 11.21-11.28：标间</t>
    <phoneticPr fontId="41" type="noConversion"/>
  </si>
  <si>
    <t>实报实销，康辉工作人员/当地工作人员住宿
万达锦华大床15间夜</t>
    <phoneticPr fontId="41" type="noConversion"/>
  </si>
  <si>
    <t>实报实销，康辉工作人员/当地工作人员住宿
万达锦华标间58间夜+拉昆塔温德姆标间6间夜</t>
    <phoneticPr fontId="41" type="noConversion"/>
  </si>
  <si>
    <t>实际未使用</t>
    <phoneticPr fontId="41" type="noConversion"/>
  </si>
  <si>
    <t>长短剧演员随行+主持人房间+行业嘉宾</t>
    <phoneticPr fontId="41" type="noConversion"/>
  </si>
  <si>
    <t>万达锦华酒店：大床24日1间夜+25日239间夜+26日252间夜</t>
    <phoneticPr fontId="41" type="noConversion"/>
  </si>
  <si>
    <t>万达锦华酒店：标间24日1间夜+25日24间夜+26日24间夜</t>
    <phoneticPr fontId="41" type="noConversion"/>
  </si>
  <si>
    <t>短剧主创-万达锦华标间 含双早
短剧主创+商业化</t>
    <phoneticPr fontId="41" type="noConversion"/>
  </si>
  <si>
    <t>短剧主创-万达锦华大床房 含单早
短剧主创+商业化</t>
    <phoneticPr fontId="41" type="noConversion"/>
  </si>
  <si>
    <t>媒体-拉昆塔温德姆-大床 含单早</t>
    <phoneticPr fontId="41" type="noConversion"/>
  </si>
  <si>
    <t>媒体-拉昆塔温德姆-标间 含双早</t>
    <phoneticPr fontId="41" type="noConversion"/>
  </si>
  <si>
    <t>拉昆塔温德姆酒店：标间1间住宿2晚</t>
    <phoneticPr fontId="41" type="noConversion"/>
  </si>
  <si>
    <t>拉昆塔温德姆酒店：大床25日39间夜+26日48间夜</t>
    <phoneticPr fontId="41" type="noConversion"/>
  </si>
  <si>
    <t>万达酒店提供</t>
    <phoneticPr fontId="41" type="noConversion"/>
  </si>
  <si>
    <t>【day1-25日】午餐</t>
    <phoneticPr fontId="41" type="noConversion"/>
  </si>
  <si>
    <t>万达酒店提供；部分嘉宾午餐</t>
    <phoneticPr fontId="41" type="noConversion"/>
  </si>
  <si>
    <t>万达酒店提供；</t>
    <phoneticPr fontId="41" type="noConversion"/>
  </si>
  <si>
    <t>25日晚餐房间点餐</t>
    <phoneticPr fontId="41" type="noConversion"/>
  </si>
  <si>
    <t>26日晚餐房间点餐</t>
    <phoneticPr fontId="41" type="noConversion"/>
  </si>
  <si>
    <t>36高层F酒会-万达酒店提供</t>
    <phoneticPr fontId="41" type="noConversion"/>
  </si>
  <si>
    <t>商务宴请</t>
    <phoneticPr fontId="41" type="noConversion"/>
  </si>
  <si>
    <t>27日宴请</t>
    <phoneticPr fontId="41" type="noConversion"/>
  </si>
  <si>
    <t>编剧宴请4042.2</t>
    <phoneticPr fontId="41" type="noConversion"/>
  </si>
  <si>
    <t>万达酒店包厢；演员运营宴请</t>
    <phoneticPr fontId="41" type="noConversion"/>
  </si>
  <si>
    <t>【公安、安保等政府人员早餐】</t>
    <phoneticPr fontId="41" type="noConversion"/>
  </si>
  <si>
    <t>万达酒店提供；政府人员24小时巡班，要求安排早餐；
25日早餐40份+26日早餐320份+27日早餐320份</t>
    <phoneticPr fontId="41" type="noConversion"/>
  </si>
  <si>
    <t>24小时巡逻早餐</t>
    <phoneticPr fontId="41" type="noConversion"/>
  </si>
  <si>
    <t>【day0-24日】商务套餐</t>
    <phoneticPr fontId="41" type="noConversion"/>
  </si>
  <si>
    <t>早到嘉宾商务套餐</t>
    <phoneticPr fontId="41" type="noConversion"/>
  </si>
  <si>
    <t>万达酒店提供；部分早餐嘉宾安排商务套餐；24日午餐15份晚餐26份；</t>
    <phoneticPr fontId="41" type="noConversion"/>
  </si>
  <si>
    <t>上述3项，背后画面</t>
    <phoneticPr fontId="41" type="noConversion"/>
  </si>
  <si>
    <t>A#059</t>
    <phoneticPr fontId="41" type="noConversion"/>
  </si>
  <si>
    <t xml:space="preserve">万达酒店提供；自助餐已减掉达人3人+研究院5人 </t>
    <phoneticPr fontId="41" type="noConversion"/>
  </si>
  <si>
    <t>万达酒店提供；自助午餐已减掉达人4人；研究院5人；微博3人</t>
    <phoneticPr fontId="41" type="noConversion"/>
  </si>
  <si>
    <t>万达酒店提供；自助晚餐已减掉达人6人；研究院4人；微博3人</t>
    <phoneticPr fontId="41" type="noConversion"/>
  </si>
  <si>
    <t>南站-安保人员、志愿者人员矿泉水</t>
    <phoneticPr fontId="41" type="noConversion"/>
  </si>
  <si>
    <t>统一采买，以实际采买为准；请详见《康辉接待结算文件-2025红果创作者大会》-sheet5-常规物料药品明细
https://dcnx6seg2qvf.feishu.cn/wiki/MEDpwwXV0iZAewkvGwOcgIQYnNh?sheet=rLjzlu</t>
    <phoneticPr fontId="41" type="noConversion"/>
  </si>
  <si>
    <t>三次踩点大交通费，详见《康辉接待结算文件-2025红果创作者大会》-sheet4-康辉工作人员差旅
https://dcnx6seg2qvf.feishu.cn/wiki/MEDpwwXV0iZAewkvGwOcgIQYnNh?from=from_copylink&amp;sheet=mzADXb</t>
    <phoneticPr fontId="41" type="noConversion"/>
  </si>
  <si>
    <t>北京-太原往返大交通，详见《康辉接待结算文件-2025红果创作者大会》-sheet4-康辉工作人员差旅
https://dcnx6seg2qvf.feishu.cn/wiki/MEDpwwXV0iZAewkvGwOcgIQYnNh?from=from_copylink&amp;sheet=mzADXb</t>
    <phoneticPr fontId="41" type="noConversion"/>
  </si>
  <si>
    <t>统一采买，以实际采买为准；请详见《康辉接待结算文件-2025红果创作者大会》-6-零食采买明细
https://dcnx6seg2qvf.feishu.cn/wiki/MEDpwwXV0iZAewkvGwOcgIQYnNh?sheet=rLjzlu</t>
    <phoneticPr fontId="41" type="noConversion"/>
  </si>
  <si>
    <t>工作人员麦当劳</t>
    <phoneticPr fontId="41" type="noConversion"/>
  </si>
  <si>
    <t>25日麦当劳10+10/26日麦当劳50+50</t>
    <phoneticPr fontId="41" type="noConversion"/>
  </si>
  <si>
    <t>项目快递、闪送等；会场只能接收京东或者顺丰物料</t>
    <phoneticPr fontId="41" type="noConversion"/>
  </si>
  <si>
    <t>火车票出票明细</t>
  </si>
  <si>
    <t>姓名</t>
  </si>
  <si>
    <t>日期</t>
  </si>
  <si>
    <t>行程</t>
  </si>
  <si>
    <t>班次</t>
  </si>
  <si>
    <t>高铁票面金额</t>
  </si>
  <si>
    <t>退改签手续费</t>
  </si>
  <si>
    <t>退票操作费</t>
  </si>
  <si>
    <t>改签后新票面金额</t>
  </si>
  <si>
    <t>改签操作费</t>
  </si>
  <si>
    <t>票联打印费</t>
  </si>
  <si>
    <t>小计</t>
  </si>
  <si>
    <t>备注</t>
  </si>
  <si>
    <t>ZHU/QINGYANG</t>
  </si>
  <si>
    <t>太原南-北京丰台</t>
  </si>
  <si>
    <t>G684</t>
  </si>
  <si>
    <t>安海萍</t>
  </si>
  <si>
    <t>济南东-太原</t>
  </si>
  <si>
    <t>D1656</t>
  </si>
  <si>
    <t>烟台-济南东</t>
  </si>
  <si>
    <t>G6932</t>
  </si>
  <si>
    <t>太原南-烟台</t>
  </si>
  <si>
    <t>D1654</t>
  </si>
  <si>
    <t>已改签</t>
  </si>
  <si>
    <t>包心怡</t>
  </si>
  <si>
    <t>郑州-太原南</t>
  </si>
  <si>
    <t>D2786</t>
  </si>
  <si>
    <t>太原南-郑州</t>
  </si>
  <si>
    <t>D2785</t>
  </si>
  <si>
    <t>蔡欣洋</t>
  </si>
  <si>
    <t>G608</t>
  </si>
  <si>
    <t>曹洁</t>
  </si>
  <si>
    <t>曹炎忠</t>
  </si>
  <si>
    <t>北京西-太原</t>
  </si>
  <si>
    <t>G613</t>
  </si>
  <si>
    <t>太原-北京西</t>
  </si>
  <si>
    <t>G62</t>
  </si>
  <si>
    <t>曹祎</t>
  </si>
  <si>
    <t>北京丰台-太原南</t>
  </si>
  <si>
    <t>G603</t>
  </si>
  <si>
    <t>G616</t>
  </si>
  <si>
    <t>柴慧欣</t>
  </si>
  <si>
    <t>西安北-太原南</t>
  </si>
  <si>
    <t>D2540</t>
  </si>
  <si>
    <t>程广胜</t>
  </si>
  <si>
    <t>横店-太原南</t>
  </si>
  <si>
    <t>D3356</t>
  </si>
  <si>
    <t>太原南-横店</t>
  </si>
  <si>
    <t>D3349</t>
  </si>
  <si>
    <t>程梦玲</t>
  </si>
  <si>
    <t>G61</t>
  </si>
  <si>
    <t>太原-北京丰台</t>
  </si>
  <si>
    <t>G612</t>
  </si>
  <si>
    <t>陈果</t>
  </si>
  <si>
    <t>太原-呼和浩特东</t>
  </si>
  <si>
    <t>陈俊希</t>
  </si>
  <si>
    <t>陈爽</t>
  </si>
  <si>
    <t>陈书瑶</t>
  </si>
  <si>
    <t>武汉-太原南</t>
  </si>
  <si>
    <t>G1148</t>
  </si>
  <si>
    <t>太原南-武汉</t>
  </si>
  <si>
    <t>G691</t>
  </si>
  <si>
    <t>陈文超</t>
  </si>
  <si>
    <t>G3147</t>
  </si>
  <si>
    <t>陈羽</t>
  </si>
  <si>
    <t>杭州南-太原南</t>
  </si>
  <si>
    <t>G3136</t>
  </si>
  <si>
    <t>太原南-杭州东</t>
  </si>
  <si>
    <t>G3135</t>
  </si>
  <si>
    <t>崔莉</t>
  </si>
  <si>
    <t>G681</t>
  </si>
  <si>
    <t>G606</t>
  </si>
  <si>
    <t>崔萌</t>
  </si>
  <si>
    <t>G618</t>
  </si>
  <si>
    <t>戴清</t>
  </si>
  <si>
    <t>G607</t>
  </si>
  <si>
    <t>已退票</t>
  </si>
  <si>
    <t>太原南-清河</t>
  </si>
  <si>
    <t>D1038</t>
  </si>
  <si>
    <t>邓景军</t>
  </si>
  <si>
    <t>G609</t>
  </si>
  <si>
    <t>邓丽波</t>
  </si>
  <si>
    <t>北京北-太原南</t>
  </si>
  <si>
    <t>G2511</t>
  </si>
  <si>
    <t>太原南-北京西</t>
  </si>
  <si>
    <t>G614</t>
  </si>
  <si>
    <t>邓文俊</t>
  </si>
  <si>
    <t>G695</t>
  </si>
  <si>
    <t>刁璐璐</t>
  </si>
  <si>
    <t>D2773</t>
  </si>
  <si>
    <t>丁伟康</t>
  </si>
  <si>
    <t>G680</t>
  </si>
  <si>
    <t>D3351</t>
  </si>
  <si>
    <t>翟诗帆</t>
  </si>
  <si>
    <t>翟一莹</t>
  </si>
  <si>
    <t>太原南-开封北</t>
  </si>
  <si>
    <t>董平阳</t>
  </si>
  <si>
    <t>太原南-济南东</t>
  </si>
  <si>
    <t>D1672</t>
  </si>
  <si>
    <t>杜涛</t>
  </si>
  <si>
    <t>杜文会</t>
  </si>
  <si>
    <t>太原南-胶州北</t>
  </si>
  <si>
    <t>D1650</t>
  </si>
  <si>
    <t>冯智威</t>
  </si>
  <si>
    <t>傅琼</t>
  </si>
  <si>
    <t>G605</t>
  </si>
  <si>
    <t>高凡</t>
  </si>
  <si>
    <t>G611</t>
  </si>
  <si>
    <t>高飞</t>
  </si>
  <si>
    <t>北京西-太原南</t>
  </si>
  <si>
    <t>高凯然</t>
  </si>
  <si>
    <t>高佩玲</t>
  </si>
  <si>
    <t>高群书</t>
  </si>
  <si>
    <t>高若宸</t>
  </si>
  <si>
    <t>呼和浩特东-太原</t>
  </si>
  <si>
    <t>D2812</t>
  </si>
  <si>
    <t>G620</t>
  </si>
  <si>
    <t>郭吉安</t>
  </si>
  <si>
    <t>郭美琦</t>
  </si>
  <si>
    <t>D2796</t>
  </si>
  <si>
    <t>太原南-西安北</t>
  </si>
  <si>
    <t>D2565</t>
  </si>
  <si>
    <t>郭民卿</t>
  </si>
  <si>
    <t>贾晓牧</t>
  </si>
  <si>
    <t>D2523</t>
  </si>
  <si>
    <t>韩文博</t>
  </si>
  <si>
    <t>G628</t>
  </si>
  <si>
    <t>韩莹莹</t>
  </si>
  <si>
    <t>G610</t>
  </si>
  <si>
    <t>郝文路</t>
  </si>
  <si>
    <t>何聪睿</t>
  </si>
  <si>
    <t>何登</t>
  </si>
  <si>
    <t>何紫薇</t>
  </si>
  <si>
    <t>侯呈玥</t>
  </si>
  <si>
    <t>G3144</t>
  </si>
  <si>
    <t>黄明浩</t>
  </si>
  <si>
    <t>G683</t>
  </si>
  <si>
    <t>黄青春</t>
  </si>
  <si>
    <t>黄文滨</t>
  </si>
  <si>
    <t>太原南-济南西</t>
  </si>
  <si>
    <t>G1864</t>
  </si>
  <si>
    <t>黄秀辉</t>
  </si>
  <si>
    <t>G629</t>
  </si>
  <si>
    <t>G682</t>
  </si>
  <si>
    <t>黄宇</t>
  </si>
  <si>
    <t>黄钰雯</t>
  </si>
  <si>
    <t>黄真真</t>
  </si>
  <si>
    <t>蒋广宾</t>
  </si>
  <si>
    <t>太原南-郑州东</t>
  </si>
  <si>
    <t>G3143</t>
  </si>
  <si>
    <t>姜枢</t>
  </si>
  <si>
    <t>济南东-太原南</t>
  </si>
  <si>
    <t>D1674</t>
  </si>
  <si>
    <t>姜伟</t>
  </si>
  <si>
    <t>清河-太原南</t>
  </si>
  <si>
    <t>D1127</t>
  </si>
  <si>
    <t>退票后改签</t>
  </si>
  <si>
    <t>焦晓雨</t>
  </si>
  <si>
    <t>敬璐萍</t>
  </si>
  <si>
    <t>金丹</t>
  </si>
  <si>
    <t>G2513</t>
  </si>
  <si>
    <t>季冰勇</t>
  </si>
  <si>
    <t>籍政洋</t>
  </si>
  <si>
    <t>康进</t>
  </si>
  <si>
    <t>D2566</t>
  </si>
  <si>
    <t>G3209</t>
  </si>
  <si>
    <t>阚平</t>
  </si>
  <si>
    <t>D2583</t>
  </si>
  <si>
    <t>蓝俊</t>
  </si>
  <si>
    <t>连然</t>
  </si>
  <si>
    <t>凌浩哲</t>
  </si>
  <si>
    <t>林晋诺</t>
  </si>
  <si>
    <t>刘君贺</t>
  </si>
  <si>
    <t>刘娜</t>
  </si>
  <si>
    <t>刘平</t>
  </si>
  <si>
    <t>D2800</t>
  </si>
  <si>
    <t>刘儒德</t>
  </si>
  <si>
    <t>刘珊珊</t>
  </si>
  <si>
    <t>刘帅</t>
  </si>
  <si>
    <t>刘天池</t>
  </si>
  <si>
    <t>柳雪</t>
  </si>
  <si>
    <t>D2536</t>
  </si>
  <si>
    <t>D1675</t>
  </si>
  <si>
    <t>刘奕均</t>
  </si>
  <si>
    <t>李冰伦</t>
  </si>
  <si>
    <t>李家树</t>
  </si>
  <si>
    <t>李佳桐</t>
  </si>
  <si>
    <t>李晶</t>
  </si>
  <si>
    <t>李强</t>
  </si>
  <si>
    <t>李斯龙</t>
  </si>
  <si>
    <t>李思文</t>
  </si>
  <si>
    <t>李思雨</t>
  </si>
  <si>
    <t>李涛</t>
  </si>
  <si>
    <t>李小霞</t>
  </si>
  <si>
    <t>李星文</t>
  </si>
  <si>
    <t>李新红</t>
  </si>
  <si>
    <t>李雪昆</t>
  </si>
  <si>
    <t>黎杨全</t>
  </si>
  <si>
    <t>李亚东</t>
  </si>
  <si>
    <t>上海虹桥-南通西</t>
  </si>
  <si>
    <t>G238</t>
  </si>
  <si>
    <t>李奕兵</t>
  </si>
  <si>
    <t>李拥飞</t>
  </si>
  <si>
    <t>李泽乾</t>
  </si>
  <si>
    <t>李桢</t>
  </si>
  <si>
    <t>吕美晴</t>
  </si>
  <si>
    <t>马宏</t>
  </si>
  <si>
    <t>马晓旭</t>
  </si>
  <si>
    <t>马元君</t>
  </si>
  <si>
    <t>孟倩</t>
  </si>
  <si>
    <t>苗一宁</t>
  </si>
  <si>
    <t>沈阳-北京朝阳</t>
  </si>
  <si>
    <t>G956</t>
  </si>
  <si>
    <t>米晓静</t>
  </si>
  <si>
    <t>穆裕</t>
  </si>
  <si>
    <t>聂小米</t>
  </si>
  <si>
    <t>庞恩辽</t>
  </si>
  <si>
    <t>潘成朴</t>
  </si>
  <si>
    <t>连云港-太原南</t>
  </si>
  <si>
    <t>G3148</t>
  </si>
  <si>
    <t>太原南-连云港</t>
  </si>
  <si>
    <t>彭雨虹</t>
  </si>
  <si>
    <t>邱祎</t>
  </si>
  <si>
    <t>齐思凡</t>
  </si>
  <si>
    <t>D1050</t>
  </si>
  <si>
    <t>齐心雨</t>
  </si>
  <si>
    <t>曲百惠</t>
  </si>
  <si>
    <t>饶雪漫</t>
  </si>
  <si>
    <t>任琳娜</t>
  </si>
  <si>
    <t>D2538</t>
  </si>
  <si>
    <t>D2795</t>
  </si>
  <si>
    <t>沈杰群</t>
  </si>
  <si>
    <t>申洲</t>
  </si>
  <si>
    <t>施潮锦子</t>
  </si>
  <si>
    <t>司宁</t>
  </si>
  <si>
    <t>宋春阁</t>
  </si>
  <si>
    <t>太原南-威海</t>
  </si>
  <si>
    <t>宋刚</t>
  </si>
  <si>
    <t>宋美璐</t>
  </si>
  <si>
    <t>大同南-北京北</t>
  </si>
  <si>
    <t>G2526</t>
  </si>
  <si>
    <t>孙浩</t>
  </si>
  <si>
    <t>天津-太原南</t>
  </si>
  <si>
    <t>G2608</t>
  </si>
  <si>
    <t>太原南-天津</t>
  </si>
  <si>
    <t>G2640</t>
  </si>
  <si>
    <t>孙溯梦汐</t>
  </si>
  <si>
    <t>孙天景</t>
  </si>
  <si>
    <t>孙雨欣</t>
  </si>
  <si>
    <t>杭州西-太原南</t>
  </si>
  <si>
    <t>G1862</t>
  </si>
  <si>
    <t>唐国强</t>
  </si>
  <si>
    <t>唐睿聪</t>
  </si>
  <si>
    <t>覃旻</t>
  </si>
  <si>
    <t>田梦迪</t>
  </si>
  <si>
    <t>铁钰婷</t>
  </si>
  <si>
    <t>襄汾西-太原南</t>
  </si>
  <si>
    <t>D1908</t>
  </si>
  <si>
    <t>王戈</t>
  </si>
  <si>
    <t>D1040</t>
  </si>
  <si>
    <t>王海博</t>
  </si>
  <si>
    <t>王浩然</t>
  </si>
  <si>
    <t>G623</t>
  </si>
  <si>
    <t>王洹</t>
  </si>
  <si>
    <t>G3753</t>
  </si>
  <si>
    <t>王景旭</t>
  </si>
  <si>
    <t>王立芳</t>
  </si>
  <si>
    <t>聊城-太原</t>
  </si>
  <si>
    <t>K564</t>
  </si>
  <si>
    <t>王青</t>
  </si>
  <si>
    <t>王瑞</t>
  </si>
  <si>
    <t>太原-西安北</t>
  </si>
  <si>
    <t>D2511</t>
  </si>
  <si>
    <t>王珊珊</t>
  </si>
  <si>
    <t>太原南-北京北</t>
  </si>
  <si>
    <t>G2456</t>
  </si>
  <si>
    <t>王胜男</t>
  </si>
  <si>
    <t>石家庄-太原</t>
  </si>
  <si>
    <t>D1681</t>
  </si>
  <si>
    <t>太原南-石家庄</t>
  </si>
  <si>
    <t>G2610</t>
  </si>
  <si>
    <t>王薇</t>
  </si>
  <si>
    <t>汪维伟</t>
  </si>
  <si>
    <t>郑州东-太原南</t>
  </si>
  <si>
    <t>D2787</t>
  </si>
  <si>
    <t>G3131</t>
  </si>
  <si>
    <t>王献</t>
  </si>
  <si>
    <t>王鑫</t>
  </si>
  <si>
    <t>王岩</t>
  </si>
  <si>
    <t>王莹</t>
  </si>
  <si>
    <t>合肥南-太原南</t>
  </si>
  <si>
    <t>安庆-合肥南</t>
  </si>
  <si>
    <t>G8970</t>
  </si>
  <si>
    <t>王宇</t>
  </si>
  <si>
    <t>王玉娇</t>
  </si>
  <si>
    <t>温宇航</t>
  </si>
  <si>
    <t>邬世立</t>
  </si>
  <si>
    <t>吴雨琨</t>
  </si>
  <si>
    <t>G3782</t>
  </si>
  <si>
    <t>吴智多</t>
  </si>
  <si>
    <t>G627</t>
  </si>
  <si>
    <t>武志伟</t>
  </si>
  <si>
    <t>肖文宇</t>
  </si>
  <si>
    <t>G3140</t>
  </si>
  <si>
    <t>谢智毅</t>
  </si>
  <si>
    <t>熊磊</t>
  </si>
  <si>
    <t>徐嘉伟</t>
  </si>
  <si>
    <t>G621</t>
  </si>
  <si>
    <t>徐增新</t>
  </si>
  <si>
    <t>杨彬</t>
  </si>
  <si>
    <t>天津西-太原南</t>
  </si>
  <si>
    <t>G2609</t>
  </si>
  <si>
    <t>太原南-天津西</t>
  </si>
  <si>
    <t>杨乘虎</t>
  </si>
  <si>
    <t>杨浩</t>
  </si>
  <si>
    <t>杨淼</t>
  </si>
  <si>
    <t>杨帅</t>
  </si>
  <si>
    <t>杨晓晨</t>
  </si>
  <si>
    <t>杨雪</t>
  </si>
  <si>
    <t>杨玉</t>
  </si>
  <si>
    <t>杨志文</t>
  </si>
  <si>
    <t>闫丽芳</t>
  </si>
  <si>
    <t>姚冠宇</t>
  </si>
  <si>
    <t>姚立猛</t>
  </si>
  <si>
    <t>G622</t>
  </si>
  <si>
    <t>叶春池</t>
  </si>
  <si>
    <t>叶璐</t>
  </si>
  <si>
    <t>叶帅</t>
  </si>
  <si>
    <t>易俊</t>
  </si>
  <si>
    <t>岳红兵</t>
  </si>
  <si>
    <t>虞婧</t>
  </si>
  <si>
    <t>曾希瑭</t>
  </si>
  <si>
    <t>曾映雪</t>
  </si>
  <si>
    <t>张北淅</t>
  </si>
  <si>
    <t>张海波</t>
  </si>
  <si>
    <t>张晗</t>
  </si>
  <si>
    <t>张慧萱</t>
  </si>
  <si>
    <t>亳州南-郑州东</t>
  </si>
  <si>
    <t>G1886</t>
  </si>
  <si>
    <t>郑州东-亳州南</t>
  </si>
  <si>
    <t>G1880</t>
  </si>
  <si>
    <t>张甲林</t>
  </si>
  <si>
    <t>张平</t>
  </si>
  <si>
    <t>张润泽</t>
  </si>
  <si>
    <t>D1910</t>
  </si>
  <si>
    <t>张思雨</t>
  </si>
  <si>
    <t>张天宇</t>
  </si>
  <si>
    <t>张曦</t>
  </si>
  <si>
    <t>张孝君</t>
  </si>
  <si>
    <t>张旭</t>
  </si>
  <si>
    <t>张旋</t>
  </si>
  <si>
    <t>张亚璇</t>
  </si>
  <si>
    <t>张莹</t>
  </si>
  <si>
    <t>张艺璇</t>
  </si>
  <si>
    <t>张艺妍</t>
  </si>
  <si>
    <t>张真真</t>
  </si>
  <si>
    <t>阜阳西-太原南</t>
  </si>
  <si>
    <t>G1952</t>
  </si>
  <si>
    <t>赵晖</t>
  </si>
  <si>
    <t>赵明畅</t>
  </si>
  <si>
    <t>赵伟</t>
  </si>
  <si>
    <t>郑学斌</t>
  </si>
  <si>
    <t>钟诗璇</t>
  </si>
  <si>
    <t>周志强</t>
  </si>
  <si>
    <t>朱时茂</t>
  </si>
  <si>
    <t>左大建</t>
  </si>
  <si>
    <t>火车票汇总</t>
  </si>
  <si>
    <t>详见shee&lt;火车票明细&gt;，税前为93626元</t>
    <phoneticPr fontId="41" type="noConversion"/>
  </si>
  <si>
    <t>嘉宾大交通报销</t>
    <phoneticPr fontId="41" type="noConversion"/>
  </si>
  <si>
    <t>上海往返太原，公务舱全价票约11220元；广州往返太原，公务舱全价票约10200元；深圳往返太原，公务舱全价票约13000元
目前报价按照广州往返太原全价票的5折预估，实际价格以出票为准
上海往返太原，经济舱全价票约3600元；广州往往返太原，经济舱全价票约4000元，深圳往往返太原，经济舱全价票约5600元
目前报价按照往返太原全价票的5折均价预估，实际价格以出票为准</t>
    <phoneticPr fontId="41" type="noConversion"/>
  </si>
  <si>
    <t>属性</t>
  </si>
  <si>
    <t>金额</t>
  </si>
  <si>
    <t>个人编剧</t>
  </si>
  <si>
    <t>曹云、何梅</t>
  </si>
  <si>
    <t>编剧合作</t>
  </si>
  <si>
    <t>颁奖嘉宾</t>
  </si>
  <si>
    <t>演员</t>
  </si>
  <si>
    <t>梁思伟</t>
  </si>
  <si>
    <t>王皓祯</t>
  </si>
  <si>
    <t>姚宇晨，李彤彤</t>
  </si>
  <si>
    <t>余力</t>
  </si>
  <si>
    <t>至春禾（李其臻，李玉芳）</t>
  </si>
  <si>
    <t>主持人</t>
  </si>
  <si>
    <t>李柏言</t>
  </si>
  <si>
    <t>孙宇航</t>
  </si>
  <si>
    <t>媒体</t>
  </si>
  <si>
    <t>张安彤</t>
  </si>
  <si>
    <t>王磊</t>
  </si>
  <si>
    <t>杨继云</t>
  </si>
  <si>
    <t>报销人员姓名</t>
    <phoneticPr fontId="41" type="noConversion"/>
  </si>
  <si>
    <t>详见shee&lt;嘉宾报销大交通明细&gt;，税前为20627.65元</t>
    <phoneticPr fontId="41" type="noConversion"/>
  </si>
  <si>
    <t>签到桌花</t>
    <phoneticPr fontId="41" type="noConversion"/>
  </si>
  <si>
    <t>立式签到花，橘色系，含黑色高花瓶</t>
    <phoneticPr fontId="41" type="noConversion"/>
  </si>
  <si>
    <t>导游讲解</t>
    <phoneticPr fontId="41" type="noConversion"/>
  </si>
  <si>
    <t>D#006</t>
    <phoneticPr fontId="41" type="noConversion"/>
  </si>
  <si>
    <t>一日讲解</t>
    <phoneticPr fontId="41" type="noConversion"/>
  </si>
  <si>
    <t>演员艺统：24-27；演员催场、接送机</t>
    <phoneticPr fontId="41" type="noConversion"/>
  </si>
  <si>
    <t>行程手册</t>
    <phoneticPr fontId="41" type="noConversion"/>
  </si>
  <si>
    <t>雪佳政府高层需求对接，提前跟进需求与信息对接；共35人天含现场21-28日
对接各机关事业单位、道路局等、机场VIP通道、南站VIP通道、太原站VIP通道</t>
    <phoneticPr fontId="41" type="noConversion"/>
  </si>
  <si>
    <t>打样运输费用</t>
    <phoneticPr fontId="41" type="noConversion"/>
  </si>
  <si>
    <t>打样、运输费用</t>
    <phoneticPr fontId="41" type="noConversion"/>
  </si>
  <si>
    <t>物料整体打样费，运输费用</t>
    <phoneticPr fontId="41" type="noConversion"/>
  </si>
  <si>
    <t>政府赞助司机</t>
    <phoneticPr fontId="41" type="noConversion"/>
  </si>
  <si>
    <t>接机接站人员&amp;车辆调度：24日6人/25日28人/26日23人/27日22人（机场T1/T2、南站出口、太原站出口、VIP贵宾通道、核对信息沟通司机等、至尊酒店B1发车调度、会议中心B1发车调度）；共79人次
万达酒店：24日5人/25日9人/26日7人/27日6人（签到台分房、发放物料、指引）；共27人次
至尊酒店：24日5人/25日12人/26日7人/27日6人（签到台分房、发放物料、指引）；共30人次
物料组：22日4人/23日4人/24日4人/25人4个/26日4个/27日4人（装伴手礼等物料、工作间休息间送盒餐、物料管理）；共24人次
共160人次；</t>
    <phoneticPr fontId="41" type="noConversion"/>
  </si>
  <si>
    <t>高层备车</t>
    <phoneticPr fontId="41" type="noConversion"/>
  </si>
  <si>
    <t>机场高铁接送机/站</t>
    <phoneticPr fontId="41" type="noConversion"/>
  </si>
  <si>
    <t>颁奖嘉宾、高校协会、广电嘉宾等接送机/送站；共33趟次</t>
    <phoneticPr fontId="41" type="noConversion"/>
  </si>
  <si>
    <t>供应商采买、京东采购</t>
    <phoneticPr fontId="41" type="noConversion"/>
  </si>
  <si>
    <t>24日备车机场1辆/南站1辆；25日备车机场3辆/南站2辆/太原站1辆
26日备车机场2辆/南站2辆/太原站1辆；27日备车机场2辆/南站2辆/太原站1辆</t>
    <phoneticPr fontId="41" type="noConversion"/>
  </si>
  <si>
    <t>全程用车超时超公里费用</t>
    <phoneticPr fontId="41" type="noConversion"/>
  </si>
  <si>
    <t>25-27日高层酒店备车2辆</t>
    <phoneticPr fontId="41" type="noConversion"/>
  </si>
  <si>
    <t>实际未使用，政府赞助大巴车</t>
    <phoneticPr fontId="41" type="noConversion"/>
  </si>
  <si>
    <t>25-26日活动摆渡车</t>
    <phoneticPr fontId="41" type="noConversion"/>
  </si>
  <si>
    <t>25-26日活动日酒店-会议中心接驳艺人彩排、红毯、晚会</t>
    <phoneticPr fontId="41" type="noConversion"/>
  </si>
  <si>
    <t>实际未使用</t>
    <phoneticPr fontId="41" type="noConversion"/>
  </si>
  <si>
    <t>26日-27活动日 酒店-会议中心往返接驳参会，天气冷便嘉宾于出行，故安排</t>
    <phoneticPr fontId="41" type="noConversion"/>
  </si>
  <si>
    <t>G#014</t>
    <phoneticPr fontId="41" type="noConversion"/>
  </si>
  <si>
    <t>艺统人员超时费</t>
    <phoneticPr fontId="41" type="noConversion"/>
  </si>
  <si>
    <t>工作人员超时</t>
    <phoneticPr fontId="41" type="noConversion"/>
  </si>
  <si>
    <t>艺统人员超时</t>
    <phoneticPr fontId="41" type="noConversion"/>
  </si>
  <si>
    <t>三方人员餐费</t>
    <phoneticPr fontId="41" type="noConversion"/>
  </si>
  <si>
    <t>现场三方人员工作餐</t>
    <phoneticPr fontId="41" type="noConversion"/>
  </si>
  <si>
    <t>三方人员打车费</t>
    <phoneticPr fontId="41" type="noConversion"/>
  </si>
  <si>
    <t>潇河会议中心偏远，周边无就近地铁站、公交站等</t>
    <phoneticPr fontId="41" type="noConversion"/>
  </si>
  <si>
    <t>机场/南站/太原站接机接站工作人员、政府安保、志愿者等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</si>
</sst>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.75"/>
      <color rgb="FF000000"/>
      <name val="DengXian"/>
      <scheme val="minor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DengXian"/>
      <scheme val="minor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u/>
      <sz val="9"/>
      <color rgb="FF800080"/>
      <name val="微软雅黑"/>
      <family val="2"/>
      <charset val="134"/>
    </font>
    <font>
      <u/>
      <sz val="11"/>
      <color theme="10"/>
      <name val="DengXian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/>
      <name val="DengXian"/>
      <scheme val="minor"/>
    </font>
    <font>
      <b/>
      <sz val="9.75"/>
      <color rgb="FF000000"/>
      <name val="DengXian"/>
      <scheme val="minor"/>
    </font>
    <font>
      <b/>
      <sz val="11"/>
      <color theme="1"/>
      <name val="DengXian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3"/>
      <charset val="134"/>
    </font>
    <font>
      <sz val="10"/>
      <color rgb="FFF54A45"/>
      <name val="等线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34">
    <xf numFmtId="0" fontId="0" fillId="0" borderId="0"/>
    <xf numFmtId="176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4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0" applyNumberFormat="0" applyFont="0" applyFill="0" applyBorder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0" fontId="37" fillId="0" borderId="0">
      <protection locked="0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178" fontId="37" fillId="0" borderId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</cellStyleXfs>
  <cellXfs count="35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180" fontId="9" fillId="0" borderId="0" xfId="0" applyNumberFormat="1" applyFont="1" applyAlignment="1" applyProtection="1">
      <alignment vertical="center"/>
      <protection locked="0"/>
    </xf>
    <xf numFmtId="180" fontId="9" fillId="0" borderId="0" xfId="2" applyNumberFormat="1" applyFont="1" applyBorder="1" applyAlignment="1" applyProtection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9" fontId="9" fillId="0" borderId="0" xfId="3" applyFont="1" applyAlignment="1" applyProtection="1">
      <alignment horizontal="center" vertical="center"/>
      <protection locked="0"/>
    </xf>
    <xf numFmtId="0" fontId="11" fillId="5" borderId="1" xfId="16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11" fillId="5" borderId="1" xfId="16" applyFont="1" applyFill="1" applyBorder="1" applyAlignment="1">
      <alignment horizontal="center" vertical="center" wrapText="1"/>
    </xf>
    <xf numFmtId="0" fontId="11" fillId="8" borderId="1" xfId="16" applyFont="1" applyFill="1" applyBorder="1" applyAlignment="1" applyProtection="1">
      <alignment horizontal="center" vertical="center" wrapText="1"/>
      <protection locked="0"/>
    </xf>
    <xf numFmtId="0" fontId="11" fillId="9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6" applyFont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9" fillId="7" borderId="4" xfId="0" applyFont="1" applyFill="1" applyBorder="1" applyAlignment="1" applyProtection="1">
      <alignment vertical="center"/>
      <protection locked="0"/>
    </xf>
    <xf numFmtId="0" fontId="9" fillId="7" borderId="4" xfId="0" applyFont="1" applyFill="1" applyBorder="1" applyAlignment="1" applyProtection="1">
      <alignment horizontal="left" vertical="center"/>
      <protection locked="0"/>
    </xf>
    <xf numFmtId="0" fontId="14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11" borderId="1" xfId="16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49" fontId="9" fillId="6" borderId="4" xfId="0" applyNumberFormat="1" applyFont="1" applyFill="1" applyBorder="1" applyAlignment="1" applyProtection="1">
      <alignment vertical="center"/>
      <protection locked="0"/>
    </xf>
    <xf numFmtId="49" fontId="9" fillId="7" borderId="4" xfId="0" applyNumberFormat="1" applyFont="1" applyFill="1" applyBorder="1" applyAlignment="1" applyProtection="1">
      <alignment vertical="center"/>
      <protection locked="0"/>
    </xf>
    <xf numFmtId="180" fontId="15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11" fillId="10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5" fillId="11" borderId="1" xfId="16" applyNumberFormat="1" applyFont="1" applyFill="1" applyBorder="1" applyAlignment="1">
      <alignment horizontal="center" vertical="center" wrapText="1"/>
    </xf>
    <xf numFmtId="180" fontId="11" fillId="5" borderId="1" xfId="2" applyNumberFormat="1" applyFont="1" applyFill="1" applyBorder="1" applyAlignment="1" applyProtection="1">
      <alignment horizontal="center" vertical="center" wrapText="1"/>
    </xf>
    <xf numFmtId="9" fontId="11" fillId="8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9" fontId="9" fillId="6" borderId="7" xfId="3" applyFont="1" applyFill="1" applyBorder="1" applyAlignment="1" applyProtection="1">
      <alignment vertical="center"/>
      <protection locked="0"/>
    </xf>
    <xf numFmtId="9" fontId="9" fillId="7" borderId="3" xfId="3" applyFont="1" applyFill="1" applyBorder="1" applyAlignment="1" applyProtection="1">
      <alignment vertical="center"/>
      <protection locked="0"/>
    </xf>
    <xf numFmtId="9" fontId="9" fillId="7" borderId="4" xfId="3" applyFont="1" applyFill="1" applyBorder="1" applyAlignment="1" applyProtection="1">
      <alignment vertical="center"/>
      <protection locked="0"/>
    </xf>
    <xf numFmtId="177" fontId="11" fillId="5" borderId="1" xfId="2" applyFont="1" applyFill="1" applyBorder="1" applyAlignment="1" applyProtection="1">
      <alignment horizontal="center" vertical="center" wrapText="1"/>
      <protection locked="0"/>
    </xf>
    <xf numFmtId="177" fontId="15" fillId="12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vertical="center"/>
      <protection locked="0"/>
    </xf>
    <xf numFmtId="0" fontId="9" fillId="7" borderId="6" xfId="0" applyFont="1" applyFill="1" applyBorder="1" applyAlignment="1" applyProtection="1">
      <alignment vertical="center"/>
      <protection locked="0"/>
    </xf>
    <xf numFmtId="0" fontId="9" fillId="11" borderId="3" xfId="0" applyFont="1" applyFill="1" applyBorder="1" applyAlignment="1" applyProtection="1">
      <alignment horizontal="center" vertical="center"/>
      <protection locked="0"/>
    </xf>
    <xf numFmtId="0" fontId="6" fillId="11" borderId="4" xfId="16" applyFont="1" applyFill="1" applyBorder="1" applyAlignment="1" applyProtection="1">
      <alignment horizontal="center" vertical="center" wrapText="1"/>
      <protection locked="0"/>
    </xf>
    <xf numFmtId="0" fontId="14" fillId="13" borderId="8" xfId="0" applyFont="1" applyFill="1" applyBorder="1" applyAlignment="1" applyProtection="1">
      <alignment vertical="center" wrapText="1"/>
      <protection locked="0"/>
    </xf>
    <xf numFmtId="0" fontId="14" fillId="13" borderId="9" xfId="0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6" fillId="4" borderId="1" xfId="9" applyFont="1" applyFill="1" applyBorder="1" applyAlignment="1" applyProtection="1">
      <alignment horizontal="center" vertical="center"/>
      <protection locked="0"/>
    </xf>
    <xf numFmtId="181" fontId="6" fillId="11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16" applyFont="1" applyFill="1" applyBorder="1" applyAlignment="1" applyProtection="1">
      <alignment horizontal="left" vertical="top" wrapText="1"/>
      <protection locked="0"/>
    </xf>
    <xf numFmtId="0" fontId="14" fillId="13" borderId="9" xfId="0" applyFont="1" applyFill="1" applyBorder="1" applyAlignment="1" applyProtection="1">
      <alignment vertical="center" wrapText="1"/>
      <protection locked="0"/>
    </xf>
    <xf numFmtId="0" fontId="14" fillId="13" borderId="9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4" xfId="16" applyNumberFormat="1" applyFont="1" applyFill="1" applyBorder="1" applyAlignment="1" applyProtection="1">
      <alignment horizontal="center" vertical="center" wrapText="1"/>
      <protection locked="0"/>
    </xf>
    <xf numFmtId="49" fontId="14" fillId="13" borderId="9" xfId="0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80" fontId="6" fillId="11" borderId="4" xfId="16" applyNumberFormat="1" applyFont="1" applyFill="1" applyBorder="1" applyAlignment="1" applyProtection="1">
      <alignment horizontal="center" vertical="center" wrapText="1"/>
      <protection locked="0"/>
    </xf>
    <xf numFmtId="180" fontId="14" fillId="13" borderId="1" xfId="2" applyNumberFormat="1" applyFont="1" applyFill="1" applyBorder="1" applyAlignment="1" applyProtection="1">
      <alignment horizontal="center" vertical="center" wrapText="1"/>
    </xf>
    <xf numFmtId="180" fontId="18" fillId="0" borderId="1" xfId="3" applyNumberFormat="1" applyFont="1" applyBorder="1" applyAlignment="1" applyProtection="1">
      <alignment horizontal="center" vertical="center"/>
    </xf>
    <xf numFmtId="180" fontId="9" fillId="0" borderId="0" xfId="0" applyNumberFormat="1" applyFont="1" applyAlignment="1" applyProtection="1">
      <alignment horizontal="right" vertical="center"/>
      <protection locked="0"/>
    </xf>
    <xf numFmtId="180" fontId="16" fillId="4" borderId="1" xfId="1" applyNumberFormat="1" applyFont="1" applyFill="1" applyBorder="1" applyAlignment="1" applyProtection="1">
      <alignment horizontal="center" vertical="center"/>
    </xf>
    <xf numFmtId="180" fontId="6" fillId="4" borderId="11" xfId="1" applyNumberFormat="1" applyFont="1" applyFill="1" applyBorder="1" applyAlignment="1" applyProtection="1">
      <alignment horizontal="center" vertical="center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9" fontId="6" fillId="13" borderId="3" xfId="3" applyFont="1" applyFill="1" applyBorder="1" applyAlignment="1" applyProtection="1">
      <alignment vertical="center" wrapText="1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180" fontId="7" fillId="0" borderId="1" xfId="0" applyNumberFormat="1" applyFont="1" applyBorder="1" applyAlignment="1">
      <alignment horizontal="left" vertical="center" wrapText="1"/>
    </xf>
    <xf numFmtId="9" fontId="9" fillId="0" borderId="0" xfId="3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9" fillId="6" borderId="7" xfId="0" applyFont="1" applyFill="1" applyBorder="1" applyAlignment="1" applyProtection="1">
      <alignment horizontal="left" vertical="top"/>
      <protection locked="0"/>
    </xf>
    <xf numFmtId="179" fontId="6" fillId="11" borderId="7" xfId="1" applyNumberFormat="1" applyFont="1" applyFill="1" applyBorder="1" applyAlignment="1" applyProtection="1">
      <alignment horizontal="left"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0" fontId="14" fillId="13" borderId="4" xfId="0" applyFont="1" applyFill="1" applyBorder="1" applyAlignment="1" applyProtection="1">
      <alignment horizontal="left" vertical="center" wrapText="1"/>
      <protection locked="0"/>
    </xf>
    <xf numFmtId="0" fontId="14" fillId="13" borderId="6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9" fillId="0" borderId="0" xfId="0" applyFont="1"/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9" fontId="1" fillId="0" borderId="1" xfId="3" applyFont="1" applyFill="1" applyBorder="1" applyAlignment="1" applyProtection="1">
      <alignment horizontal="right" vertical="center" wrapText="1"/>
    </xf>
    <xf numFmtId="179" fontId="22" fillId="0" borderId="3" xfId="2" applyNumberFormat="1" applyFont="1" applyFill="1" applyBorder="1" applyAlignment="1" applyProtection="1">
      <alignment vertical="center" wrapText="1"/>
    </xf>
    <xf numFmtId="0" fontId="24" fillId="0" borderId="3" xfId="4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5" fillId="0" borderId="3" xfId="4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5" fillId="0" borderId="3" xfId="4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4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9" fillId="0" borderId="0" xfId="0" applyNumberFormat="1" applyFont="1" applyAlignment="1" applyProtection="1">
      <alignment vertical="center"/>
      <protection locked="0"/>
    </xf>
    <xf numFmtId="177" fontId="9" fillId="0" borderId="0" xfId="2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179" fontId="14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11" fillId="10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11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26" fillId="7" borderId="1" xfId="1" applyNumberFormat="1" applyFont="1" applyFill="1" applyBorder="1" applyAlignment="1" applyProtection="1">
      <alignment horizontal="center" vertical="center"/>
    </xf>
    <xf numFmtId="179" fontId="27" fillId="7" borderId="1" xfId="1" applyNumberFormat="1" applyFont="1" applyFill="1" applyBorder="1" applyAlignment="1" applyProtection="1">
      <alignment horizontal="center" vertical="center"/>
    </xf>
    <xf numFmtId="0" fontId="15" fillId="11" borderId="1" xfId="16" applyFont="1" applyFill="1" applyBorder="1" applyAlignment="1">
      <alignment horizontal="center" vertical="center" wrapText="1"/>
    </xf>
    <xf numFmtId="177" fontId="11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7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vertical="center"/>
      <protection locked="0"/>
    </xf>
    <xf numFmtId="181" fontId="6" fillId="18" borderId="1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left" vertical="top" wrapText="1"/>
      <protection locked="0"/>
    </xf>
    <xf numFmtId="0" fontId="9" fillId="5" borderId="1" xfId="0" applyFont="1" applyFill="1" applyBorder="1" applyAlignment="1" applyProtection="1">
      <alignment vertical="center"/>
      <protection locked="0"/>
    </xf>
    <xf numFmtId="0" fontId="28" fillId="5" borderId="1" xfId="0" applyFont="1" applyFill="1" applyBorder="1" applyAlignment="1" applyProtection="1">
      <alignment vertical="center"/>
      <protection locked="0"/>
    </xf>
    <xf numFmtId="17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26" fillId="13" borderId="1" xfId="2" applyNumberFormat="1" applyFont="1" applyFill="1" applyBorder="1" applyAlignment="1" applyProtection="1">
      <alignment horizontal="center" vertical="center" wrapText="1"/>
    </xf>
    <xf numFmtId="0" fontId="18" fillId="0" borderId="1" xfId="3" applyNumberFormat="1" applyFont="1" applyBorder="1" applyAlignment="1" applyProtection="1">
      <alignment horizontal="center" vertical="center"/>
    </xf>
    <xf numFmtId="9" fontId="18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0" fontId="6" fillId="13" borderId="3" xfId="0" applyFont="1" applyFill="1" applyBorder="1" applyAlignment="1" applyProtection="1">
      <alignment vertical="center" wrapText="1"/>
      <protection locked="0"/>
    </xf>
    <xf numFmtId="0" fontId="14" fillId="13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29" fillId="0" borderId="0" xfId="18" applyAlignment="1">
      <alignment horizontal="left" vertical="center"/>
    </xf>
    <xf numFmtId="176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18" applyAlignment="1">
      <alignment vertical="center"/>
    </xf>
    <xf numFmtId="0" fontId="30" fillId="21" borderId="1" xfId="18" applyFont="1" applyFill="1" applyBorder="1" applyAlignment="1">
      <alignment horizontal="left" vertical="center"/>
    </xf>
    <xf numFmtId="176" fontId="30" fillId="21" borderId="1" xfId="1" applyFont="1" applyFill="1" applyBorder="1" applyAlignment="1">
      <alignment horizontal="left" vertical="center"/>
    </xf>
    <xf numFmtId="0" fontId="31" fillId="0" borderId="0" xfId="0" applyFont="1"/>
    <xf numFmtId="176" fontId="31" fillId="0" borderId="0" xfId="1" applyFont="1" applyAlignment="1"/>
    <xf numFmtId="9" fontId="30" fillId="21" borderId="1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1" borderId="0" xfId="18" applyFont="1" applyFill="1" applyBorder="1" applyAlignment="1">
      <alignment horizontal="left" vertical="center"/>
    </xf>
    <xf numFmtId="0" fontId="32" fillId="0" borderId="1" xfId="18" applyFont="1" applyBorder="1" applyAlignment="1">
      <alignment horizontal="left" vertical="center" wrapText="1"/>
    </xf>
    <xf numFmtId="0" fontId="33" fillId="0" borderId="0" xfId="18" applyFont="1" applyBorder="1" applyAlignment="1">
      <alignment vertical="center"/>
    </xf>
    <xf numFmtId="0" fontId="29" fillId="0" borderId="0" xfId="18" applyFill="1" applyAlignment="1">
      <alignment vertical="center"/>
    </xf>
    <xf numFmtId="0" fontId="32" fillId="22" borderId="0" xfId="0" applyFont="1" applyFill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2" fillId="23" borderId="0" xfId="0" applyFont="1" applyFill="1" applyAlignment="1">
      <alignment horizontal="center" vertical="center"/>
    </xf>
    <xf numFmtId="0" fontId="32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8" applyFont="1" applyFill="1" applyBorder="1" applyAlignment="1">
      <alignment vertical="center"/>
    </xf>
    <xf numFmtId="0" fontId="15" fillId="11" borderId="1" xfId="16" applyFont="1" applyFill="1" applyBorder="1" applyAlignment="1" applyProtection="1">
      <alignment horizontal="center" vertical="center" wrapText="1"/>
      <protection locked="0"/>
    </xf>
    <xf numFmtId="180" fontId="6" fillId="3" borderId="1" xfId="1" applyNumberFormat="1" applyFont="1" applyFill="1" applyBorder="1" applyAlignment="1" applyProtection="1">
      <alignment horizontal="center" vertical="center"/>
    </xf>
    <xf numFmtId="9" fontId="7" fillId="3" borderId="1" xfId="3" applyFont="1" applyFill="1" applyBorder="1" applyAlignment="1" applyProtection="1">
      <alignment horizontal="center" vertical="center" wrapText="1"/>
      <protection locked="0"/>
    </xf>
    <xf numFmtId="0" fontId="9" fillId="25" borderId="1" xfId="0" applyFont="1" applyFill="1" applyBorder="1" applyAlignment="1" applyProtection="1">
      <alignment horizontal="center" vertical="center"/>
      <protection locked="0"/>
    </xf>
    <xf numFmtId="0" fontId="7" fillId="25" borderId="1" xfId="0" applyFont="1" applyFill="1" applyBorder="1" applyAlignment="1">
      <alignment horizontal="center" vertical="center"/>
    </xf>
    <xf numFmtId="0" fontId="6" fillId="25" borderId="1" xfId="16" applyFont="1" applyFill="1" applyBorder="1" applyAlignment="1" applyProtection="1">
      <alignment horizontal="center" vertical="center" wrapText="1"/>
      <protection locked="0"/>
    </xf>
    <xf numFmtId="0" fontId="6" fillId="25" borderId="5" xfId="16" applyFont="1" applyFill="1" applyBorder="1" applyAlignment="1" applyProtection="1">
      <alignment horizontal="center" vertical="center" wrapText="1"/>
      <protection locked="0"/>
    </xf>
    <xf numFmtId="181" fontId="6" fillId="25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25" borderId="1" xfId="16" applyFont="1" applyFill="1" applyBorder="1" applyAlignment="1" applyProtection="1">
      <alignment horizontal="left" vertical="center" wrapText="1"/>
      <protection locked="0"/>
    </xf>
    <xf numFmtId="0" fontId="6" fillId="2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7" fillId="25" borderId="1" xfId="3" applyFont="1" applyFill="1" applyBorder="1" applyAlignment="1" applyProtection="1">
      <alignment horizontal="center" vertical="center" wrapText="1"/>
      <protection locked="0"/>
    </xf>
    <xf numFmtId="0" fontId="13" fillId="25" borderId="1" xfId="0" applyFont="1" applyFill="1" applyBorder="1" applyAlignment="1" applyProtection="1">
      <alignment horizontal="left" vertical="center"/>
      <protection locked="0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0" fontId="1" fillId="3" borderId="1" xfId="23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6" fillId="25" borderId="1" xfId="16" applyFont="1" applyFill="1" applyBorder="1" applyAlignment="1">
      <alignment horizontal="center" vertical="center" wrapText="1"/>
    </xf>
    <xf numFmtId="0" fontId="6" fillId="25" borderId="1" xfId="16" applyFont="1" applyFill="1" applyBorder="1" applyAlignment="1" applyProtection="1">
      <alignment horizontal="left" vertical="top" wrapText="1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180" fontId="6" fillId="25" borderId="1" xfId="2" applyNumberFormat="1" applyFont="1" applyFill="1" applyBorder="1" applyAlignment="1" applyProtection="1">
      <alignment horizontal="center" vertical="center" wrapText="1"/>
      <protection locked="0"/>
    </xf>
    <xf numFmtId="9" fontId="16" fillId="25" borderId="1" xfId="3" applyFont="1" applyFill="1" applyBorder="1" applyAlignment="1" applyProtection="1">
      <alignment horizontal="center" vertical="center" wrapText="1"/>
      <protection locked="0"/>
    </xf>
    <xf numFmtId="0" fontId="13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0" xfId="0" applyFont="1" applyFill="1" applyAlignment="1" applyProtection="1">
      <alignment vertical="center"/>
      <protection locked="0"/>
    </xf>
    <xf numFmtId="0" fontId="29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3" fillId="0" borderId="0" xfId="0" applyFont="1"/>
    <xf numFmtId="0" fontId="44" fillId="26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44" fillId="27" borderId="2" xfId="0" applyFont="1" applyFill="1" applyBorder="1" applyAlignment="1">
      <alignment horizontal="center" vertical="center"/>
    </xf>
    <xf numFmtId="0" fontId="7" fillId="0" borderId="0" xfId="0" applyFont="1"/>
    <xf numFmtId="0" fontId="44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3" fillId="28" borderId="2" xfId="0" applyFont="1" applyFill="1" applyBorder="1" applyAlignment="1">
      <alignment horizontal="center" vertical="center"/>
    </xf>
    <xf numFmtId="0" fontId="42" fillId="28" borderId="2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28" borderId="19" xfId="0" applyFont="1" applyFill="1" applyBorder="1" applyAlignment="1">
      <alignment horizontal="center" vertical="center"/>
    </xf>
    <xf numFmtId="0" fontId="44" fillId="24" borderId="2" xfId="0" applyFont="1" applyFill="1" applyBorder="1" applyAlignment="1">
      <alignment horizontal="center" vertical="center"/>
    </xf>
    <xf numFmtId="0" fontId="9" fillId="29" borderId="1" xfId="0" applyFont="1" applyFill="1" applyBorder="1" applyAlignment="1" applyProtection="1">
      <alignment horizontal="center" vertical="center"/>
      <protection locked="0"/>
    </xf>
    <xf numFmtId="0" fontId="7" fillId="29" borderId="1" xfId="0" applyFont="1" applyFill="1" applyBorder="1" applyAlignment="1">
      <alignment horizontal="center" vertical="center"/>
    </xf>
    <xf numFmtId="0" fontId="6" fillId="29" borderId="5" xfId="16" applyFont="1" applyFill="1" applyBorder="1" applyAlignment="1" applyProtection="1">
      <alignment horizontal="center" vertical="center" wrapText="1"/>
      <protection locked="0"/>
    </xf>
    <xf numFmtId="181" fontId="6" fillId="29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29" borderId="1" xfId="16" applyFont="1" applyFill="1" applyBorder="1" applyAlignment="1" applyProtection="1">
      <alignment horizontal="center" vertical="center" wrapText="1"/>
      <protection locked="0"/>
    </xf>
    <xf numFmtId="0" fontId="6" fillId="29" borderId="1" xfId="16" applyFont="1" applyFill="1" applyBorder="1" applyAlignment="1" applyProtection="1">
      <alignment horizontal="left" vertical="center" wrapText="1"/>
      <protection locked="0"/>
    </xf>
    <xf numFmtId="0" fontId="6" fillId="29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29" borderId="1" xfId="1" applyNumberFormat="1" applyFont="1" applyFill="1" applyBorder="1" applyAlignment="1" applyProtection="1">
      <alignment horizontal="center" vertical="center" wrapText="1"/>
    </xf>
    <xf numFmtId="180" fontId="6" fillId="29" borderId="1" xfId="1" applyNumberFormat="1" applyFont="1" applyFill="1" applyBorder="1" applyAlignment="1" applyProtection="1">
      <alignment horizontal="center" vertical="center"/>
    </xf>
    <xf numFmtId="9" fontId="7" fillId="29" borderId="1" xfId="3" applyFont="1" applyFill="1" applyBorder="1" applyAlignment="1" applyProtection="1">
      <alignment horizontal="center" vertical="center" wrapText="1"/>
      <protection locked="0"/>
    </xf>
    <xf numFmtId="0" fontId="13" fillId="29" borderId="1" xfId="0" applyFont="1" applyFill="1" applyBorder="1" applyAlignment="1" applyProtection="1">
      <alignment horizontal="left" vertical="center"/>
      <protection locked="0"/>
    </xf>
    <xf numFmtId="0" fontId="6" fillId="29" borderId="1" xfId="0" applyFont="1" applyFill="1" applyBorder="1" applyAlignment="1" applyProtection="1">
      <alignment horizontal="center" vertical="center"/>
      <protection locked="0"/>
    </xf>
    <xf numFmtId="0" fontId="6" fillId="29" borderId="0" xfId="0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" xfId="16" applyFont="1" applyBorder="1" applyAlignment="1" applyProtection="1">
      <alignment horizontal="left" vertical="top" wrapText="1"/>
      <protection locked="0"/>
    </xf>
    <xf numFmtId="0" fontId="1" fillId="0" borderId="1" xfId="23" applyFont="1" applyBorder="1" applyAlignment="1" applyProtection="1">
      <alignment horizontal="left" vertical="center"/>
    </xf>
    <xf numFmtId="181" fontId="6" fillId="0" borderId="1" xfId="9" applyNumberFormat="1" applyFont="1" applyBorder="1" applyAlignment="1" applyProtection="1">
      <alignment horizontal="center" vertical="center" wrapText="1"/>
      <protection locked="0"/>
    </xf>
    <xf numFmtId="0" fontId="7" fillId="0" borderId="1" xfId="1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23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6" fillId="3" borderId="1" xfId="16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5" xfId="16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/>
    </xf>
    <xf numFmtId="0" fontId="6" fillId="3" borderId="1" xfId="16" applyFont="1" applyFill="1" applyBorder="1" applyAlignment="1" applyProtection="1">
      <alignment horizontal="left" vertical="top" wrapText="1"/>
      <protection locked="0"/>
    </xf>
    <xf numFmtId="180" fontId="6" fillId="3" borderId="1" xfId="1" applyNumberFormat="1" applyFont="1" applyFill="1" applyBorder="1" applyAlignment="1" applyProtection="1">
      <alignment horizontal="center" vertical="center" wrapText="1"/>
    </xf>
    <xf numFmtId="0" fontId="6" fillId="0" borderId="1" xfId="16" applyFont="1" applyBorder="1" applyAlignment="1" applyProtection="1">
      <alignment horizontal="left" vertical="center" wrapText="1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7" fillId="0" borderId="1" xfId="23" applyFont="1" applyBorder="1" applyAlignment="1" applyProtection="1">
      <alignment horizontal="left" vertical="center"/>
    </xf>
    <xf numFmtId="181" fontId="7" fillId="0" borderId="1" xfId="9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18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81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2" fillId="2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26" fillId="6" borderId="3" xfId="1" applyNumberFormat="1" applyFont="1" applyFill="1" applyBorder="1" applyAlignment="1" applyProtection="1">
      <alignment horizontal="center" vertical="center"/>
    </xf>
    <xf numFmtId="179" fontId="26" fillId="6" borderId="4" xfId="1" applyNumberFormat="1" applyFont="1" applyFill="1" applyBorder="1" applyAlignment="1" applyProtection="1">
      <alignment horizontal="center" vertical="center"/>
    </xf>
    <xf numFmtId="179" fontId="26" fillId="6" borderId="6" xfId="1" applyNumberFormat="1" applyFont="1" applyFill="1" applyBorder="1" applyAlignment="1" applyProtection="1">
      <alignment horizontal="center" vertical="center"/>
    </xf>
    <xf numFmtId="179" fontId="26" fillId="11" borderId="4" xfId="2" applyNumberFormat="1" applyFont="1" applyFill="1" applyBorder="1" applyAlignment="1" applyProtection="1">
      <alignment horizontal="center" vertical="center" wrapText="1"/>
    </xf>
    <xf numFmtId="179" fontId="26" fillId="11" borderId="6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/>
    </xf>
    <xf numFmtId="179" fontId="23" fillId="14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14" borderId="1" xfId="0" applyFont="1" applyFill="1" applyBorder="1" applyAlignment="1">
      <alignment horizontal="right" vertical="center" wrapText="1"/>
    </xf>
    <xf numFmtId="180" fontId="14" fillId="6" borderId="3" xfId="1" applyNumberFormat="1" applyFont="1" applyFill="1" applyBorder="1" applyAlignment="1" applyProtection="1">
      <alignment horizontal="center" vertic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6" xfId="1" applyNumberFormat="1" applyFont="1" applyFill="1" applyBorder="1" applyAlignment="1" applyProtection="1">
      <alignment horizontal="center" vertical="center"/>
    </xf>
    <xf numFmtId="180" fontId="14" fillId="11" borderId="4" xfId="2" applyNumberFormat="1" applyFont="1" applyFill="1" applyBorder="1" applyAlignment="1" applyProtection="1">
      <alignment horizontal="center" vertical="center" wrapText="1"/>
    </xf>
    <xf numFmtId="180" fontId="14" fillId="11" borderId="6" xfId="2" applyNumberFormat="1" applyFont="1" applyFill="1" applyBorder="1" applyAlignment="1" applyProtection="1">
      <alignment horizontal="center" vertical="center" wrapText="1"/>
    </xf>
    <xf numFmtId="0" fontId="44" fillId="24" borderId="15" xfId="0" applyFont="1" applyFill="1" applyBorder="1" applyAlignment="1">
      <alignment horizontal="center" vertical="center"/>
    </xf>
    <xf numFmtId="0" fontId="44" fillId="24" borderId="16" xfId="0" applyFont="1" applyFill="1" applyBorder="1" applyAlignment="1">
      <alignment horizontal="center" vertical="center"/>
    </xf>
    <xf numFmtId="0" fontId="44" fillId="24" borderId="17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</cellXfs>
  <cellStyles count="34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常规_报价_1" xfId="23" xr:uid="{00000000-0005-0000-0000-000043000000}"/>
    <cellStyle name="超链接" xfId="4" builtinId="8"/>
    <cellStyle name="货币" xfId="2" builtinId="4"/>
    <cellStyle name="货币 2 10 3 2" xfId="24" xr:uid="{00000000-0005-0000-0000-000044000000}"/>
    <cellStyle name="货币 2 2 2 2 2" xfId="25" xr:uid="{00000000-0005-0000-0000-000045000000}"/>
    <cellStyle name="货币 7" xfId="26" xr:uid="{00000000-0005-0000-0000-000046000000}"/>
    <cellStyle name="货币 7 2" xfId="27" xr:uid="{00000000-0005-0000-0000-000047000000}"/>
    <cellStyle name="货币 7 2 2" xfId="28" xr:uid="{00000000-0005-0000-0000-000048000000}"/>
    <cellStyle name="普通 2" xfId="29" xr:uid="{00000000-0005-0000-0000-000049000000}"/>
    <cellStyle name="普通 2 13" xfId="30" xr:uid="{00000000-0005-0000-0000-00004A000000}"/>
    <cellStyle name="千位分隔" xfId="1" builtinId="3"/>
    <cellStyle name="千位分隔 2" xfId="31" xr:uid="{00000000-0005-0000-0000-00004B000000}"/>
    <cellStyle name="千位分隔 3 3 2" xfId="32" xr:uid="{00000000-0005-0000-0000-00004C000000}"/>
    <cellStyle name="千位分隔 3 3 2 2" xfId="33" xr:uid="{00000000-0005-0000-0000-00004D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99"/>
      <color rgb="FF00EA8B"/>
      <color rgb="FF71FFCC"/>
      <color rgb="FF00FF99"/>
      <color rgb="FFCC99FF"/>
      <color rgb="FFCC66FF"/>
      <color rgb="FF93F5F7"/>
      <color rgb="FF7BF2F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zhangruohan/Library/Containers/com.tencent.xinWeChat/Data/Documents/xwechat_files/wxid_ykp2728nx29x22_10be/msg/file/2025-11/D:/WeChat/xwechat_files/yu767249053_08ca/msg/file/2025-11/&#29579;&#38742;&#26976;-&#12304;&#24247;&#36745;&#36827;&#22330;&#25253;&#20215;&#21333;1118&#12305;PR2511100772-2025&#32418;&#26524;&#21019;&#20316;&#32773;&#22823;&#20250;&#20250;&#21153;&#25509;&#24453;(3).xlsx?B1AA2A0D" TargetMode="External"/><Relationship Id="rId1" Type="http://schemas.openxmlformats.org/officeDocument/2006/relationships/externalLinkPath" Target="file:///\\B1AA2A0D\&#29579;&#38742;&#26976;-&#12304;&#24247;&#36745;&#36827;&#22330;&#25253;&#20215;&#21333;1118&#12305;PR2511100772-2025&#32418;&#26524;&#21019;&#20316;&#32773;&#22823;&#20250;&#20250;&#21153;&#25509;&#24453;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2242;&#26723;&#36164;&#26009;\2025&#24180;&#22242;&#26723;\2025.5.12-16%202025TTFB&#36234;&#21335;&#32654;&#22918;&#21697;&#29260;&#20986;&#28023;&#39640;&#23618;&#20250;-&#36234;&#21335;&#32993;&#24535;&#26126;\&#12304;&#24247;&#36745;&#20250;&#23637;&#32467;&#31639;&#21333;0618&#12305;-PR2505070715-2025TTFB&#32654;&#22918;&#21697;&#29260;&#20986;&#28023;&#39640;&#23618;&#20250;.xlsx" TargetMode="External"/><Relationship Id="rId1" Type="http://schemas.openxmlformats.org/officeDocument/2006/relationships/externalLinkPath" Target="file:///E:\&#22242;&#26723;&#36164;&#26009;\2025&#24180;&#22242;&#26723;\2025.5.12-16%202025TTFB&#36234;&#21335;&#32654;&#22918;&#21697;&#29260;&#20986;&#28023;&#39640;&#23618;&#20250;-&#36234;&#21335;&#32993;&#24535;&#26126;\&#12304;&#24247;&#36745;&#20250;&#23637;&#32467;&#31639;&#21333;0618&#12305;-PR2505070715-2025TTFB&#32654;&#22918;&#21697;&#29260;&#20986;&#28023;&#39640;&#23618;&#202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09/Users/wangmumu/Desktop/&#12304;PR2408070518&#12305;&#20852;&#36259;&#29233;&#22909;&#25509;&#24453;&#39033;&#30446;&#25253;&#2021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  <sheetName val="机票明细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N62" sqref="N62"/>
    </sheetView>
  </sheetViews>
  <sheetFormatPr defaultColWidth="11.59765625" defaultRowHeight="12.75"/>
  <cols>
    <col min="1" max="1" width="15" style="211" customWidth="1"/>
    <col min="2" max="2" width="11.59765625" style="211" customWidth="1"/>
    <col min="3" max="20" width="11.59765625" style="201" customWidth="1"/>
    <col min="21" max="16384" width="11.59765625" style="201"/>
  </cols>
  <sheetData>
    <row r="1" spans="1:21" s="211" customFormat="1">
      <c r="A1" s="212" t="s">
        <v>0</v>
      </c>
      <c r="B1" s="212"/>
      <c r="C1" s="212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1" s="211" customFormat="1">
      <c r="A2" s="322" t="s">
        <v>1</v>
      </c>
      <c r="B2" s="215" t="s">
        <v>2</v>
      </c>
      <c r="C2" s="215"/>
      <c r="D2" s="216"/>
      <c r="E2" s="216"/>
      <c r="F2" s="216"/>
      <c r="G2" s="216"/>
      <c r="H2" s="216"/>
      <c r="I2" s="216"/>
      <c r="J2" s="216"/>
    </row>
    <row r="3" spans="1:21" s="211" customFormat="1">
      <c r="A3" s="322"/>
      <c r="B3" s="215" t="s">
        <v>3</v>
      </c>
      <c r="C3" s="215"/>
      <c r="D3" s="216"/>
      <c r="E3" s="216"/>
      <c r="F3" s="216"/>
      <c r="G3" s="216"/>
      <c r="H3" s="216"/>
      <c r="I3" s="216"/>
      <c r="J3" s="216"/>
    </row>
    <row r="4" spans="1:21" s="211" customFormat="1">
      <c r="A4" s="322"/>
      <c r="B4" s="217" t="s">
        <v>4</v>
      </c>
      <c r="C4" s="218"/>
      <c r="D4" s="216"/>
      <c r="E4" s="216"/>
      <c r="F4" s="216"/>
      <c r="G4" s="216"/>
      <c r="H4" s="216"/>
      <c r="I4" s="216"/>
      <c r="J4" s="216"/>
    </row>
    <row r="5" spans="1:21" s="211" customFormat="1">
      <c r="A5" s="214"/>
      <c r="B5" s="217" t="s">
        <v>5</v>
      </c>
      <c r="C5" s="218"/>
    </row>
    <row r="6" spans="1:21" s="211" customFormat="1">
      <c r="A6" s="323" t="s">
        <v>6</v>
      </c>
      <c r="B6" s="217" t="s">
        <v>7</v>
      </c>
      <c r="C6" s="218"/>
    </row>
    <row r="7" spans="1:21" s="211" customFormat="1">
      <c r="A7" s="323"/>
      <c r="B7" s="217" t="s">
        <v>8</v>
      </c>
      <c r="C7" s="218"/>
    </row>
    <row r="8" spans="1:21" s="211" customFormat="1">
      <c r="A8" s="323"/>
      <c r="B8" s="218" t="s">
        <v>9</v>
      </c>
      <c r="C8" s="218"/>
    </row>
    <row r="9" spans="1:21" s="211" customFormat="1" ht="18.95" customHeight="1">
      <c r="A9" s="323"/>
      <c r="B9" s="217" t="s">
        <v>10</v>
      </c>
      <c r="C9" s="218"/>
    </row>
    <row r="10" spans="1:21" s="211" customFormat="1" ht="18.95" customHeight="1">
      <c r="A10" s="323"/>
      <c r="B10" s="217" t="s">
        <v>11</v>
      </c>
      <c r="C10" s="218"/>
    </row>
    <row r="11" spans="1:21" s="211" customFormat="1" ht="18.95" customHeight="1">
      <c r="A11" s="323" t="s">
        <v>12</v>
      </c>
      <c r="B11" s="217" t="s">
        <v>13</v>
      </c>
      <c r="C11" s="217"/>
    </row>
    <row r="12" spans="1:21" s="211" customFormat="1">
      <c r="A12" s="323"/>
      <c r="B12" s="217" t="s">
        <v>14</v>
      </c>
      <c r="C12" s="217"/>
    </row>
    <row r="13" spans="1:21" s="211" customFormat="1">
      <c r="A13" s="323"/>
      <c r="B13" s="217" t="s">
        <v>15</v>
      </c>
      <c r="C13" s="217"/>
    </row>
    <row r="14" spans="1:21" s="211" customFormat="1">
      <c r="A14" s="323"/>
      <c r="B14" s="217" t="s">
        <v>16</v>
      </c>
      <c r="C14" s="217"/>
    </row>
    <row r="15" spans="1:21" s="211" customFormat="1">
      <c r="A15" s="216"/>
      <c r="B15" s="219"/>
    </row>
    <row r="16" spans="1:21" s="211" customFormat="1">
      <c r="A16" s="216"/>
      <c r="B16" s="216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</row>
    <row r="17" spans="1:21" s="211" customFormat="1">
      <c r="A17" s="216"/>
      <c r="B17" s="216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</row>
    <row r="18" spans="1:21" s="211" customFormat="1">
      <c r="A18" s="216"/>
      <c r="B18" s="216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</row>
    <row r="19" spans="1:21" s="211" customFormat="1">
      <c r="A19" s="216"/>
      <c r="B19" s="216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</row>
    <row r="20" spans="1:21" s="211" customFormat="1">
      <c r="A20" s="216"/>
      <c r="B20" s="216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</row>
    <row r="21" spans="1:21" s="211" customFormat="1">
      <c r="A21" s="216"/>
      <c r="B21" s="216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</row>
    <row r="22" spans="1:21" s="211" customFormat="1">
      <c r="A22" s="216"/>
      <c r="B22" s="216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</row>
    <row r="23" spans="1:21" s="211" customFormat="1">
      <c r="A23" s="216"/>
      <c r="B23" s="216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</row>
    <row r="24" spans="1:21" s="211" customFormat="1">
      <c r="A24" s="216"/>
      <c r="B24" s="216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</row>
    <row r="25" spans="1:21" s="211" customFormat="1">
      <c r="A25" s="216"/>
      <c r="B25" s="216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</row>
    <row r="26" spans="1:21" s="211" customFormat="1">
      <c r="A26" s="216"/>
      <c r="B26" s="216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</row>
    <row r="27" spans="1:21" s="211" customFormat="1">
      <c r="A27" s="213"/>
      <c r="B27" s="213"/>
      <c r="C27" s="216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</row>
    <row r="28" spans="1:21" s="211" customFormat="1">
      <c r="A28" s="213"/>
      <c r="B28" s="213"/>
      <c r="C28" s="216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</row>
    <row r="29" spans="1:21" s="211" customFormat="1">
      <c r="A29" s="213"/>
      <c r="B29" s="213"/>
    </row>
    <row r="30" spans="1:21">
      <c r="A30" s="216"/>
      <c r="B30" s="216"/>
    </row>
    <row r="31" spans="1:21">
      <c r="A31" s="216"/>
      <c r="B31" s="216"/>
    </row>
    <row r="32" spans="1:21">
      <c r="A32" s="216"/>
      <c r="B32" s="216"/>
    </row>
  </sheetData>
  <sheetProtection formatCells="0" insertHyperlinks="0" autoFilter="0"/>
  <mergeCells count="3">
    <mergeCell ref="A2:A4"/>
    <mergeCell ref="A6:A10"/>
    <mergeCell ref="A11:A14"/>
  </mergeCells>
  <phoneticPr fontId="41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tabColor theme="1" tint="0.499984740745262"/>
    <outlinePr summaryBelow="0" summaryRight="0"/>
  </sheetPr>
  <dimension ref="A1:U716"/>
  <sheetViews>
    <sheetView zoomScale="74" zoomScaleNormal="74" workbookViewId="0">
      <selection activeCell="N62" sqref="N62"/>
    </sheetView>
  </sheetViews>
  <sheetFormatPr defaultColWidth="11.59765625" defaultRowHeight="12.75"/>
  <cols>
    <col min="1" max="1" width="22.59765625" style="198" customWidth="1"/>
    <col min="2" max="2" width="70.86328125" style="198" customWidth="1"/>
    <col min="3" max="3" width="12.53125" style="199" customWidth="1"/>
    <col min="4" max="4" width="9.1328125" style="198" customWidth="1"/>
    <col min="5" max="5" width="12.53125" style="200" customWidth="1"/>
    <col min="6" max="6" width="12.53125" style="198" customWidth="1"/>
    <col min="7" max="7" width="17.59765625" style="198" customWidth="1"/>
    <col min="8" max="8" width="18.86328125" style="198" customWidth="1"/>
    <col min="9" max="9" width="11.59765625" style="198"/>
    <col min="10" max="10" width="21.86328125" style="198" customWidth="1"/>
    <col min="11" max="11" width="26.3984375" style="198" customWidth="1"/>
    <col min="12" max="16384" width="11.59765625" style="201"/>
  </cols>
  <sheetData>
    <row r="1" spans="1:21" s="198" customFormat="1">
      <c r="A1" s="202" t="s">
        <v>17</v>
      </c>
      <c r="B1" s="202" t="s">
        <v>18</v>
      </c>
      <c r="C1" s="203" t="s">
        <v>19</v>
      </c>
      <c r="D1" s="202" t="s">
        <v>20</v>
      </c>
      <c r="E1" s="206" t="s">
        <v>21</v>
      </c>
      <c r="F1" s="202" t="s">
        <v>22</v>
      </c>
      <c r="G1" s="202" t="s">
        <v>23</v>
      </c>
      <c r="H1" s="202" t="s">
        <v>24</v>
      </c>
      <c r="I1" s="202" t="s">
        <v>25</v>
      </c>
      <c r="J1" s="202" t="s">
        <v>26</v>
      </c>
      <c r="K1" s="202" t="s">
        <v>27</v>
      </c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1" ht="13.9" hidden="1">
      <c r="A2" s="204" t="s">
        <v>28</v>
      </c>
      <c r="B2" t="s">
        <v>29</v>
      </c>
      <c r="C2" s="205">
        <v>212</v>
      </c>
      <c r="D2" t="s">
        <v>30</v>
      </c>
      <c r="E2" s="207" t="s">
        <v>31</v>
      </c>
      <c r="F2" t="s">
        <v>32</v>
      </c>
      <c r="G2" s="204" t="s">
        <v>33</v>
      </c>
      <c r="H2" t="s">
        <v>34</v>
      </c>
      <c r="I2" s="204" t="s">
        <v>35</v>
      </c>
      <c r="J2" t="s">
        <v>36</v>
      </c>
      <c r="K2" s="209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 ht="13.9" hidden="1">
      <c r="A3" s="204" t="s">
        <v>37</v>
      </c>
      <c r="B3" t="s">
        <v>38</v>
      </c>
      <c r="C3" s="205">
        <v>623.33000000000004</v>
      </c>
      <c r="D3" t="s">
        <v>39</v>
      </c>
      <c r="E3" s="207" t="s">
        <v>31</v>
      </c>
      <c r="F3" t="s">
        <v>32</v>
      </c>
      <c r="G3" s="204" t="s">
        <v>40</v>
      </c>
      <c r="H3" t="s">
        <v>41</v>
      </c>
      <c r="I3" s="204" t="s">
        <v>35</v>
      </c>
      <c r="J3" t="s">
        <v>36</v>
      </c>
      <c r="K3" s="209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 ht="13.9" hidden="1">
      <c r="A4" s="204" t="s">
        <v>42</v>
      </c>
      <c r="B4" t="s">
        <v>43</v>
      </c>
      <c r="C4" s="205">
        <v>176.67</v>
      </c>
      <c r="D4" t="s">
        <v>44</v>
      </c>
      <c r="E4" s="207" t="s">
        <v>31</v>
      </c>
      <c r="F4" t="s">
        <v>32</v>
      </c>
      <c r="G4" s="204" t="s">
        <v>45</v>
      </c>
      <c r="H4" t="s">
        <v>46</v>
      </c>
      <c r="I4" s="204" t="s">
        <v>35</v>
      </c>
      <c r="J4" t="s">
        <v>36</v>
      </c>
      <c r="K4" s="209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1:21" ht="13.9" hidden="1">
      <c r="A5" s="204" t="s">
        <v>47</v>
      </c>
      <c r="B5" t="s">
        <v>48</v>
      </c>
      <c r="C5" s="205">
        <v>0.06</v>
      </c>
      <c r="D5" t="s">
        <v>49</v>
      </c>
      <c r="E5" s="207" t="s">
        <v>31</v>
      </c>
      <c r="F5" t="s">
        <v>32</v>
      </c>
      <c r="G5" s="204" t="s">
        <v>50</v>
      </c>
      <c r="H5" t="s">
        <v>51</v>
      </c>
      <c r="I5" s="204" t="s">
        <v>35</v>
      </c>
      <c r="J5" t="s">
        <v>36</v>
      </c>
      <c r="K5" s="209"/>
      <c r="L5" s="210"/>
      <c r="M5" s="210"/>
      <c r="N5" s="210"/>
      <c r="O5" s="210"/>
      <c r="P5" s="210"/>
      <c r="Q5" s="210"/>
      <c r="R5" s="210"/>
      <c r="S5" s="210"/>
      <c r="T5" s="210"/>
      <c r="U5" s="210"/>
    </row>
    <row r="6" spans="1:21" ht="13.9" hidden="1">
      <c r="A6" s="204" t="s">
        <v>52</v>
      </c>
      <c r="B6" t="s">
        <v>53</v>
      </c>
      <c r="C6" s="205">
        <v>183.33</v>
      </c>
      <c r="D6" t="s">
        <v>54</v>
      </c>
      <c r="E6" s="207" t="s">
        <v>31</v>
      </c>
      <c r="F6" t="s">
        <v>32</v>
      </c>
      <c r="G6" s="204" t="s">
        <v>55</v>
      </c>
      <c r="H6" t="s">
        <v>56</v>
      </c>
      <c r="I6" s="204" t="s">
        <v>35</v>
      </c>
      <c r="J6" t="s">
        <v>36</v>
      </c>
      <c r="K6" s="209"/>
      <c r="L6" s="210"/>
      <c r="M6" s="210"/>
      <c r="N6" s="210"/>
      <c r="O6" s="210"/>
      <c r="P6" s="210"/>
      <c r="Q6" s="210"/>
      <c r="R6" s="210"/>
      <c r="S6" s="210"/>
      <c r="T6" s="210"/>
      <c r="U6" s="210"/>
    </row>
    <row r="7" spans="1:21" ht="13.9" hidden="1">
      <c r="A7" s="204" t="s">
        <v>57</v>
      </c>
      <c r="B7" t="s">
        <v>58</v>
      </c>
      <c r="C7" s="205">
        <v>12500</v>
      </c>
      <c r="D7" t="s">
        <v>30</v>
      </c>
      <c r="E7" s="207" t="s">
        <v>31</v>
      </c>
      <c r="F7" t="s">
        <v>32</v>
      </c>
      <c r="G7" s="204" t="s">
        <v>59</v>
      </c>
      <c r="H7" t="s">
        <v>60</v>
      </c>
      <c r="I7" s="204" t="s">
        <v>35</v>
      </c>
      <c r="J7" t="s">
        <v>36</v>
      </c>
      <c r="K7" s="209"/>
      <c r="L7" s="210"/>
      <c r="M7" s="210"/>
      <c r="N7" s="210"/>
      <c r="O7" s="210"/>
      <c r="P7" s="210"/>
      <c r="Q7" s="210"/>
      <c r="R7" s="210"/>
      <c r="S7" s="210"/>
      <c r="T7" s="210"/>
      <c r="U7" s="210"/>
    </row>
    <row r="8" spans="1:21" ht="13.9" hidden="1">
      <c r="A8" s="204" t="s">
        <v>61</v>
      </c>
      <c r="B8" t="s">
        <v>62</v>
      </c>
      <c r="C8" s="205">
        <v>180.2</v>
      </c>
      <c r="D8" t="s">
        <v>30</v>
      </c>
      <c r="E8" s="207" t="s">
        <v>31</v>
      </c>
      <c r="F8" t="s">
        <v>32</v>
      </c>
      <c r="G8" s="204" t="s">
        <v>63</v>
      </c>
      <c r="H8" t="s">
        <v>64</v>
      </c>
      <c r="I8" s="204" t="s">
        <v>35</v>
      </c>
      <c r="J8" t="s">
        <v>36</v>
      </c>
      <c r="K8" s="209"/>
      <c r="L8" s="210"/>
      <c r="M8" s="210"/>
      <c r="N8" s="210"/>
      <c r="O8" s="210"/>
      <c r="P8" s="210"/>
      <c r="Q8" s="210"/>
      <c r="R8" s="210"/>
      <c r="S8" s="210"/>
      <c r="T8" s="210"/>
      <c r="U8" s="210"/>
    </row>
    <row r="9" spans="1:21" ht="13.9" hidden="1">
      <c r="A9" s="204" t="s">
        <v>65</v>
      </c>
      <c r="B9" t="s">
        <v>66</v>
      </c>
      <c r="C9" s="205">
        <v>0.11</v>
      </c>
      <c r="D9" t="s">
        <v>67</v>
      </c>
      <c r="E9" s="207" t="s">
        <v>31</v>
      </c>
      <c r="F9" t="s">
        <v>32</v>
      </c>
      <c r="G9" s="204" t="s">
        <v>68</v>
      </c>
      <c r="H9" t="s">
        <v>69</v>
      </c>
      <c r="I9" s="204" t="s">
        <v>35</v>
      </c>
      <c r="J9" t="s">
        <v>36</v>
      </c>
      <c r="K9" s="209"/>
      <c r="L9" s="210"/>
      <c r="M9" s="210"/>
      <c r="N9" s="210"/>
      <c r="O9" s="210"/>
      <c r="P9" s="210"/>
      <c r="Q9" s="210"/>
      <c r="R9" s="210"/>
      <c r="S9" s="210"/>
      <c r="T9" s="210"/>
      <c r="U9" s="210"/>
    </row>
    <row r="10" spans="1:21" ht="13.9" hidden="1">
      <c r="A10" s="204" t="s">
        <v>70</v>
      </c>
      <c r="B10" t="s">
        <v>71</v>
      </c>
      <c r="C10" s="205">
        <v>149</v>
      </c>
      <c r="D10" t="s">
        <v>54</v>
      </c>
      <c r="E10" s="207" t="s">
        <v>31</v>
      </c>
      <c r="F10" t="s">
        <v>32</v>
      </c>
      <c r="G10" s="204" t="s">
        <v>72</v>
      </c>
      <c r="H10" t="s">
        <v>73</v>
      </c>
      <c r="I10" s="204" t="s">
        <v>35</v>
      </c>
      <c r="J10" t="s">
        <v>36</v>
      </c>
      <c r="K10" s="209"/>
      <c r="L10" s="210"/>
      <c r="M10" s="210"/>
      <c r="N10" s="210"/>
      <c r="O10" s="210"/>
      <c r="P10" s="210"/>
      <c r="Q10" s="210"/>
      <c r="R10" s="210"/>
      <c r="S10" s="210"/>
      <c r="T10" s="210"/>
      <c r="U10" s="210"/>
    </row>
    <row r="11" spans="1:21" ht="13.9" hidden="1">
      <c r="A11" s="204" t="s">
        <v>74</v>
      </c>
      <c r="B11" t="s">
        <v>75</v>
      </c>
      <c r="C11" s="205">
        <v>833.33</v>
      </c>
      <c r="D11" t="s">
        <v>76</v>
      </c>
      <c r="E11" s="207" t="s">
        <v>31</v>
      </c>
      <c r="F11" t="s">
        <v>32</v>
      </c>
      <c r="G11" s="204" t="s">
        <v>77</v>
      </c>
      <c r="H11" t="s">
        <v>78</v>
      </c>
      <c r="I11" s="204" t="s">
        <v>35</v>
      </c>
      <c r="J11" t="s">
        <v>36</v>
      </c>
      <c r="K11" s="209"/>
      <c r="L11" s="210"/>
      <c r="M11" s="210"/>
      <c r="N11" s="210"/>
      <c r="O11" s="210"/>
      <c r="P11" s="210"/>
      <c r="Q11" s="210"/>
      <c r="R11" s="210"/>
      <c r="S11" s="210"/>
      <c r="T11" s="210"/>
      <c r="U11" s="210"/>
    </row>
    <row r="12" spans="1:21" ht="13.9" hidden="1">
      <c r="A12" s="204" t="s">
        <v>79</v>
      </c>
      <c r="B12" t="s">
        <v>80</v>
      </c>
      <c r="C12" s="205">
        <v>1266.67</v>
      </c>
      <c r="D12" t="s">
        <v>30</v>
      </c>
      <c r="E12" s="207" t="s">
        <v>31</v>
      </c>
      <c r="F12" t="s">
        <v>32</v>
      </c>
      <c r="G12" s="204" t="s">
        <v>81</v>
      </c>
      <c r="H12" t="s">
        <v>82</v>
      </c>
      <c r="I12" s="204" t="s">
        <v>35</v>
      </c>
      <c r="J12" t="s">
        <v>36</v>
      </c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</row>
    <row r="13" spans="1:21" ht="13.9" hidden="1">
      <c r="A13" s="204" t="s">
        <v>83</v>
      </c>
      <c r="B13" t="s">
        <v>84</v>
      </c>
      <c r="C13" s="205">
        <v>1060</v>
      </c>
      <c r="D13" t="s">
        <v>85</v>
      </c>
      <c r="E13" s="207" t="s">
        <v>31</v>
      </c>
      <c r="F13" t="s">
        <v>32</v>
      </c>
      <c r="G13" s="204" t="s">
        <v>86</v>
      </c>
      <c r="H13" t="s">
        <v>87</v>
      </c>
      <c r="I13" s="204" t="s">
        <v>35</v>
      </c>
      <c r="J13" t="s">
        <v>36</v>
      </c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</row>
    <row r="14" spans="1:21" ht="13.9" hidden="1">
      <c r="A14" s="204" t="s">
        <v>88</v>
      </c>
      <c r="B14" t="s">
        <v>89</v>
      </c>
      <c r="C14" s="205">
        <v>8.48</v>
      </c>
      <c r="D14" t="s">
        <v>90</v>
      </c>
      <c r="E14" s="207" t="s">
        <v>31</v>
      </c>
      <c r="F14" t="s">
        <v>32</v>
      </c>
      <c r="G14" s="204" t="s">
        <v>91</v>
      </c>
      <c r="H14" t="s">
        <v>92</v>
      </c>
      <c r="I14" s="204" t="s">
        <v>35</v>
      </c>
      <c r="J14" t="s">
        <v>36</v>
      </c>
      <c r="K14" s="209"/>
      <c r="L14" s="210"/>
      <c r="M14" s="210"/>
      <c r="N14" s="210"/>
      <c r="O14" s="210"/>
      <c r="P14" s="210"/>
      <c r="Q14" s="210"/>
      <c r="R14" s="210"/>
      <c r="S14" s="210"/>
      <c r="T14" s="210"/>
      <c r="U14" s="210"/>
    </row>
    <row r="15" spans="1:21" ht="13.9" hidden="1">
      <c r="A15" s="204" t="s">
        <v>93</v>
      </c>
      <c r="B15" t="s">
        <v>94</v>
      </c>
      <c r="C15" s="205">
        <v>3180</v>
      </c>
      <c r="D15" t="s">
        <v>95</v>
      </c>
      <c r="E15" s="207" t="s">
        <v>31</v>
      </c>
      <c r="F15" t="s">
        <v>32</v>
      </c>
      <c r="G15" s="204" t="s">
        <v>96</v>
      </c>
      <c r="H15" t="s">
        <v>97</v>
      </c>
      <c r="I15" s="204" t="s">
        <v>35</v>
      </c>
      <c r="J15" t="s">
        <v>36</v>
      </c>
      <c r="K15" s="209"/>
      <c r="L15" s="210"/>
      <c r="M15" s="210"/>
      <c r="N15" s="210"/>
      <c r="O15" s="210"/>
      <c r="P15" s="210"/>
      <c r="Q15" s="210"/>
      <c r="R15" s="210"/>
      <c r="S15" s="210"/>
      <c r="T15" s="210"/>
      <c r="U15" s="210"/>
    </row>
    <row r="16" spans="1:21" ht="13.9" hidden="1">
      <c r="A16" s="204" t="s">
        <v>98</v>
      </c>
      <c r="B16" t="s">
        <v>99</v>
      </c>
      <c r="C16" s="205">
        <v>18.329999999999998</v>
      </c>
      <c r="D16" t="s">
        <v>100</v>
      </c>
      <c r="E16" s="207" t="s">
        <v>31</v>
      </c>
      <c r="F16" t="s">
        <v>32</v>
      </c>
      <c r="G16" s="204" t="s">
        <v>101</v>
      </c>
      <c r="H16" t="s">
        <v>102</v>
      </c>
      <c r="I16" s="204" t="s">
        <v>35</v>
      </c>
      <c r="J16" t="s">
        <v>36</v>
      </c>
      <c r="K16" s="209"/>
      <c r="L16" s="210"/>
      <c r="M16" s="210"/>
      <c r="N16" s="210"/>
      <c r="O16" s="210"/>
      <c r="P16" s="210"/>
      <c r="Q16" s="210"/>
      <c r="R16" s="210"/>
      <c r="S16" s="210"/>
      <c r="T16" s="210"/>
      <c r="U16" s="210"/>
    </row>
    <row r="17" spans="1:21" ht="13.9" hidden="1">
      <c r="A17" s="204" t="s">
        <v>103</v>
      </c>
      <c r="B17" t="s">
        <v>104</v>
      </c>
      <c r="C17" s="205">
        <v>521.52</v>
      </c>
      <c r="D17" t="s">
        <v>30</v>
      </c>
      <c r="E17" s="207" t="s">
        <v>31</v>
      </c>
      <c r="F17" t="s">
        <v>32</v>
      </c>
      <c r="G17" s="204" t="s">
        <v>105</v>
      </c>
      <c r="H17" t="s">
        <v>106</v>
      </c>
      <c r="I17" s="204" t="s">
        <v>35</v>
      </c>
      <c r="J17" t="s">
        <v>36</v>
      </c>
      <c r="K17" s="209"/>
      <c r="L17" s="210"/>
      <c r="M17" s="210"/>
      <c r="N17" s="210"/>
      <c r="O17" s="210"/>
      <c r="P17" s="210"/>
      <c r="Q17" s="210"/>
      <c r="R17" s="210"/>
      <c r="S17" s="210"/>
      <c r="T17" s="210"/>
      <c r="U17" s="210"/>
    </row>
    <row r="18" spans="1:21" ht="13.9" hidden="1">
      <c r="A18" s="204" t="s">
        <v>107</v>
      </c>
      <c r="B18" t="s">
        <v>108</v>
      </c>
      <c r="C18" s="205">
        <v>326.67</v>
      </c>
      <c r="D18" t="s">
        <v>39</v>
      </c>
      <c r="E18" s="207" t="s">
        <v>31</v>
      </c>
      <c r="F18" t="s">
        <v>32</v>
      </c>
      <c r="G18" s="204" t="s">
        <v>109</v>
      </c>
      <c r="H18" t="s">
        <v>110</v>
      </c>
      <c r="I18" s="204" t="s">
        <v>35</v>
      </c>
      <c r="J18" t="s">
        <v>36</v>
      </c>
      <c r="K18" s="209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  <row r="19" spans="1:21" ht="13.9" hidden="1">
      <c r="A19" s="204" t="s">
        <v>111</v>
      </c>
      <c r="B19" t="s">
        <v>112</v>
      </c>
      <c r="C19" s="205">
        <v>222.6</v>
      </c>
      <c r="D19" t="s">
        <v>39</v>
      </c>
      <c r="E19" s="207" t="s">
        <v>31</v>
      </c>
      <c r="F19" t="s">
        <v>32</v>
      </c>
      <c r="G19" s="204" t="s">
        <v>113</v>
      </c>
      <c r="H19" t="s">
        <v>114</v>
      </c>
      <c r="I19" s="204" t="s">
        <v>35</v>
      </c>
      <c r="J19" t="s">
        <v>36</v>
      </c>
      <c r="K19" s="209"/>
      <c r="L19" s="210"/>
      <c r="M19" s="210"/>
      <c r="N19" s="210"/>
      <c r="O19" s="210"/>
      <c r="P19" s="210"/>
      <c r="Q19" s="210"/>
      <c r="R19" s="210"/>
      <c r="S19" s="210"/>
      <c r="T19" s="210"/>
      <c r="U19" s="210"/>
    </row>
    <row r="20" spans="1:21" ht="13.9" hidden="1">
      <c r="A20" s="204" t="s">
        <v>115</v>
      </c>
      <c r="B20" t="s">
        <v>116</v>
      </c>
      <c r="C20" s="205">
        <v>826.8</v>
      </c>
      <c r="D20" t="s">
        <v>39</v>
      </c>
      <c r="E20" s="207" t="s">
        <v>31</v>
      </c>
      <c r="F20" t="s">
        <v>32</v>
      </c>
      <c r="G20" s="204" t="s">
        <v>117</v>
      </c>
      <c r="H20" t="s">
        <v>118</v>
      </c>
      <c r="I20" s="204" t="s">
        <v>35</v>
      </c>
      <c r="J20" t="s">
        <v>36</v>
      </c>
      <c r="K20" s="209"/>
      <c r="L20" s="210"/>
      <c r="M20" s="210"/>
      <c r="N20" s="210"/>
      <c r="O20" s="210"/>
      <c r="P20" s="210"/>
      <c r="Q20" s="210"/>
      <c r="R20" s="210"/>
      <c r="S20" s="210"/>
      <c r="T20" s="210"/>
      <c r="U20" s="210"/>
    </row>
    <row r="21" spans="1:21" ht="13.9" hidden="1">
      <c r="A21" s="204" t="s">
        <v>119</v>
      </c>
      <c r="B21" t="s">
        <v>120</v>
      </c>
      <c r="C21" s="205">
        <v>2650</v>
      </c>
      <c r="D21" t="s">
        <v>30</v>
      </c>
      <c r="E21" s="207" t="s">
        <v>31</v>
      </c>
      <c r="F21" t="s">
        <v>32</v>
      </c>
      <c r="G21" s="204" t="s">
        <v>121</v>
      </c>
      <c r="H21" t="s">
        <v>122</v>
      </c>
      <c r="I21" s="204" t="s">
        <v>35</v>
      </c>
      <c r="J21" t="s">
        <v>36</v>
      </c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  <row r="22" spans="1:21" ht="13.9" hidden="1">
      <c r="A22" s="204" t="s">
        <v>123</v>
      </c>
      <c r="B22" t="s">
        <v>124</v>
      </c>
      <c r="C22" s="205">
        <v>530</v>
      </c>
      <c r="D22" t="s">
        <v>39</v>
      </c>
      <c r="E22" s="207" t="s">
        <v>31</v>
      </c>
      <c r="F22" t="s">
        <v>32</v>
      </c>
      <c r="G22" s="204" t="s">
        <v>125</v>
      </c>
      <c r="H22" t="s">
        <v>126</v>
      </c>
      <c r="I22" s="204" t="s">
        <v>35</v>
      </c>
      <c r="J22" t="s">
        <v>36</v>
      </c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21" ht="13.9" hidden="1">
      <c r="A23" s="204" t="s">
        <v>127</v>
      </c>
      <c r="B23" t="s">
        <v>128</v>
      </c>
      <c r="C23" s="205">
        <v>1400</v>
      </c>
      <c r="D23" t="s">
        <v>30</v>
      </c>
      <c r="E23" s="207" t="s">
        <v>31</v>
      </c>
      <c r="F23" t="s">
        <v>32</v>
      </c>
      <c r="G23" s="204" t="s">
        <v>129</v>
      </c>
      <c r="H23" t="s">
        <v>130</v>
      </c>
      <c r="I23" s="204" t="s">
        <v>35</v>
      </c>
      <c r="J23" t="s">
        <v>36</v>
      </c>
      <c r="K23" s="209"/>
      <c r="L23" s="210"/>
      <c r="M23" s="210"/>
      <c r="N23" s="210"/>
      <c r="O23" s="210"/>
      <c r="P23" s="210"/>
      <c r="Q23" s="210"/>
      <c r="R23" s="210"/>
      <c r="S23" s="210"/>
      <c r="T23" s="210"/>
      <c r="U23" s="210"/>
    </row>
    <row r="24" spans="1:21" ht="13.9" hidden="1">
      <c r="A24" s="204" t="s">
        <v>131</v>
      </c>
      <c r="B24" t="s">
        <v>132</v>
      </c>
      <c r="C24" s="205">
        <v>2433.33</v>
      </c>
      <c r="D24" t="s">
        <v>30</v>
      </c>
      <c r="E24" s="207" t="s">
        <v>31</v>
      </c>
      <c r="F24" t="s">
        <v>32</v>
      </c>
      <c r="G24" s="204" t="s">
        <v>133</v>
      </c>
      <c r="H24" t="s">
        <v>134</v>
      </c>
      <c r="I24" s="204" t="s">
        <v>35</v>
      </c>
      <c r="J24" t="s">
        <v>36</v>
      </c>
      <c r="K24" s="209"/>
      <c r="L24" s="210"/>
      <c r="M24" s="210"/>
      <c r="N24" s="210"/>
      <c r="O24" s="210"/>
      <c r="P24" s="210"/>
      <c r="Q24" s="210"/>
      <c r="R24" s="210"/>
      <c r="S24" s="210"/>
      <c r="T24" s="210"/>
      <c r="U24" s="210"/>
    </row>
    <row r="25" spans="1:21" ht="13.9" hidden="1">
      <c r="A25" s="204" t="s">
        <v>135</v>
      </c>
      <c r="B25" t="s">
        <v>136</v>
      </c>
      <c r="C25" s="205">
        <v>763.2</v>
      </c>
      <c r="D25" t="s">
        <v>30</v>
      </c>
      <c r="E25" s="207" t="s">
        <v>31</v>
      </c>
      <c r="F25" t="s">
        <v>32</v>
      </c>
      <c r="G25" s="204" t="s">
        <v>137</v>
      </c>
      <c r="H25" t="s">
        <v>138</v>
      </c>
      <c r="I25" s="204" t="s">
        <v>35</v>
      </c>
      <c r="J25" t="s">
        <v>36</v>
      </c>
      <c r="K25" s="209"/>
      <c r="L25" s="210"/>
      <c r="M25" s="210"/>
      <c r="N25" s="210"/>
      <c r="O25" s="210"/>
      <c r="P25" s="210"/>
      <c r="Q25" s="210"/>
      <c r="R25" s="210"/>
      <c r="S25" s="210"/>
      <c r="T25" s="210"/>
      <c r="U25" s="210"/>
    </row>
    <row r="26" spans="1:21" ht="13.9" hidden="1">
      <c r="A26" s="204" t="s">
        <v>139</v>
      </c>
      <c r="B26" t="s">
        <v>140</v>
      </c>
      <c r="C26" s="205">
        <v>2650</v>
      </c>
      <c r="D26" t="s">
        <v>141</v>
      </c>
      <c r="E26" s="207" t="s">
        <v>31</v>
      </c>
      <c r="F26" t="s">
        <v>32</v>
      </c>
      <c r="G26" s="204" t="s">
        <v>142</v>
      </c>
      <c r="H26" t="s">
        <v>143</v>
      </c>
      <c r="I26" s="204" t="s">
        <v>35</v>
      </c>
      <c r="J26" t="s">
        <v>36</v>
      </c>
      <c r="K26" s="209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 ht="13.9" hidden="1">
      <c r="A27" s="204" t="s">
        <v>144</v>
      </c>
      <c r="B27" t="s">
        <v>145</v>
      </c>
      <c r="C27" s="205">
        <v>127.2</v>
      </c>
      <c r="D27" t="s">
        <v>30</v>
      </c>
      <c r="E27" s="207" t="s">
        <v>31</v>
      </c>
      <c r="F27" t="s">
        <v>32</v>
      </c>
      <c r="G27" s="204" t="s">
        <v>146</v>
      </c>
      <c r="H27" t="s">
        <v>147</v>
      </c>
      <c r="I27" s="204" t="s">
        <v>35</v>
      </c>
      <c r="J27" t="s">
        <v>36</v>
      </c>
      <c r="K27" s="209"/>
      <c r="L27" s="210"/>
      <c r="M27" s="210"/>
      <c r="N27" s="210"/>
      <c r="O27" s="210"/>
      <c r="P27" s="210"/>
      <c r="Q27" s="210"/>
      <c r="R27" s="210"/>
      <c r="S27" s="210"/>
      <c r="T27" s="210"/>
      <c r="U27" s="210"/>
    </row>
    <row r="28" spans="1:21" ht="13.9" hidden="1">
      <c r="A28" s="204" t="s">
        <v>148</v>
      </c>
      <c r="B28" t="s">
        <v>149</v>
      </c>
      <c r="C28" s="205">
        <v>900</v>
      </c>
      <c r="D28" t="s">
        <v>30</v>
      </c>
      <c r="E28" s="207" t="s">
        <v>31</v>
      </c>
      <c r="F28" t="s">
        <v>32</v>
      </c>
      <c r="G28" s="204" t="s">
        <v>150</v>
      </c>
      <c r="H28" t="s">
        <v>151</v>
      </c>
      <c r="I28" s="204" t="s">
        <v>35</v>
      </c>
      <c r="J28" t="s">
        <v>36</v>
      </c>
      <c r="K28" s="209"/>
      <c r="L28" s="210"/>
      <c r="M28" s="210"/>
      <c r="N28" s="210"/>
      <c r="O28" s="210"/>
      <c r="P28" s="210"/>
      <c r="Q28" s="210"/>
      <c r="R28" s="210"/>
      <c r="S28" s="210"/>
      <c r="T28" s="210"/>
      <c r="U28" s="210"/>
    </row>
    <row r="29" spans="1:21" ht="13.9" hidden="1">
      <c r="A29" s="204" t="s">
        <v>152</v>
      </c>
      <c r="B29" t="s">
        <v>153</v>
      </c>
      <c r="C29" s="205">
        <v>10</v>
      </c>
      <c r="D29" t="s">
        <v>100</v>
      </c>
      <c r="E29" s="207" t="s">
        <v>31</v>
      </c>
      <c r="F29" t="s">
        <v>32</v>
      </c>
      <c r="G29" s="204" t="s">
        <v>154</v>
      </c>
      <c r="H29" t="s">
        <v>155</v>
      </c>
      <c r="I29" s="204" t="s">
        <v>35</v>
      </c>
      <c r="J29" t="s">
        <v>36</v>
      </c>
      <c r="K29" s="209"/>
      <c r="L29" s="210"/>
      <c r="M29" s="210"/>
      <c r="N29" s="210"/>
      <c r="O29" s="210"/>
      <c r="P29" s="210"/>
      <c r="Q29" s="210"/>
      <c r="R29" s="210"/>
      <c r="S29" s="210"/>
      <c r="T29" s="210"/>
      <c r="U29" s="210"/>
    </row>
    <row r="30" spans="1:21" ht="13.9" hidden="1">
      <c r="A30" s="204" t="s">
        <v>156</v>
      </c>
      <c r="B30" t="s">
        <v>157</v>
      </c>
      <c r="C30" s="205">
        <v>1272</v>
      </c>
      <c r="D30" t="s">
        <v>158</v>
      </c>
      <c r="E30" s="207" t="s">
        <v>31</v>
      </c>
      <c r="F30" t="s">
        <v>32</v>
      </c>
      <c r="G30" s="204" t="s">
        <v>159</v>
      </c>
      <c r="H30" t="s">
        <v>160</v>
      </c>
      <c r="I30" s="204" t="s">
        <v>35</v>
      </c>
      <c r="J30" t="s">
        <v>36</v>
      </c>
      <c r="K30" s="209"/>
    </row>
    <row r="31" spans="1:21" ht="13.9">
      <c r="A31" s="204" t="s">
        <v>161</v>
      </c>
      <c r="B31" t="s">
        <v>162</v>
      </c>
      <c r="C31" s="205">
        <v>689</v>
      </c>
      <c r="D31" t="s">
        <v>163</v>
      </c>
      <c r="E31" s="207" t="s">
        <v>31</v>
      </c>
      <c r="F31" t="s">
        <v>32</v>
      </c>
      <c r="G31" s="204" t="s">
        <v>164</v>
      </c>
      <c r="H31" t="s">
        <v>165</v>
      </c>
      <c r="I31" s="204" t="s">
        <v>35</v>
      </c>
      <c r="J31" t="s">
        <v>36</v>
      </c>
      <c r="K31" s="209"/>
    </row>
    <row r="32" spans="1:21" ht="13.9" hidden="1">
      <c r="A32" s="204" t="s">
        <v>166</v>
      </c>
      <c r="B32" t="s">
        <v>167</v>
      </c>
      <c r="C32" s="205">
        <v>318</v>
      </c>
      <c r="D32" t="s">
        <v>30</v>
      </c>
      <c r="E32" s="207" t="s">
        <v>31</v>
      </c>
      <c r="F32" t="s">
        <v>32</v>
      </c>
      <c r="G32" s="204" t="s">
        <v>168</v>
      </c>
      <c r="H32" t="s">
        <v>169</v>
      </c>
      <c r="I32" s="204" t="s">
        <v>35</v>
      </c>
      <c r="J32" t="s">
        <v>36</v>
      </c>
      <c r="K32" s="209"/>
    </row>
    <row r="33" spans="1:11" ht="13.9" hidden="1">
      <c r="A33" s="204" t="s">
        <v>170</v>
      </c>
      <c r="B33" t="s">
        <v>171</v>
      </c>
      <c r="C33" s="205">
        <v>381.6</v>
      </c>
      <c r="D33" t="s">
        <v>30</v>
      </c>
      <c r="E33" s="207" t="s">
        <v>31</v>
      </c>
      <c r="F33" t="s">
        <v>32</v>
      </c>
      <c r="G33" s="204" t="s">
        <v>172</v>
      </c>
      <c r="H33" t="s">
        <v>173</v>
      </c>
      <c r="I33" s="204" t="s">
        <v>35</v>
      </c>
      <c r="J33" t="s">
        <v>36</v>
      </c>
      <c r="K33" s="209"/>
    </row>
    <row r="34" spans="1:11" ht="13.9" hidden="1">
      <c r="A34" s="204" t="s">
        <v>174</v>
      </c>
      <c r="B34" t="s">
        <v>175</v>
      </c>
      <c r="C34" s="205">
        <v>128.26</v>
      </c>
      <c r="D34" t="s">
        <v>54</v>
      </c>
      <c r="E34" s="207" t="s">
        <v>31</v>
      </c>
      <c r="F34" t="s">
        <v>32</v>
      </c>
      <c r="G34" s="204" t="s">
        <v>176</v>
      </c>
      <c r="H34" t="s">
        <v>177</v>
      </c>
      <c r="I34" s="204" t="s">
        <v>35</v>
      </c>
      <c r="J34" t="s">
        <v>36</v>
      </c>
      <c r="K34" s="209"/>
    </row>
    <row r="35" spans="1:11" ht="13.9" hidden="1">
      <c r="A35" s="204" t="s">
        <v>178</v>
      </c>
      <c r="B35" t="s">
        <v>179</v>
      </c>
      <c r="C35" s="205">
        <v>106</v>
      </c>
      <c r="D35" t="s">
        <v>90</v>
      </c>
      <c r="E35" s="207" t="s">
        <v>31</v>
      </c>
      <c r="F35" t="s">
        <v>32</v>
      </c>
      <c r="G35" s="204" t="s">
        <v>180</v>
      </c>
      <c r="H35" t="s">
        <v>181</v>
      </c>
      <c r="I35" s="204" t="s">
        <v>35</v>
      </c>
      <c r="J35" t="s">
        <v>36</v>
      </c>
      <c r="K35" s="209"/>
    </row>
    <row r="36" spans="1:11" ht="13.9" hidden="1">
      <c r="A36" s="204" t="s">
        <v>182</v>
      </c>
      <c r="B36" t="s">
        <v>183</v>
      </c>
      <c r="C36" s="205">
        <v>171.72</v>
      </c>
      <c r="D36" t="s">
        <v>44</v>
      </c>
      <c r="E36" s="207" t="s">
        <v>31</v>
      </c>
      <c r="F36" t="s">
        <v>32</v>
      </c>
      <c r="G36" s="204" t="s">
        <v>184</v>
      </c>
      <c r="H36" t="s">
        <v>185</v>
      </c>
      <c r="I36" s="204" t="s">
        <v>35</v>
      </c>
      <c r="J36" t="s">
        <v>36</v>
      </c>
      <c r="K36" s="209"/>
    </row>
    <row r="37" spans="1:11" ht="13.9" hidden="1">
      <c r="A37" s="204" t="s">
        <v>186</v>
      </c>
      <c r="B37" t="s">
        <v>187</v>
      </c>
      <c r="C37" s="205">
        <v>21.2</v>
      </c>
      <c r="D37" t="s">
        <v>39</v>
      </c>
      <c r="E37" s="207" t="s">
        <v>31</v>
      </c>
      <c r="F37" t="s">
        <v>32</v>
      </c>
      <c r="G37" s="204" t="s">
        <v>188</v>
      </c>
      <c r="H37" t="s">
        <v>189</v>
      </c>
      <c r="I37" s="204" t="s">
        <v>35</v>
      </c>
      <c r="J37" t="s">
        <v>36</v>
      </c>
      <c r="K37" s="209"/>
    </row>
    <row r="38" spans="1:11" ht="13.9">
      <c r="A38" s="204" t="s">
        <v>190</v>
      </c>
      <c r="B38" t="s">
        <v>191</v>
      </c>
      <c r="C38" s="205">
        <v>316.67</v>
      </c>
      <c r="D38" t="s">
        <v>163</v>
      </c>
      <c r="E38" s="207" t="s">
        <v>31</v>
      </c>
      <c r="F38" t="s">
        <v>32</v>
      </c>
      <c r="G38" s="204" t="s">
        <v>192</v>
      </c>
      <c r="H38" t="s">
        <v>193</v>
      </c>
      <c r="I38" s="204" t="s">
        <v>35</v>
      </c>
      <c r="J38" t="s">
        <v>36</v>
      </c>
      <c r="K38" s="209"/>
    </row>
    <row r="39" spans="1:11" ht="13.9" hidden="1">
      <c r="A39" s="204" t="s">
        <v>194</v>
      </c>
      <c r="B39" t="s">
        <v>195</v>
      </c>
      <c r="C39" s="205">
        <v>1.6</v>
      </c>
      <c r="D39" t="s">
        <v>196</v>
      </c>
      <c r="E39" s="207" t="s">
        <v>31</v>
      </c>
      <c r="F39" t="s">
        <v>32</v>
      </c>
      <c r="G39" s="204" t="s">
        <v>197</v>
      </c>
      <c r="H39" t="s">
        <v>198</v>
      </c>
      <c r="I39" s="204" t="s">
        <v>35</v>
      </c>
      <c r="J39" t="s">
        <v>36</v>
      </c>
      <c r="K39" s="209"/>
    </row>
    <row r="40" spans="1:11" ht="13.9" hidden="1">
      <c r="A40" s="204" t="s">
        <v>199</v>
      </c>
      <c r="B40" t="s">
        <v>200</v>
      </c>
      <c r="C40" s="205">
        <v>487.6</v>
      </c>
      <c r="D40" t="s">
        <v>39</v>
      </c>
      <c r="E40" s="207" t="s">
        <v>31</v>
      </c>
      <c r="F40" t="s">
        <v>32</v>
      </c>
      <c r="G40" s="204" t="s">
        <v>201</v>
      </c>
      <c r="H40" t="s">
        <v>202</v>
      </c>
      <c r="I40" s="204" t="s">
        <v>35</v>
      </c>
      <c r="J40" t="s">
        <v>36</v>
      </c>
      <c r="K40" s="209"/>
    </row>
    <row r="41" spans="1:11" ht="13.9" hidden="1">
      <c r="A41" s="204" t="s">
        <v>203</v>
      </c>
      <c r="B41" t="s">
        <v>204</v>
      </c>
      <c r="C41" s="205">
        <v>580</v>
      </c>
      <c r="D41" t="s">
        <v>39</v>
      </c>
      <c r="E41" s="207" t="s">
        <v>31</v>
      </c>
      <c r="F41" t="s">
        <v>32</v>
      </c>
      <c r="G41" s="204" t="s">
        <v>205</v>
      </c>
      <c r="H41" t="s">
        <v>206</v>
      </c>
      <c r="I41" s="204" t="s">
        <v>35</v>
      </c>
      <c r="J41" t="s">
        <v>36</v>
      </c>
      <c r="K41" s="209"/>
    </row>
    <row r="42" spans="1:11" ht="13.9" hidden="1">
      <c r="A42" s="204" t="s">
        <v>207</v>
      </c>
      <c r="B42" t="s">
        <v>208</v>
      </c>
      <c r="C42" s="205">
        <v>424</v>
      </c>
      <c r="D42" t="s">
        <v>39</v>
      </c>
      <c r="E42" s="207" t="s">
        <v>31</v>
      </c>
      <c r="F42" t="s">
        <v>32</v>
      </c>
      <c r="G42" s="204" t="s">
        <v>209</v>
      </c>
      <c r="H42" t="s">
        <v>210</v>
      </c>
      <c r="I42" s="204" t="s">
        <v>35</v>
      </c>
      <c r="J42" t="s">
        <v>36</v>
      </c>
      <c r="K42" s="209"/>
    </row>
    <row r="43" spans="1:11" ht="13.9" hidden="1">
      <c r="A43" s="204" t="s">
        <v>211</v>
      </c>
      <c r="B43" t="s">
        <v>212</v>
      </c>
      <c r="C43" s="205">
        <v>424</v>
      </c>
      <c r="D43" t="s">
        <v>30</v>
      </c>
      <c r="E43" s="207" t="s">
        <v>31</v>
      </c>
      <c r="F43" t="s">
        <v>32</v>
      </c>
      <c r="G43" s="204" t="s">
        <v>213</v>
      </c>
      <c r="H43" t="s">
        <v>214</v>
      </c>
      <c r="I43" s="204" t="s">
        <v>35</v>
      </c>
      <c r="J43" t="s">
        <v>36</v>
      </c>
      <c r="K43" s="209"/>
    </row>
    <row r="44" spans="1:11" ht="13.9" hidden="1">
      <c r="A44" s="204" t="s">
        <v>215</v>
      </c>
      <c r="B44" t="s">
        <v>216</v>
      </c>
      <c r="C44" s="205">
        <v>5.3</v>
      </c>
      <c r="D44" t="s">
        <v>90</v>
      </c>
      <c r="E44" s="207" t="s">
        <v>31</v>
      </c>
      <c r="F44" t="s">
        <v>32</v>
      </c>
      <c r="G44" s="204" t="s">
        <v>217</v>
      </c>
      <c r="H44" t="s">
        <v>218</v>
      </c>
      <c r="I44" s="204" t="s">
        <v>35</v>
      </c>
      <c r="J44" t="s">
        <v>36</v>
      </c>
      <c r="K44" s="209"/>
    </row>
    <row r="45" spans="1:11" ht="13.9" hidden="1">
      <c r="A45" s="204" t="s">
        <v>219</v>
      </c>
      <c r="B45" t="s">
        <v>220</v>
      </c>
      <c r="C45" s="205">
        <v>530</v>
      </c>
      <c r="D45" t="s">
        <v>95</v>
      </c>
      <c r="E45" s="207" t="s">
        <v>31</v>
      </c>
      <c r="F45" t="s">
        <v>32</v>
      </c>
      <c r="G45" s="204" t="s">
        <v>221</v>
      </c>
      <c r="H45" t="s">
        <v>222</v>
      </c>
      <c r="I45" s="204" t="s">
        <v>35</v>
      </c>
      <c r="J45" t="s">
        <v>36</v>
      </c>
      <c r="K45" s="209"/>
    </row>
    <row r="46" spans="1:11" ht="13.9" hidden="1">
      <c r="A46" s="204" t="s">
        <v>223</v>
      </c>
      <c r="B46" t="s">
        <v>224</v>
      </c>
      <c r="C46" s="205">
        <v>206.67</v>
      </c>
      <c r="D46" t="s">
        <v>39</v>
      </c>
      <c r="E46" s="207" t="s">
        <v>31</v>
      </c>
      <c r="F46" t="s">
        <v>32</v>
      </c>
      <c r="G46" s="204" t="s">
        <v>225</v>
      </c>
      <c r="H46" t="s">
        <v>226</v>
      </c>
      <c r="I46" s="204" t="s">
        <v>35</v>
      </c>
      <c r="J46" t="s">
        <v>36</v>
      </c>
      <c r="K46" s="209"/>
    </row>
    <row r="47" spans="1:11" ht="13.9" hidden="1">
      <c r="A47" s="204" t="s">
        <v>227</v>
      </c>
      <c r="B47" t="s">
        <v>228</v>
      </c>
      <c r="C47" s="205">
        <v>127.2</v>
      </c>
      <c r="D47" t="s">
        <v>39</v>
      </c>
      <c r="E47" s="207" t="s">
        <v>31</v>
      </c>
      <c r="F47" t="s">
        <v>32</v>
      </c>
      <c r="G47" s="204" t="s">
        <v>229</v>
      </c>
      <c r="H47" t="s">
        <v>230</v>
      </c>
      <c r="I47" s="204" t="s">
        <v>35</v>
      </c>
      <c r="J47" t="s">
        <v>36</v>
      </c>
      <c r="K47" s="209"/>
    </row>
    <row r="48" spans="1:11" ht="13.9" hidden="1">
      <c r="A48" s="204" t="s">
        <v>231</v>
      </c>
      <c r="B48" t="s">
        <v>232</v>
      </c>
      <c r="C48" s="205">
        <v>1390.56</v>
      </c>
      <c r="D48" t="s">
        <v>39</v>
      </c>
      <c r="E48" s="207" t="s">
        <v>31</v>
      </c>
      <c r="F48" t="s">
        <v>32</v>
      </c>
      <c r="G48" s="204" t="s">
        <v>233</v>
      </c>
      <c r="H48" t="s">
        <v>234</v>
      </c>
      <c r="I48" s="204" t="s">
        <v>35</v>
      </c>
      <c r="J48" t="s">
        <v>36</v>
      </c>
      <c r="K48" s="209"/>
    </row>
    <row r="49" spans="1:11" ht="13.9" hidden="1">
      <c r="A49" s="204" t="s">
        <v>235</v>
      </c>
      <c r="B49" t="s">
        <v>236</v>
      </c>
      <c r="C49" s="205">
        <v>42.4</v>
      </c>
      <c r="D49" t="s">
        <v>237</v>
      </c>
      <c r="E49" s="207" t="s">
        <v>31</v>
      </c>
      <c r="F49" t="s">
        <v>32</v>
      </c>
      <c r="G49" s="204" t="s">
        <v>238</v>
      </c>
      <c r="H49" t="s">
        <v>239</v>
      </c>
      <c r="I49" s="204" t="s">
        <v>35</v>
      </c>
      <c r="J49" t="s">
        <v>36</v>
      </c>
      <c r="K49" s="209"/>
    </row>
    <row r="50" spans="1:11" ht="13.9" hidden="1">
      <c r="A50" s="204" t="s">
        <v>240</v>
      </c>
      <c r="B50" t="s">
        <v>241</v>
      </c>
      <c r="C50" s="205">
        <v>50.88</v>
      </c>
      <c r="D50" t="s">
        <v>39</v>
      </c>
      <c r="E50" s="207" t="s">
        <v>31</v>
      </c>
      <c r="F50" t="s">
        <v>32</v>
      </c>
      <c r="G50" s="204" t="s">
        <v>242</v>
      </c>
      <c r="H50" t="s">
        <v>243</v>
      </c>
      <c r="I50" s="204" t="s">
        <v>35</v>
      </c>
      <c r="J50" t="s">
        <v>36</v>
      </c>
      <c r="K50" s="209"/>
    </row>
    <row r="51" spans="1:11" ht="13.9" hidden="1">
      <c r="A51" s="204" t="s">
        <v>244</v>
      </c>
      <c r="B51" t="s">
        <v>245</v>
      </c>
      <c r="C51" s="205">
        <v>123.33</v>
      </c>
      <c r="D51" t="s">
        <v>196</v>
      </c>
      <c r="E51" s="207" t="s">
        <v>31</v>
      </c>
      <c r="F51" t="s">
        <v>32</v>
      </c>
      <c r="G51" s="204" t="s">
        <v>246</v>
      </c>
      <c r="H51" t="s">
        <v>247</v>
      </c>
      <c r="I51" s="204" t="s">
        <v>35</v>
      </c>
      <c r="J51" t="s">
        <v>36</v>
      </c>
      <c r="K51" s="209"/>
    </row>
    <row r="52" spans="1:11" ht="13.9" hidden="1">
      <c r="A52" s="204" t="s">
        <v>248</v>
      </c>
      <c r="B52" t="s">
        <v>249</v>
      </c>
      <c r="C52" s="205">
        <v>24.38</v>
      </c>
      <c r="D52" t="s">
        <v>141</v>
      </c>
      <c r="E52" s="207" t="s">
        <v>31</v>
      </c>
      <c r="F52" t="s">
        <v>32</v>
      </c>
      <c r="G52" s="204" t="s">
        <v>250</v>
      </c>
      <c r="H52" t="s">
        <v>251</v>
      </c>
      <c r="I52" s="204" t="s">
        <v>35</v>
      </c>
      <c r="J52" t="s">
        <v>36</v>
      </c>
      <c r="K52" s="209"/>
    </row>
    <row r="53" spans="1:11" ht="13.9" hidden="1">
      <c r="A53" s="204" t="s">
        <v>252</v>
      </c>
      <c r="B53" t="s">
        <v>253</v>
      </c>
      <c r="C53" s="205">
        <v>318</v>
      </c>
      <c r="D53" t="s">
        <v>254</v>
      </c>
      <c r="E53" s="207" t="s">
        <v>31</v>
      </c>
      <c r="F53" t="s">
        <v>32</v>
      </c>
      <c r="G53" s="204" t="s">
        <v>255</v>
      </c>
      <c r="H53" t="s">
        <v>256</v>
      </c>
      <c r="I53" s="204" t="s">
        <v>35</v>
      </c>
      <c r="J53" t="s">
        <v>36</v>
      </c>
      <c r="K53" s="209"/>
    </row>
    <row r="54" spans="1:11" ht="13.9">
      <c r="A54" s="204" t="s">
        <v>257</v>
      </c>
      <c r="B54" t="s">
        <v>258</v>
      </c>
      <c r="C54" s="205">
        <v>0.1</v>
      </c>
      <c r="D54" t="s">
        <v>49</v>
      </c>
      <c r="E54" s="207" t="s">
        <v>31</v>
      </c>
      <c r="F54" t="s">
        <v>32</v>
      </c>
      <c r="G54" s="204" t="s">
        <v>259</v>
      </c>
      <c r="H54" t="s">
        <v>260</v>
      </c>
      <c r="I54" s="204" t="s">
        <v>35</v>
      </c>
      <c r="J54" t="s">
        <v>36</v>
      </c>
      <c r="K54" s="209"/>
    </row>
    <row r="55" spans="1:11" ht="13.9" hidden="1">
      <c r="A55" s="204" t="s">
        <v>261</v>
      </c>
      <c r="B55" t="s">
        <v>262</v>
      </c>
      <c r="C55" s="205">
        <v>1.91</v>
      </c>
      <c r="D55" t="s">
        <v>196</v>
      </c>
      <c r="E55" s="207" t="s">
        <v>31</v>
      </c>
      <c r="F55" t="s">
        <v>32</v>
      </c>
      <c r="G55" s="204" t="s">
        <v>263</v>
      </c>
      <c r="H55" t="s">
        <v>264</v>
      </c>
      <c r="I55" s="204" t="s">
        <v>35</v>
      </c>
      <c r="J55" t="s">
        <v>36</v>
      </c>
      <c r="K55" s="209"/>
    </row>
    <row r="56" spans="1:11" ht="13.9" hidden="1">
      <c r="A56" s="204" t="s">
        <v>265</v>
      </c>
      <c r="B56" t="s">
        <v>266</v>
      </c>
      <c r="C56" s="205">
        <v>95.4</v>
      </c>
      <c r="D56" t="s">
        <v>39</v>
      </c>
      <c r="E56" s="207" t="s">
        <v>31</v>
      </c>
      <c r="F56" t="s">
        <v>32</v>
      </c>
      <c r="G56" s="204" t="s">
        <v>267</v>
      </c>
      <c r="H56" t="s">
        <v>268</v>
      </c>
      <c r="I56" s="204" t="s">
        <v>35</v>
      </c>
      <c r="J56" t="s">
        <v>36</v>
      </c>
      <c r="K56" s="209"/>
    </row>
    <row r="57" spans="1:11" ht="13.9" hidden="1">
      <c r="A57" s="204" t="s">
        <v>269</v>
      </c>
      <c r="B57" t="s">
        <v>270</v>
      </c>
      <c r="C57" s="205">
        <v>700</v>
      </c>
      <c r="D57" t="s">
        <v>30</v>
      </c>
      <c r="E57" s="207" t="s">
        <v>31</v>
      </c>
      <c r="F57" t="s">
        <v>32</v>
      </c>
      <c r="G57" s="204" t="s">
        <v>271</v>
      </c>
      <c r="H57" t="s">
        <v>272</v>
      </c>
      <c r="I57" s="204" t="s">
        <v>35</v>
      </c>
      <c r="J57" t="s">
        <v>36</v>
      </c>
      <c r="K57" s="209"/>
    </row>
    <row r="58" spans="1:11" ht="13.9" hidden="1">
      <c r="A58" s="204" t="s">
        <v>273</v>
      </c>
      <c r="B58" t="s">
        <v>274</v>
      </c>
      <c r="C58" s="205">
        <v>1590</v>
      </c>
      <c r="D58" t="s">
        <v>30</v>
      </c>
      <c r="E58" s="207" t="s">
        <v>31</v>
      </c>
      <c r="F58" t="s">
        <v>32</v>
      </c>
      <c r="G58" s="204" t="s">
        <v>275</v>
      </c>
      <c r="H58" t="s">
        <v>276</v>
      </c>
      <c r="I58" s="204" t="s">
        <v>35</v>
      </c>
      <c r="J58" t="s">
        <v>36</v>
      </c>
      <c r="K58" s="209"/>
    </row>
    <row r="59" spans="1:11" ht="13.9" hidden="1">
      <c r="A59" s="204" t="s">
        <v>277</v>
      </c>
      <c r="B59" t="s">
        <v>278</v>
      </c>
      <c r="C59" s="205">
        <v>90.1</v>
      </c>
      <c r="D59" t="s">
        <v>39</v>
      </c>
      <c r="E59" s="207" t="s">
        <v>31</v>
      </c>
      <c r="F59" t="s">
        <v>32</v>
      </c>
      <c r="G59" s="204" t="s">
        <v>279</v>
      </c>
      <c r="H59" t="s">
        <v>280</v>
      </c>
      <c r="I59" s="204" t="s">
        <v>35</v>
      </c>
      <c r="J59" t="s">
        <v>36</v>
      </c>
      <c r="K59" s="209"/>
    </row>
    <row r="60" spans="1:11" ht="13.9" hidden="1">
      <c r="A60" s="204" t="s">
        <v>281</v>
      </c>
      <c r="B60" t="s">
        <v>282</v>
      </c>
      <c r="C60" s="205">
        <v>73.33</v>
      </c>
      <c r="D60" t="s">
        <v>196</v>
      </c>
      <c r="E60" s="207" t="s">
        <v>31</v>
      </c>
      <c r="F60" t="s">
        <v>32</v>
      </c>
      <c r="G60" s="204" t="s">
        <v>283</v>
      </c>
      <c r="H60" t="s">
        <v>284</v>
      </c>
      <c r="I60" s="204" t="s">
        <v>35</v>
      </c>
      <c r="J60" t="s">
        <v>36</v>
      </c>
      <c r="K60" s="209"/>
    </row>
    <row r="61" spans="1:11" ht="13.9" hidden="1">
      <c r="A61" s="204" t="s">
        <v>285</v>
      </c>
      <c r="B61" t="s">
        <v>286</v>
      </c>
      <c r="C61" s="205">
        <v>424</v>
      </c>
      <c r="D61" t="s">
        <v>39</v>
      </c>
      <c r="E61" s="207" t="s">
        <v>31</v>
      </c>
      <c r="F61" t="s">
        <v>32</v>
      </c>
      <c r="G61" s="204" t="s">
        <v>287</v>
      </c>
      <c r="H61" t="s">
        <v>288</v>
      </c>
      <c r="I61" s="204" t="s">
        <v>35</v>
      </c>
      <c r="J61" t="s">
        <v>36</v>
      </c>
      <c r="K61" s="209"/>
    </row>
    <row r="62" spans="1:11" ht="13.9" hidden="1">
      <c r="A62" s="204" t="s">
        <v>289</v>
      </c>
      <c r="B62" t="s">
        <v>290</v>
      </c>
      <c r="C62" s="205">
        <v>46.67</v>
      </c>
      <c r="D62" t="s">
        <v>39</v>
      </c>
      <c r="E62" s="207" t="s">
        <v>31</v>
      </c>
      <c r="F62" t="s">
        <v>32</v>
      </c>
      <c r="G62" s="204" t="s">
        <v>291</v>
      </c>
      <c r="H62" t="s">
        <v>292</v>
      </c>
      <c r="I62" s="204" t="s">
        <v>35</v>
      </c>
      <c r="J62" t="s">
        <v>36</v>
      </c>
      <c r="K62" s="209"/>
    </row>
    <row r="63" spans="1:11" ht="13.9" hidden="1">
      <c r="A63" s="204" t="s">
        <v>293</v>
      </c>
      <c r="B63" t="s">
        <v>294</v>
      </c>
      <c r="C63" s="205">
        <v>689</v>
      </c>
      <c r="D63" t="s">
        <v>30</v>
      </c>
      <c r="E63" s="207" t="s">
        <v>31</v>
      </c>
      <c r="F63" t="s">
        <v>32</v>
      </c>
      <c r="G63" s="204" t="s">
        <v>295</v>
      </c>
      <c r="H63" t="s">
        <v>296</v>
      </c>
      <c r="I63" s="204" t="s">
        <v>35</v>
      </c>
      <c r="J63" t="s">
        <v>36</v>
      </c>
      <c r="K63" s="209"/>
    </row>
    <row r="64" spans="1:11" ht="13.9" hidden="1">
      <c r="A64" s="204" t="s">
        <v>297</v>
      </c>
      <c r="B64" t="s">
        <v>298</v>
      </c>
      <c r="C64" s="205">
        <v>499</v>
      </c>
      <c r="D64" t="s">
        <v>30</v>
      </c>
      <c r="E64" s="207" t="s">
        <v>31</v>
      </c>
      <c r="F64" t="s">
        <v>32</v>
      </c>
      <c r="G64" s="204" t="s">
        <v>299</v>
      </c>
      <c r="H64" t="s">
        <v>300</v>
      </c>
      <c r="I64" s="204" t="s">
        <v>35</v>
      </c>
      <c r="J64" t="s">
        <v>36</v>
      </c>
      <c r="K64" s="209"/>
    </row>
    <row r="65" spans="1:11" ht="13.9" hidden="1">
      <c r="A65" s="204" t="s">
        <v>301</v>
      </c>
      <c r="B65" t="s">
        <v>302</v>
      </c>
      <c r="C65" s="205">
        <v>148.4</v>
      </c>
      <c r="D65" t="s">
        <v>39</v>
      </c>
      <c r="E65" s="207" t="s">
        <v>31</v>
      </c>
      <c r="F65" t="s">
        <v>32</v>
      </c>
      <c r="G65" s="204" t="s">
        <v>303</v>
      </c>
      <c r="H65" t="s">
        <v>304</v>
      </c>
      <c r="I65" s="204" t="s">
        <v>35</v>
      </c>
      <c r="J65" t="s">
        <v>36</v>
      </c>
      <c r="K65" s="209"/>
    </row>
    <row r="66" spans="1:11" ht="13.9" hidden="1">
      <c r="A66" s="204" t="s">
        <v>305</v>
      </c>
      <c r="B66" t="s">
        <v>306</v>
      </c>
      <c r="C66" s="205">
        <v>148.4</v>
      </c>
      <c r="D66" t="s">
        <v>30</v>
      </c>
      <c r="E66" s="207" t="s">
        <v>31</v>
      </c>
      <c r="F66" t="s">
        <v>32</v>
      </c>
      <c r="G66" s="204" t="s">
        <v>307</v>
      </c>
      <c r="H66" t="s">
        <v>308</v>
      </c>
      <c r="I66" s="204" t="s">
        <v>35</v>
      </c>
      <c r="J66" t="s">
        <v>36</v>
      </c>
      <c r="K66" s="209"/>
    </row>
    <row r="67" spans="1:11" ht="13.9" hidden="1">
      <c r="A67" s="204" t="s">
        <v>309</v>
      </c>
      <c r="B67" t="s">
        <v>310</v>
      </c>
      <c r="C67" s="205">
        <v>63.6</v>
      </c>
      <c r="D67" t="s">
        <v>90</v>
      </c>
      <c r="E67" s="207" t="s">
        <v>31</v>
      </c>
      <c r="F67" t="s">
        <v>32</v>
      </c>
      <c r="G67" s="204" t="s">
        <v>311</v>
      </c>
      <c r="H67" t="s">
        <v>312</v>
      </c>
      <c r="I67" s="204" t="s">
        <v>35</v>
      </c>
      <c r="J67" t="s">
        <v>36</v>
      </c>
      <c r="K67" s="209"/>
    </row>
    <row r="68" spans="1:11" ht="13.9" hidden="1">
      <c r="A68" s="204" t="s">
        <v>313</v>
      </c>
      <c r="B68" t="s">
        <v>314</v>
      </c>
      <c r="C68" s="205">
        <v>1219</v>
      </c>
      <c r="D68" t="s">
        <v>30</v>
      </c>
      <c r="E68" s="207" t="s">
        <v>31</v>
      </c>
      <c r="F68" t="s">
        <v>32</v>
      </c>
      <c r="G68" s="204" t="s">
        <v>315</v>
      </c>
      <c r="H68" t="s">
        <v>316</v>
      </c>
      <c r="I68" s="204" t="s">
        <v>35</v>
      </c>
      <c r="J68" t="s">
        <v>36</v>
      </c>
      <c r="K68" s="209"/>
    </row>
    <row r="69" spans="1:11" ht="13.9" hidden="1">
      <c r="A69" s="204" t="s">
        <v>317</v>
      </c>
      <c r="B69" t="s">
        <v>318</v>
      </c>
      <c r="C69" s="205">
        <v>436.67</v>
      </c>
      <c r="D69" t="s">
        <v>39</v>
      </c>
      <c r="E69" s="207" t="s">
        <v>31</v>
      </c>
      <c r="F69" t="s">
        <v>32</v>
      </c>
      <c r="G69" s="204" t="s">
        <v>319</v>
      </c>
      <c r="H69" t="s">
        <v>320</v>
      </c>
      <c r="I69" s="204" t="s">
        <v>35</v>
      </c>
      <c r="J69" t="s">
        <v>36</v>
      </c>
      <c r="K69" s="209"/>
    </row>
    <row r="70" spans="1:11" ht="13.9" hidden="1">
      <c r="A70" s="204" t="s">
        <v>321</v>
      </c>
      <c r="B70" t="s">
        <v>322</v>
      </c>
      <c r="C70" s="205">
        <v>63.6</v>
      </c>
      <c r="D70" t="s">
        <v>90</v>
      </c>
      <c r="E70" s="207" t="s">
        <v>31</v>
      </c>
      <c r="F70" t="s">
        <v>32</v>
      </c>
      <c r="G70" s="204" t="s">
        <v>323</v>
      </c>
      <c r="H70" t="s">
        <v>324</v>
      </c>
      <c r="I70" s="204" t="s">
        <v>35</v>
      </c>
      <c r="J70" t="s">
        <v>36</v>
      </c>
      <c r="K70" s="209"/>
    </row>
    <row r="71" spans="1:11" ht="13.9" hidden="1">
      <c r="A71" s="204" t="s">
        <v>325</v>
      </c>
      <c r="B71" t="s">
        <v>326</v>
      </c>
      <c r="C71" s="205">
        <v>2.12</v>
      </c>
      <c r="D71" t="s">
        <v>196</v>
      </c>
      <c r="E71" s="207" t="s">
        <v>31</v>
      </c>
      <c r="F71" t="s">
        <v>32</v>
      </c>
      <c r="G71" s="204" t="s">
        <v>327</v>
      </c>
      <c r="H71" t="s">
        <v>328</v>
      </c>
      <c r="I71" s="204" t="s">
        <v>35</v>
      </c>
      <c r="J71" t="s">
        <v>36</v>
      </c>
      <c r="K71" s="209"/>
    </row>
    <row r="72" spans="1:11" ht="13.9" hidden="1">
      <c r="A72" s="204" t="s">
        <v>329</v>
      </c>
      <c r="B72" t="s">
        <v>330</v>
      </c>
      <c r="C72" s="205">
        <v>1908</v>
      </c>
      <c r="D72" t="s">
        <v>95</v>
      </c>
      <c r="E72" s="207" t="s">
        <v>31</v>
      </c>
      <c r="F72" t="s">
        <v>32</v>
      </c>
      <c r="G72" s="204" t="s">
        <v>331</v>
      </c>
      <c r="H72" t="s">
        <v>332</v>
      </c>
      <c r="I72" s="204" t="s">
        <v>35</v>
      </c>
      <c r="J72" t="s">
        <v>36</v>
      </c>
      <c r="K72" s="209"/>
    </row>
    <row r="73" spans="1:11" ht="13.9" hidden="1">
      <c r="A73" s="204" t="s">
        <v>333</v>
      </c>
      <c r="B73" t="s">
        <v>334</v>
      </c>
      <c r="C73" s="205">
        <v>37.1</v>
      </c>
      <c r="D73" t="s">
        <v>141</v>
      </c>
      <c r="E73" s="207" t="s">
        <v>31</v>
      </c>
      <c r="F73" t="s">
        <v>32</v>
      </c>
      <c r="G73" s="204" t="s">
        <v>335</v>
      </c>
      <c r="H73" t="s">
        <v>336</v>
      </c>
      <c r="I73" s="204" t="s">
        <v>35</v>
      </c>
      <c r="J73" t="s">
        <v>36</v>
      </c>
      <c r="K73" s="209"/>
    </row>
    <row r="74" spans="1:11" ht="13.9" hidden="1">
      <c r="A74" s="204" t="s">
        <v>337</v>
      </c>
      <c r="B74" t="s">
        <v>338</v>
      </c>
      <c r="C74" s="205">
        <v>216.67</v>
      </c>
      <c r="D74" t="s">
        <v>54</v>
      </c>
      <c r="E74" s="207" t="s">
        <v>31</v>
      </c>
      <c r="F74" t="s">
        <v>32</v>
      </c>
      <c r="G74" s="204" t="s">
        <v>339</v>
      </c>
      <c r="H74" t="s">
        <v>340</v>
      </c>
      <c r="I74" s="204" t="s">
        <v>35</v>
      </c>
      <c r="J74" t="s">
        <v>36</v>
      </c>
      <c r="K74" s="209"/>
    </row>
    <row r="75" spans="1:11" ht="13.9" hidden="1">
      <c r="A75" s="204" t="s">
        <v>341</v>
      </c>
      <c r="B75" t="s">
        <v>342</v>
      </c>
      <c r="C75" s="205">
        <v>226.67</v>
      </c>
      <c r="D75" t="s">
        <v>39</v>
      </c>
      <c r="E75" s="207" t="s">
        <v>31</v>
      </c>
      <c r="F75" t="s">
        <v>32</v>
      </c>
      <c r="G75" s="204" t="s">
        <v>343</v>
      </c>
      <c r="H75" t="s">
        <v>344</v>
      </c>
      <c r="I75" s="204" t="s">
        <v>35</v>
      </c>
      <c r="J75" t="s">
        <v>36</v>
      </c>
      <c r="K75" s="209"/>
    </row>
    <row r="76" spans="1:11" ht="13.9" hidden="1">
      <c r="A76" s="204" t="s">
        <v>345</v>
      </c>
      <c r="B76" t="s">
        <v>346</v>
      </c>
      <c r="C76" s="205">
        <v>2968</v>
      </c>
      <c r="D76" t="s">
        <v>30</v>
      </c>
      <c r="E76" s="207" t="s">
        <v>31</v>
      </c>
      <c r="F76" t="s">
        <v>32</v>
      </c>
      <c r="G76" s="204" t="s">
        <v>347</v>
      </c>
      <c r="H76" t="s">
        <v>348</v>
      </c>
      <c r="I76" s="204" t="s">
        <v>35</v>
      </c>
      <c r="J76" t="s">
        <v>36</v>
      </c>
      <c r="K76" s="209"/>
    </row>
    <row r="77" spans="1:11" ht="13.9" hidden="1">
      <c r="A77" s="204" t="s">
        <v>349</v>
      </c>
      <c r="B77" t="s">
        <v>350</v>
      </c>
      <c r="C77" s="205">
        <v>636</v>
      </c>
      <c r="D77" t="s">
        <v>30</v>
      </c>
      <c r="E77" s="207" t="s">
        <v>31</v>
      </c>
      <c r="F77" t="s">
        <v>32</v>
      </c>
      <c r="G77" s="204" t="s">
        <v>351</v>
      </c>
      <c r="H77" t="s">
        <v>352</v>
      </c>
      <c r="I77" s="204" t="s">
        <v>35</v>
      </c>
      <c r="J77" t="s">
        <v>36</v>
      </c>
      <c r="K77" s="209"/>
    </row>
    <row r="78" spans="1:11" ht="13.9" hidden="1">
      <c r="A78" s="204" t="s">
        <v>353</v>
      </c>
      <c r="B78" t="s">
        <v>354</v>
      </c>
      <c r="C78" s="205">
        <v>111.3</v>
      </c>
      <c r="D78" t="s">
        <v>90</v>
      </c>
      <c r="E78" s="207" t="s">
        <v>31</v>
      </c>
      <c r="F78" t="s">
        <v>32</v>
      </c>
      <c r="G78" s="204" t="s">
        <v>355</v>
      </c>
      <c r="H78" t="s">
        <v>356</v>
      </c>
      <c r="I78" s="204" t="s">
        <v>35</v>
      </c>
      <c r="J78" t="s">
        <v>36</v>
      </c>
      <c r="K78" s="209"/>
    </row>
    <row r="79" spans="1:11" ht="13.9" hidden="1">
      <c r="A79" s="204" t="s">
        <v>357</v>
      </c>
      <c r="B79" t="s">
        <v>358</v>
      </c>
      <c r="C79" s="205">
        <v>848</v>
      </c>
      <c r="D79" t="s">
        <v>359</v>
      </c>
      <c r="E79" s="207" t="s">
        <v>31</v>
      </c>
      <c r="F79" t="s">
        <v>32</v>
      </c>
      <c r="G79" s="204" t="s">
        <v>360</v>
      </c>
      <c r="H79" t="s">
        <v>361</v>
      </c>
      <c r="I79" s="204" t="s">
        <v>35</v>
      </c>
      <c r="J79" t="s">
        <v>36</v>
      </c>
      <c r="K79" s="209"/>
    </row>
    <row r="80" spans="1:11" ht="13.9" hidden="1">
      <c r="A80" s="204" t="s">
        <v>362</v>
      </c>
      <c r="B80" t="s">
        <v>363</v>
      </c>
      <c r="C80" s="205">
        <v>201.4</v>
      </c>
      <c r="D80" t="s">
        <v>237</v>
      </c>
      <c r="E80" s="207" t="s">
        <v>31</v>
      </c>
      <c r="F80" t="s">
        <v>32</v>
      </c>
      <c r="G80" s="204" t="s">
        <v>364</v>
      </c>
      <c r="H80" t="s">
        <v>365</v>
      </c>
      <c r="I80" s="204" t="s">
        <v>35</v>
      </c>
      <c r="J80" t="s">
        <v>36</v>
      </c>
      <c r="K80" s="209"/>
    </row>
    <row r="81" spans="1:11" ht="13.9">
      <c r="A81" s="204" t="s">
        <v>366</v>
      </c>
      <c r="B81" t="s">
        <v>367</v>
      </c>
      <c r="C81" s="205">
        <v>948</v>
      </c>
      <c r="D81" t="s">
        <v>163</v>
      </c>
      <c r="E81" s="207" t="s">
        <v>31</v>
      </c>
      <c r="F81" t="s">
        <v>32</v>
      </c>
      <c r="G81" s="204" t="s">
        <v>368</v>
      </c>
      <c r="H81" t="s">
        <v>369</v>
      </c>
      <c r="I81" s="204" t="s">
        <v>35</v>
      </c>
      <c r="J81" t="s">
        <v>36</v>
      </c>
      <c r="K81" s="209"/>
    </row>
    <row r="82" spans="1:11" ht="13.9" hidden="1">
      <c r="A82" s="204" t="s">
        <v>370</v>
      </c>
      <c r="B82" t="s">
        <v>371</v>
      </c>
      <c r="C82" s="205">
        <v>742</v>
      </c>
      <c r="D82" t="s">
        <v>30</v>
      </c>
      <c r="E82" s="207" t="s">
        <v>31</v>
      </c>
      <c r="F82" t="s">
        <v>32</v>
      </c>
      <c r="G82" s="204" t="s">
        <v>372</v>
      </c>
      <c r="H82" t="s">
        <v>373</v>
      </c>
      <c r="I82" s="204" t="s">
        <v>35</v>
      </c>
      <c r="J82" t="s">
        <v>36</v>
      </c>
      <c r="K82" s="209"/>
    </row>
    <row r="83" spans="1:11" ht="13.9" hidden="1">
      <c r="A83" s="204" t="s">
        <v>374</v>
      </c>
      <c r="B83" t="s">
        <v>375</v>
      </c>
      <c r="C83" s="205">
        <v>848</v>
      </c>
      <c r="D83" t="s">
        <v>39</v>
      </c>
      <c r="E83" s="207" t="s">
        <v>31</v>
      </c>
      <c r="F83" t="s">
        <v>32</v>
      </c>
      <c r="G83" s="204" t="s">
        <v>376</v>
      </c>
      <c r="H83" t="s">
        <v>377</v>
      </c>
      <c r="I83" s="204" t="s">
        <v>35</v>
      </c>
      <c r="J83" t="s">
        <v>36</v>
      </c>
      <c r="K83" s="209"/>
    </row>
    <row r="84" spans="1:11" ht="13.9" hidden="1">
      <c r="A84" s="204" t="s">
        <v>378</v>
      </c>
      <c r="B84" t="s">
        <v>379</v>
      </c>
      <c r="C84" s="205">
        <v>180</v>
      </c>
      <c r="D84" t="s">
        <v>39</v>
      </c>
      <c r="E84" s="207" t="s">
        <v>31</v>
      </c>
      <c r="F84" t="s">
        <v>32</v>
      </c>
      <c r="G84" s="204" t="s">
        <v>380</v>
      </c>
      <c r="H84" t="s">
        <v>381</v>
      </c>
      <c r="I84" s="204" t="s">
        <v>35</v>
      </c>
      <c r="J84" t="s">
        <v>36</v>
      </c>
      <c r="K84" s="209"/>
    </row>
    <row r="85" spans="1:11" ht="13.9" hidden="1">
      <c r="A85" s="204" t="s">
        <v>382</v>
      </c>
      <c r="B85" t="s">
        <v>383</v>
      </c>
      <c r="C85" s="205">
        <v>2968</v>
      </c>
      <c r="D85" t="s">
        <v>30</v>
      </c>
      <c r="E85" s="207" t="s">
        <v>31</v>
      </c>
      <c r="F85" t="s">
        <v>32</v>
      </c>
      <c r="G85" s="204" t="s">
        <v>384</v>
      </c>
      <c r="H85" t="s">
        <v>385</v>
      </c>
      <c r="I85" s="204" t="s">
        <v>35</v>
      </c>
      <c r="J85" t="s">
        <v>36</v>
      </c>
      <c r="K85" s="209"/>
    </row>
    <row r="86" spans="1:11" ht="13.9" hidden="1">
      <c r="A86" s="204" t="s">
        <v>386</v>
      </c>
      <c r="B86" t="s">
        <v>387</v>
      </c>
      <c r="C86" s="205">
        <v>55.3</v>
      </c>
      <c r="D86" t="s">
        <v>39</v>
      </c>
      <c r="E86" s="207" t="s">
        <v>31</v>
      </c>
      <c r="F86" t="s">
        <v>32</v>
      </c>
      <c r="G86" s="204" t="s">
        <v>388</v>
      </c>
      <c r="H86" t="s">
        <v>389</v>
      </c>
      <c r="I86" s="204" t="s">
        <v>35</v>
      </c>
      <c r="J86" t="s">
        <v>36</v>
      </c>
      <c r="K86" s="209"/>
    </row>
    <row r="87" spans="1:11" ht="13.9" hidden="1">
      <c r="A87" s="204" t="s">
        <v>390</v>
      </c>
      <c r="B87" t="s">
        <v>391</v>
      </c>
      <c r="C87" s="205">
        <v>15</v>
      </c>
      <c r="D87" t="s">
        <v>100</v>
      </c>
      <c r="E87" s="207" t="s">
        <v>31</v>
      </c>
      <c r="F87" t="s">
        <v>32</v>
      </c>
      <c r="G87" s="204" t="s">
        <v>392</v>
      </c>
      <c r="H87" t="s">
        <v>393</v>
      </c>
      <c r="I87" s="204" t="s">
        <v>35</v>
      </c>
      <c r="J87" t="s">
        <v>36</v>
      </c>
      <c r="K87" s="209"/>
    </row>
    <row r="88" spans="1:11" ht="13.9" hidden="1">
      <c r="A88" s="204" t="s">
        <v>394</v>
      </c>
      <c r="B88" t="s">
        <v>395</v>
      </c>
      <c r="C88" s="205">
        <v>318</v>
      </c>
      <c r="D88" t="s">
        <v>39</v>
      </c>
      <c r="E88" s="207" t="s">
        <v>31</v>
      </c>
      <c r="F88" t="s">
        <v>32</v>
      </c>
      <c r="G88" s="204" t="s">
        <v>396</v>
      </c>
      <c r="H88" t="s">
        <v>397</v>
      </c>
      <c r="I88" s="204" t="s">
        <v>35</v>
      </c>
      <c r="J88" t="s">
        <v>36</v>
      </c>
      <c r="K88" s="209"/>
    </row>
    <row r="89" spans="1:11" ht="13.9">
      <c r="A89" s="204" t="s">
        <v>398</v>
      </c>
      <c r="B89" t="s">
        <v>399</v>
      </c>
      <c r="C89" s="205">
        <v>2968</v>
      </c>
      <c r="D89" t="s">
        <v>400</v>
      </c>
      <c r="E89" s="207" t="s">
        <v>31</v>
      </c>
      <c r="F89" t="s">
        <v>32</v>
      </c>
      <c r="G89" s="204" t="s">
        <v>401</v>
      </c>
      <c r="H89" t="s">
        <v>402</v>
      </c>
      <c r="I89" s="204" t="s">
        <v>35</v>
      </c>
      <c r="J89" t="s">
        <v>36</v>
      </c>
      <c r="K89" s="209"/>
    </row>
    <row r="90" spans="1:11" ht="13.9" hidden="1">
      <c r="A90" s="204" t="s">
        <v>403</v>
      </c>
      <c r="B90" t="s">
        <v>404</v>
      </c>
      <c r="C90" s="205">
        <v>1060</v>
      </c>
      <c r="D90" t="s">
        <v>158</v>
      </c>
      <c r="E90" s="207" t="s">
        <v>31</v>
      </c>
      <c r="F90" t="s">
        <v>32</v>
      </c>
      <c r="G90" s="204" t="s">
        <v>405</v>
      </c>
      <c r="H90" t="s">
        <v>406</v>
      </c>
      <c r="I90" s="204" t="s">
        <v>35</v>
      </c>
      <c r="J90" t="s">
        <v>36</v>
      </c>
      <c r="K90" s="209"/>
    </row>
    <row r="91" spans="1:11" ht="13.9" hidden="1">
      <c r="A91" s="204" t="s">
        <v>407</v>
      </c>
      <c r="B91" t="s">
        <v>408</v>
      </c>
      <c r="C91" s="205">
        <v>148.4</v>
      </c>
      <c r="D91" t="s">
        <v>54</v>
      </c>
      <c r="E91" s="207" t="s">
        <v>31</v>
      </c>
      <c r="F91" t="s">
        <v>32</v>
      </c>
      <c r="G91" s="204" t="s">
        <v>409</v>
      </c>
      <c r="H91" t="s">
        <v>410</v>
      </c>
      <c r="I91" s="204" t="s">
        <v>35</v>
      </c>
      <c r="J91" t="s">
        <v>36</v>
      </c>
      <c r="K91" s="209"/>
    </row>
    <row r="92" spans="1:11" ht="13.9" hidden="1">
      <c r="A92" s="204" t="s">
        <v>411</v>
      </c>
      <c r="B92" t="s">
        <v>412</v>
      </c>
      <c r="C92" s="205">
        <v>266.67</v>
      </c>
      <c r="D92" t="s">
        <v>39</v>
      </c>
      <c r="E92" s="207" t="s">
        <v>31</v>
      </c>
      <c r="F92" t="s">
        <v>32</v>
      </c>
      <c r="G92" s="204" t="s">
        <v>413</v>
      </c>
      <c r="H92" t="s">
        <v>414</v>
      </c>
      <c r="I92" s="204" t="s">
        <v>35</v>
      </c>
      <c r="J92" t="s">
        <v>36</v>
      </c>
      <c r="K92" s="209"/>
    </row>
    <row r="93" spans="1:11" ht="13.9" hidden="1">
      <c r="A93" s="204" t="s">
        <v>415</v>
      </c>
      <c r="B93" t="s">
        <v>416</v>
      </c>
      <c r="C93" s="205">
        <v>1590</v>
      </c>
      <c r="D93" t="s">
        <v>85</v>
      </c>
      <c r="E93" s="207" t="s">
        <v>31</v>
      </c>
      <c r="F93" t="s">
        <v>32</v>
      </c>
      <c r="G93" s="204" t="s">
        <v>417</v>
      </c>
      <c r="H93" t="s">
        <v>418</v>
      </c>
      <c r="I93" s="204" t="s">
        <v>35</v>
      </c>
      <c r="J93" t="s">
        <v>36</v>
      </c>
      <c r="K93" s="209"/>
    </row>
    <row r="94" spans="1:11" ht="13.9" hidden="1">
      <c r="A94" s="204" t="s">
        <v>419</v>
      </c>
      <c r="B94" t="s">
        <v>420</v>
      </c>
      <c r="C94" s="205">
        <v>62.87</v>
      </c>
      <c r="D94" t="s">
        <v>39</v>
      </c>
      <c r="E94" s="207" t="s">
        <v>31</v>
      </c>
      <c r="F94" t="s">
        <v>32</v>
      </c>
      <c r="G94" s="204" t="s">
        <v>421</v>
      </c>
      <c r="H94" t="s">
        <v>422</v>
      </c>
      <c r="I94" s="204" t="s">
        <v>35</v>
      </c>
      <c r="J94" t="s">
        <v>36</v>
      </c>
      <c r="K94" s="209"/>
    </row>
    <row r="95" spans="1:11" ht="13.9" hidden="1">
      <c r="A95" s="204" t="s">
        <v>423</v>
      </c>
      <c r="B95" t="s">
        <v>424</v>
      </c>
      <c r="C95" s="205">
        <v>116.67</v>
      </c>
      <c r="D95" t="s">
        <v>39</v>
      </c>
      <c r="E95" s="207" t="s">
        <v>31</v>
      </c>
      <c r="F95" t="s">
        <v>32</v>
      </c>
      <c r="G95" s="204" t="s">
        <v>425</v>
      </c>
      <c r="H95" t="s">
        <v>426</v>
      </c>
      <c r="I95" s="204" t="s">
        <v>35</v>
      </c>
      <c r="J95" t="s">
        <v>36</v>
      </c>
      <c r="K95" s="209"/>
    </row>
    <row r="96" spans="1:11" ht="13.9" hidden="1">
      <c r="A96" s="204" t="s">
        <v>427</v>
      </c>
      <c r="B96" t="s">
        <v>428</v>
      </c>
      <c r="C96" s="205">
        <v>21.2</v>
      </c>
      <c r="D96" t="s">
        <v>39</v>
      </c>
      <c r="E96" s="207" t="s">
        <v>31</v>
      </c>
      <c r="F96" t="s">
        <v>32</v>
      </c>
      <c r="G96" s="204" t="s">
        <v>429</v>
      </c>
      <c r="H96" t="s">
        <v>430</v>
      </c>
      <c r="I96" s="204" t="s">
        <v>35</v>
      </c>
      <c r="J96" t="s">
        <v>36</v>
      </c>
      <c r="K96" s="209"/>
    </row>
    <row r="97" spans="1:11" ht="13.9" hidden="1">
      <c r="A97" s="204" t="s">
        <v>431</v>
      </c>
      <c r="B97" t="s">
        <v>432</v>
      </c>
      <c r="C97" s="205">
        <v>69.819999999999993</v>
      </c>
      <c r="D97" t="s">
        <v>39</v>
      </c>
      <c r="E97" s="207" t="s">
        <v>31</v>
      </c>
      <c r="F97" t="s">
        <v>32</v>
      </c>
      <c r="G97" s="204" t="s">
        <v>433</v>
      </c>
      <c r="H97" t="s">
        <v>434</v>
      </c>
      <c r="I97" s="204" t="s">
        <v>35</v>
      </c>
      <c r="J97" t="s">
        <v>36</v>
      </c>
      <c r="K97" s="209"/>
    </row>
    <row r="98" spans="1:11" ht="13.9" hidden="1">
      <c r="A98" s="204" t="s">
        <v>435</v>
      </c>
      <c r="B98" t="s">
        <v>436</v>
      </c>
      <c r="C98" s="205">
        <v>763.2</v>
      </c>
      <c r="D98" t="s">
        <v>30</v>
      </c>
      <c r="E98" s="207" t="s">
        <v>31</v>
      </c>
      <c r="F98" t="s">
        <v>32</v>
      </c>
      <c r="G98" s="204" t="s">
        <v>437</v>
      </c>
      <c r="H98" t="s">
        <v>438</v>
      </c>
      <c r="I98" s="204" t="s">
        <v>35</v>
      </c>
      <c r="J98" t="s">
        <v>36</v>
      </c>
      <c r="K98" s="209"/>
    </row>
    <row r="99" spans="1:11" ht="13.9" hidden="1">
      <c r="A99" s="204" t="s">
        <v>439</v>
      </c>
      <c r="B99" t="s">
        <v>440</v>
      </c>
      <c r="C99" s="205">
        <v>400</v>
      </c>
      <c r="D99" t="s">
        <v>30</v>
      </c>
      <c r="E99" s="207" t="s">
        <v>31</v>
      </c>
      <c r="F99" t="s">
        <v>32</v>
      </c>
      <c r="G99" s="204" t="s">
        <v>441</v>
      </c>
      <c r="H99" t="s">
        <v>442</v>
      </c>
      <c r="I99" s="204" t="s">
        <v>35</v>
      </c>
      <c r="J99" t="s">
        <v>36</v>
      </c>
      <c r="K99" s="209"/>
    </row>
    <row r="100" spans="1:11" ht="13.9" hidden="1">
      <c r="A100" s="204" t="s">
        <v>443</v>
      </c>
      <c r="B100" t="s">
        <v>444</v>
      </c>
      <c r="C100" s="205">
        <v>50.88</v>
      </c>
      <c r="D100" t="s">
        <v>39</v>
      </c>
      <c r="E100" s="207" t="s">
        <v>31</v>
      </c>
      <c r="F100" t="s">
        <v>32</v>
      </c>
      <c r="G100" s="204" t="s">
        <v>445</v>
      </c>
      <c r="H100" t="s">
        <v>446</v>
      </c>
      <c r="I100" s="204" t="s">
        <v>35</v>
      </c>
      <c r="J100" t="s">
        <v>36</v>
      </c>
      <c r="K100" s="209"/>
    </row>
    <row r="101" spans="1:11" ht="13.9" hidden="1">
      <c r="A101" s="204" t="s">
        <v>447</v>
      </c>
      <c r="B101" t="s">
        <v>448</v>
      </c>
      <c r="C101" s="205">
        <v>27.56</v>
      </c>
      <c r="D101" t="s">
        <v>30</v>
      </c>
      <c r="E101" s="207" t="s">
        <v>31</v>
      </c>
      <c r="F101" t="s">
        <v>32</v>
      </c>
      <c r="G101" s="204" t="s">
        <v>449</v>
      </c>
      <c r="H101" t="s">
        <v>450</v>
      </c>
      <c r="I101" s="204" t="s">
        <v>35</v>
      </c>
      <c r="J101" t="s">
        <v>36</v>
      </c>
      <c r="K101" s="209"/>
    </row>
    <row r="102" spans="1:11" ht="13.9" hidden="1">
      <c r="A102" s="204" t="s">
        <v>451</v>
      </c>
      <c r="B102" t="s">
        <v>452</v>
      </c>
      <c r="C102" s="205">
        <v>636</v>
      </c>
      <c r="D102" t="s">
        <v>30</v>
      </c>
      <c r="E102" s="207" t="s">
        <v>31</v>
      </c>
      <c r="F102" t="s">
        <v>32</v>
      </c>
      <c r="G102" s="204" t="s">
        <v>453</v>
      </c>
      <c r="H102" t="s">
        <v>454</v>
      </c>
      <c r="I102" s="204" t="s">
        <v>35</v>
      </c>
      <c r="J102" t="s">
        <v>36</v>
      </c>
      <c r="K102" s="209"/>
    </row>
    <row r="103" spans="1:11" ht="13.9" hidden="1">
      <c r="A103" s="204" t="s">
        <v>455</v>
      </c>
      <c r="B103" t="s">
        <v>456</v>
      </c>
      <c r="C103" s="205">
        <v>1.93</v>
      </c>
      <c r="D103" t="s">
        <v>196</v>
      </c>
      <c r="E103" s="207" t="s">
        <v>31</v>
      </c>
      <c r="F103" t="s">
        <v>32</v>
      </c>
      <c r="G103" s="204" t="s">
        <v>457</v>
      </c>
      <c r="H103" t="s">
        <v>458</v>
      </c>
      <c r="I103" s="204" t="s">
        <v>35</v>
      </c>
      <c r="J103" t="s">
        <v>36</v>
      </c>
      <c r="K103" s="209"/>
    </row>
    <row r="104" spans="1:11" ht="13.9" hidden="1">
      <c r="A104" s="204" t="s">
        <v>459</v>
      </c>
      <c r="B104" t="s">
        <v>460</v>
      </c>
      <c r="C104" s="205">
        <v>106</v>
      </c>
      <c r="D104" t="s">
        <v>39</v>
      </c>
      <c r="E104" s="207" t="s">
        <v>31</v>
      </c>
      <c r="F104" t="s">
        <v>32</v>
      </c>
      <c r="G104" s="204" t="s">
        <v>461</v>
      </c>
      <c r="H104" t="s">
        <v>462</v>
      </c>
      <c r="I104" s="204" t="s">
        <v>35</v>
      </c>
      <c r="J104" t="s">
        <v>36</v>
      </c>
      <c r="K104" s="209"/>
    </row>
    <row r="105" spans="1:11" ht="13.9" hidden="1">
      <c r="A105" s="204" t="s">
        <v>463</v>
      </c>
      <c r="B105" t="s">
        <v>464</v>
      </c>
      <c r="C105" s="205">
        <v>416.67</v>
      </c>
      <c r="D105" t="s">
        <v>30</v>
      </c>
      <c r="E105" s="207" t="s">
        <v>31</v>
      </c>
      <c r="F105" t="s">
        <v>32</v>
      </c>
      <c r="G105" s="204" t="s">
        <v>465</v>
      </c>
      <c r="H105" t="s">
        <v>466</v>
      </c>
      <c r="I105" s="204" t="s">
        <v>35</v>
      </c>
      <c r="J105" t="s">
        <v>36</v>
      </c>
      <c r="K105" s="209"/>
    </row>
    <row r="106" spans="1:11" ht="13.9" hidden="1">
      <c r="A106" s="204" t="s">
        <v>467</v>
      </c>
      <c r="B106" t="s">
        <v>468</v>
      </c>
      <c r="C106" s="205">
        <v>190.8</v>
      </c>
      <c r="D106" t="s">
        <v>141</v>
      </c>
      <c r="E106" s="207" t="s">
        <v>31</v>
      </c>
      <c r="F106" t="s">
        <v>32</v>
      </c>
      <c r="G106" s="204" t="s">
        <v>469</v>
      </c>
      <c r="H106" t="s">
        <v>470</v>
      </c>
      <c r="I106" s="204" t="s">
        <v>35</v>
      </c>
      <c r="J106" t="s">
        <v>36</v>
      </c>
      <c r="K106" s="209"/>
    </row>
    <row r="107" spans="1:11" ht="13.9" hidden="1">
      <c r="A107" s="204" t="s">
        <v>471</v>
      </c>
      <c r="B107" t="s">
        <v>472</v>
      </c>
      <c r="C107" s="205">
        <v>212</v>
      </c>
      <c r="D107" t="s">
        <v>30</v>
      </c>
      <c r="E107" s="207" t="s">
        <v>31</v>
      </c>
      <c r="F107" t="s">
        <v>32</v>
      </c>
      <c r="G107" s="204" t="s">
        <v>473</v>
      </c>
      <c r="H107" t="s">
        <v>474</v>
      </c>
      <c r="I107" s="204" t="s">
        <v>35</v>
      </c>
      <c r="J107" t="s">
        <v>36</v>
      </c>
      <c r="K107" s="209"/>
    </row>
    <row r="108" spans="1:11" ht="13.9" hidden="1">
      <c r="A108" s="204" t="s">
        <v>475</v>
      </c>
      <c r="B108" t="s">
        <v>476</v>
      </c>
      <c r="C108" s="205">
        <v>62.54</v>
      </c>
      <c r="D108" t="s">
        <v>39</v>
      </c>
      <c r="E108" s="207" t="s">
        <v>31</v>
      </c>
      <c r="F108" t="s">
        <v>32</v>
      </c>
      <c r="G108" s="204" t="s">
        <v>477</v>
      </c>
      <c r="H108" t="s">
        <v>478</v>
      </c>
      <c r="I108" s="204" t="s">
        <v>35</v>
      </c>
      <c r="J108" t="s">
        <v>36</v>
      </c>
      <c r="K108" s="209"/>
    </row>
    <row r="109" spans="1:11" ht="13.9" hidden="1">
      <c r="A109" s="204" t="s">
        <v>479</v>
      </c>
      <c r="B109" t="s">
        <v>480</v>
      </c>
      <c r="C109" s="205">
        <v>2544</v>
      </c>
      <c r="D109" t="s">
        <v>30</v>
      </c>
      <c r="E109" s="207" t="s">
        <v>31</v>
      </c>
      <c r="F109" t="s">
        <v>32</v>
      </c>
      <c r="G109" s="204" t="s">
        <v>481</v>
      </c>
      <c r="H109" t="s">
        <v>482</v>
      </c>
      <c r="I109" s="204" t="s">
        <v>35</v>
      </c>
      <c r="J109" t="s">
        <v>36</v>
      </c>
      <c r="K109" s="209"/>
    </row>
    <row r="110" spans="1:11" ht="13.9" hidden="1">
      <c r="A110" s="204" t="s">
        <v>483</v>
      </c>
      <c r="B110" t="s">
        <v>484</v>
      </c>
      <c r="C110" s="205">
        <v>848</v>
      </c>
      <c r="D110" t="s">
        <v>44</v>
      </c>
      <c r="E110" s="207" t="s">
        <v>31</v>
      </c>
      <c r="F110" t="s">
        <v>32</v>
      </c>
      <c r="G110" s="204" t="s">
        <v>485</v>
      </c>
      <c r="H110" t="s">
        <v>486</v>
      </c>
      <c r="I110" s="204" t="s">
        <v>35</v>
      </c>
      <c r="J110" t="s">
        <v>36</v>
      </c>
      <c r="K110" s="209"/>
    </row>
    <row r="111" spans="1:11" ht="13.9" hidden="1">
      <c r="A111" s="204" t="s">
        <v>487</v>
      </c>
      <c r="B111" t="s">
        <v>488</v>
      </c>
      <c r="C111" s="205">
        <v>63.6</v>
      </c>
      <c r="D111" t="s">
        <v>90</v>
      </c>
      <c r="E111" s="207" t="s">
        <v>31</v>
      </c>
      <c r="F111" t="s">
        <v>32</v>
      </c>
      <c r="G111" s="204" t="s">
        <v>489</v>
      </c>
      <c r="H111" t="s">
        <v>490</v>
      </c>
      <c r="I111" s="204" t="s">
        <v>35</v>
      </c>
      <c r="J111" t="s">
        <v>36</v>
      </c>
      <c r="K111" s="209"/>
    </row>
    <row r="112" spans="1:11" ht="13.9" hidden="1">
      <c r="A112" s="204" t="s">
        <v>491</v>
      </c>
      <c r="B112" t="s">
        <v>492</v>
      </c>
      <c r="C112" s="205">
        <v>530</v>
      </c>
      <c r="D112" t="s">
        <v>493</v>
      </c>
      <c r="E112" s="207" t="s">
        <v>31</v>
      </c>
      <c r="F112" t="s">
        <v>32</v>
      </c>
      <c r="G112" s="204" t="s">
        <v>494</v>
      </c>
      <c r="H112" t="s">
        <v>495</v>
      </c>
      <c r="I112" s="204" t="s">
        <v>35</v>
      </c>
      <c r="J112" t="s">
        <v>36</v>
      </c>
      <c r="K112" s="209"/>
    </row>
    <row r="113" spans="1:11" ht="13.9" hidden="1">
      <c r="A113" s="204" t="s">
        <v>496</v>
      </c>
      <c r="B113" t="s">
        <v>497</v>
      </c>
      <c r="C113" s="205">
        <v>2120</v>
      </c>
      <c r="D113" t="s">
        <v>30</v>
      </c>
      <c r="E113" s="207" t="s">
        <v>31</v>
      </c>
      <c r="F113" t="s">
        <v>32</v>
      </c>
      <c r="G113" s="204" t="s">
        <v>498</v>
      </c>
      <c r="H113" t="s">
        <v>499</v>
      </c>
      <c r="I113" s="204" t="s">
        <v>35</v>
      </c>
      <c r="J113" t="s">
        <v>36</v>
      </c>
      <c r="K113" s="209"/>
    </row>
    <row r="114" spans="1:11" ht="13.9" hidden="1">
      <c r="A114" s="204" t="s">
        <v>500</v>
      </c>
      <c r="B114" t="s">
        <v>501</v>
      </c>
      <c r="C114" s="205">
        <v>424</v>
      </c>
      <c r="D114" t="s">
        <v>30</v>
      </c>
      <c r="E114" s="207" t="s">
        <v>31</v>
      </c>
      <c r="F114" t="s">
        <v>32</v>
      </c>
      <c r="G114" s="204" t="s">
        <v>502</v>
      </c>
      <c r="H114" t="s">
        <v>503</v>
      </c>
      <c r="I114" s="204" t="s">
        <v>35</v>
      </c>
      <c r="J114" t="s">
        <v>36</v>
      </c>
      <c r="K114" s="209"/>
    </row>
    <row r="115" spans="1:11" ht="13.9" hidden="1">
      <c r="A115" s="204" t="s">
        <v>504</v>
      </c>
      <c r="B115" t="s">
        <v>505</v>
      </c>
      <c r="C115" s="205">
        <v>530</v>
      </c>
      <c r="D115" t="s">
        <v>95</v>
      </c>
      <c r="E115" s="207" t="s">
        <v>31</v>
      </c>
      <c r="F115" t="s">
        <v>32</v>
      </c>
      <c r="G115" s="204" t="s">
        <v>506</v>
      </c>
      <c r="H115" t="s">
        <v>507</v>
      </c>
      <c r="I115" s="204" t="s">
        <v>35</v>
      </c>
      <c r="J115" t="s">
        <v>36</v>
      </c>
      <c r="K115" s="209"/>
    </row>
    <row r="116" spans="1:11" ht="13.9" hidden="1">
      <c r="A116" s="204" t="s">
        <v>508</v>
      </c>
      <c r="B116" t="s">
        <v>509</v>
      </c>
      <c r="C116" s="205">
        <v>2.12</v>
      </c>
      <c r="D116" t="s">
        <v>196</v>
      </c>
      <c r="E116" s="207" t="s">
        <v>31</v>
      </c>
      <c r="F116" t="s">
        <v>32</v>
      </c>
      <c r="G116" s="204" t="s">
        <v>510</v>
      </c>
      <c r="H116" t="s">
        <v>511</v>
      </c>
      <c r="I116" s="204" t="s">
        <v>35</v>
      </c>
      <c r="J116" t="s">
        <v>36</v>
      </c>
      <c r="K116" s="209"/>
    </row>
    <row r="117" spans="1:11" ht="13.9" hidden="1">
      <c r="A117" s="204" t="s">
        <v>512</v>
      </c>
      <c r="B117" t="s">
        <v>513</v>
      </c>
      <c r="C117" s="205">
        <v>2066.67</v>
      </c>
      <c r="D117" t="s">
        <v>76</v>
      </c>
      <c r="E117" s="207" t="s">
        <v>31</v>
      </c>
      <c r="F117" t="s">
        <v>32</v>
      </c>
      <c r="G117" s="204" t="s">
        <v>514</v>
      </c>
      <c r="H117" t="s">
        <v>515</v>
      </c>
      <c r="I117" s="204" t="s">
        <v>35</v>
      </c>
      <c r="J117" t="s">
        <v>36</v>
      </c>
      <c r="K117" s="209"/>
    </row>
    <row r="118" spans="1:11" ht="13.9" hidden="1">
      <c r="A118" s="204" t="s">
        <v>516</v>
      </c>
      <c r="B118" t="s">
        <v>517</v>
      </c>
      <c r="C118" s="205">
        <v>40.630000000000003</v>
      </c>
      <c r="D118" t="s">
        <v>39</v>
      </c>
      <c r="E118" s="207" t="s">
        <v>31</v>
      </c>
      <c r="F118" t="s">
        <v>32</v>
      </c>
      <c r="G118" s="204" t="s">
        <v>518</v>
      </c>
      <c r="H118" t="s">
        <v>519</v>
      </c>
      <c r="I118" s="204" t="s">
        <v>35</v>
      </c>
      <c r="J118" t="s">
        <v>36</v>
      </c>
      <c r="K118" s="209"/>
    </row>
    <row r="119" spans="1:11" ht="13.9" hidden="1">
      <c r="A119" s="204" t="s">
        <v>520</v>
      </c>
      <c r="B119" t="s">
        <v>521</v>
      </c>
      <c r="C119" s="205">
        <v>530</v>
      </c>
      <c r="D119" t="s">
        <v>359</v>
      </c>
      <c r="E119" s="207" t="s">
        <v>31</v>
      </c>
      <c r="F119" t="s">
        <v>32</v>
      </c>
      <c r="G119" s="204" t="s">
        <v>522</v>
      </c>
      <c r="H119" t="s">
        <v>523</v>
      </c>
      <c r="I119" s="204" t="s">
        <v>35</v>
      </c>
      <c r="J119" t="s">
        <v>36</v>
      </c>
      <c r="K119" s="209"/>
    </row>
    <row r="120" spans="1:11" ht="13.9">
      <c r="A120" s="204" t="s">
        <v>524</v>
      </c>
      <c r="B120" t="s">
        <v>525</v>
      </c>
      <c r="C120" s="205">
        <v>2438</v>
      </c>
      <c r="D120" t="s">
        <v>85</v>
      </c>
      <c r="E120" s="207" t="s">
        <v>31</v>
      </c>
      <c r="F120" t="s">
        <v>32</v>
      </c>
      <c r="G120" s="204" t="s">
        <v>526</v>
      </c>
      <c r="H120" t="s">
        <v>527</v>
      </c>
      <c r="I120" s="204" t="s">
        <v>35</v>
      </c>
      <c r="J120" t="s">
        <v>36</v>
      </c>
      <c r="K120" s="209"/>
    </row>
    <row r="121" spans="1:11" ht="13.9" hidden="1">
      <c r="A121" s="204" t="s">
        <v>528</v>
      </c>
      <c r="B121" t="s">
        <v>529</v>
      </c>
      <c r="C121" s="205">
        <v>4333.33</v>
      </c>
      <c r="D121" t="s">
        <v>30</v>
      </c>
      <c r="E121" s="207" t="s">
        <v>31</v>
      </c>
      <c r="F121" t="s">
        <v>32</v>
      </c>
      <c r="G121" s="204" t="s">
        <v>530</v>
      </c>
      <c r="H121" t="s">
        <v>531</v>
      </c>
      <c r="I121" s="204" t="s">
        <v>35</v>
      </c>
      <c r="J121" t="s">
        <v>36</v>
      </c>
      <c r="K121" s="209"/>
    </row>
    <row r="122" spans="1:11" ht="13.9" hidden="1">
      <c r="A122" s="204" t="s">
        <v>532</v>
      </c>
      <c r="B122" t="s">
        <v>533</v>
      </c>
      <c r="C122" s="205">
        <v>50</v>
      </c>
      <c r="D122" t="s">
        <v>54</v>
      </c>
      <c r="E122" s="207" t="s">
        <v>31</v>
      </c>
      <c r="F122" t="s">
        <v>32</v>
      </c>
      <c r="G122" s="204" t="s">
        <v>534</v>
      </c>
      <c r="H122" t="s">
        <v>535</v>
      </c>
      <c r="I122" s="204" t="s">
        <v>35</v>
      </c>
      <c r="J122" t="s">
        <v>36</v>
      </c>
      <c r="K122" s="209"/>
    </row>
    <row r="123" spans="1:11" ht="13.9" hidden="1">
      <c r="A123" s="204" t="s">
        <v>536</v>
      </c>
      <c r="B123" t="s">
        <v>537</v>
      </c>
      <c r="C123" s="205">
        <v>3180</v>
      </c>
      <c r="D123" t="s">
        <v>30</v>
      </c>
      <c r="E123" s="207" t="s">
        <v>31</v>
      </c>
      <c r="F123" t="s">
        <v>32</v>
      </c>
      <c r="G123" s="204" t="s">
        <v>538</v>
      </c>
      <c r="H123" t="s">
        <v>539</v>
      </c>
      <c r="I123" s="204" t="s">
        <v>35</v>
      </c>
      <c r="J123" t="s">
        <v>36</v>
      </c>
      <c r="K123" s="209"/>
    </row>
    <row r="124" spans="1:11" ht="13.9">
      <c r="A124" s="204" t="s">
        <v>540</v>
      </c>
      <c r="B124" t="s">
        <v>541</v>
      </c>
      <c r="C124" s="205">
        <v>0.06</v>
      </c>
      <c r="D124" t="s">
        <v>49</v>
      </c>
      <c r="E124" s="207" t="s">
        <v>31</v>
      </c>
      <c r="F124" t="s">
        <v>32</v>
      </c>
      <c r="G124" s="204" t="s">
        <v>542</v>
      </c>
      <c r="H124" t="s">
        <v>543</v>
      </c>
      <c r="I124" s="204" t="s">
        <v>35</v>
      </c>
      <c r="J124" t="s">
        <v>36</v>
      </c>
      <c r="K124" s="209"/>
    </row>
    <row r="125" spans="1:11" ht="13.9" hidden="1">
      <c r="A125" s="204" t="s">
        <v>544</v>
      </c>
      <c r="B125" t="s">
        <v>545</v>
      </c>
      <c r="C125" s="205">
        <v>253.33</v>
      </c>
      <c r="D125" t="s">
        <v>30</v>
      </c>
      <c r="E125" s="207" t="s">
        <v>31</v>
      </c>
      <c r="F125" t="s">
        <v>32</v>
      </c>
      <c r="G125" s="204" t="s">
        <v>546</v>
      </c>
      <c r="H125" t="s">
        <v>547</v>
      </c>
      <c r="I125" s="204" t="s">
        <v>35</v>
      </c>
      <c r="J125" t="s">
        <v>36</v>
      </c>
      <c r="K125" s="209"/>
    </row>
    <row r="126" spans="1:11" ht="13.9" hidden="1">
      <c r="A126" s="204" t="s">
        <v>548</v>
      </c>
      <c r="B126" t="s">
        <v>549</v>
      </c>
      <c r="C126" s="205">
        <v>174.14</v>
      </c>
      <c r="D126" t="s">
        <v>39</v>
      </c>
      <c r="E126" s="207" t="s">
        <v>31</v>
      </c>
      <c r="F126" t="s">
        <v>32</v>
      </c>
      <c r="G126" s="204" t="s">
        <v>550</v>
      </c>
      <c r="H126" t="s">
        <v>551</v>
      </c>
      <c r="I126" s="204" t="s">
        <v>35</v>
      </c>
      <c r="J126" t="s">
        <v>36</v>
      </c>
      <c r="K126" s="209"/>
    </row>
    <row r="127" spans="1:11" ht="13.9" hidden="1">
      <c r="A127" s="204" t="s">
        <v>552</v>
      </c>
      <c r="B127" t="s">
        <v>553</v>
      </c>
      <c r="C127" s="205">
        <v>63.6</v>
      </c>
      <c r="D127" t="s">
        <v>554</v>
      </c>
      <c r="E127" s="207" t="s">
        <v>31</v>
      </c>
      <c r="F127" t="s">
        <v>32</v>
      </c>
      <c r="G127" s="204" t="s">
        <v>555</v>
      </c>
      <c r="H127" t="s">
        <v>556</v>
      </c>
      <c r="I127" s="204" t="s">
        <v>35</v>
      </c>
      <c r="J127" t="s">
        <v>36</v>
      </c>
      <c r="K127" s="209"/>
    </row>
    <row r="128" spans="1:11" ht="13.9" hidden="1">
      <c r="A128" s="204" t="s">
        <v>557</v>
      </c>
      <c r="B128" t="s">
        <v>558</v>
      </c>
      <c r="C128" s="205">
        <v>74.2</v>
      </c>
      <c r="D128" t="s">
        <v>559</v>
      </c>
      <c r="E128" s="207" t="s">
        <v>31</v>
      </c>
      <c r="F128" t="s">
        <v>32</v>
      </c>
      <c r="G128" s="204" t="s">
        <v>560</v>
      </c>
      <c r="H128" t="s">
        <v>561</v>
      </c>
      <c r="I128" s="204" t="s">
        <v>35</v>
      </c>
      <c r="J128" t="s">
        <v>36</v>
      </c>
      <c r="K128" s="209"/>
    </row>
    <row r="129" spans="1:11" ht="13.9" hidden="1">
      <c r="A129" s="204" t="s">
        <v>562</v>
      </c>
      <c r="B129" t="s">
        <v>563</v>
      </c>
      <c r="C129" s="205">
        <v>344.5</v>
      </c>
      <c r="D129" t="s">
        <v>90</v>
      </c>
      <c r="E129" s="207" t="s">
        <v>31</v>
      </c>
      <c r="F129" t="s">
        <v>32</v>
      </c>
      <c r="G129" s="204" t="s">
        <v>564</v>
      </c>
      <c r="H129" t="s">
        <v>565</v>
      </c>
      <c r="I129" s="204" t="s">
        <v>35</v>
      </c>
      <c r="J129" t="s">
        <v>36</v>
      </c>
      <c r="K129" s="209"/>
    </row>
    <row r="130" spans="1:11" ht="13.9" hidden="1">
      <c r="A130" s="204" t="s">
        <v>566</v>
      </c>
      <c r="B130" t="s">
        <v>567</v>
      </c>
      <c r="C130" s="205">
        <v>63.6</v>
      </c>
      <c r="D130" t="s">
        <v>90</v>
      </c>
      <c r="E130" s="207" t="s">
        <v>31</v>
      </c>
      <c r="F130" t="s">
        <v>32</v>
      </c>
      <c r="G130" s="204" t="s">
        <v>568</v>
      </c>
      <c r="H130" t="s">
        <v>569</v>
      </c>
      <c r="I130" s="204" t="s">
        <v>35</v>
      </c>
      <c r="J130" t="s">
        <v>36</v>
      </c>
      <c r="K130" s="209"/>
    </row>
    <row r="131" spans="1:11" ht="13.9" hidden="1">
      <c r="A131" s="204" t="s">
        <v>570</v>
      </c>
      <c r="B131" t="s">
        <v>571</v>
      </c>
      <c r="C131" s="205">
        <v>10</v>
      </c>
      <c r="D131" t="s">
        <v>100</v>
      </c>
      <c r="E131" s="207" t="s">
        <v>31</v>
      </c>
      <c r="F131" t="s">
        <v>32</v>
      </c>
      <c r="G131" s="204" t="s">
        <v>572</v>
      </c>
      <c r="H131" t="s">
        <v>573</v>
      </c>
      <c r="I131" s="204" t="s">
        <v>35</v>
      </c>
      <c r="J131" t="s">
        <v>36</v>
      </c>
      <c r="K131" s="209"/>
    </row>
    <row r="132" spans="1:11" ht="13.9" hidden="1">
      <c r="A132" s="204" t="s">
        <v>574</v>
      </c>
      <c r="B132" t="s">
        <v>575</v>
      </c>
      <c r="C132" s="205">
        <v>55</v>
      </c>
      <c r="D132" t="s">
        <v>39</v>
      </c>
      <c r="E132" s="207" t="s">
        <v>31</v>
      </c>
      <c r="F132" t="s">
        <v>32</v>
      </c>
      <c r="G132" s="204" t="s">
        <v>576</v>
      </c>
      <c r="H132" t="s">
        <v>577</v>
      </c>
      <c r="I132" s="204" t="s">
        <v>35</v>
      </c>
      <c r="J132" t="s">
        <v>36</v>
      </c>
      <c r="K132" s="209"/>
    </row>
    <row r="133" spans="1:11" ht="13.9" hidden="1">
      <c r="A133" s="204" t="s">
        <v>578</v>
      </c>
      <c r="B133" t="s">
        <v>579</v>
      </c>
      <c r="C133" s="205">
        <v>1272</v>
      </c>
      <c r="D133" t="s">
        <v>493</v>
      </c>
      <c r="E133" s="207" t="s">
        <v>31</v>
      </c>
      <c r="F133" t="s">
        <v>32</v>
      </c>
      <c r="G133" s="204" t="s">
        <v>580</v>
      </c>
      <c r="H133" t="s">
        <v>581</v>
      </c>
      <c r="I133" s="204" t="s">
        <v>35</v>
      </c>
      <c r="J133" t="s">
        <v>36</v>
      </c>
      <c r="K133" s="209"/>
    </row>
    <row r="134" spans="1:11" ht="13.9" hidden="1">
      <c r="A134" s="204" t="s">
        <v>582</v>
      </c>
      <c r="B134" t="s">
        <v>583</v>
      </c>
      <c r="C134" s="205">
        <v>371</v>
      </c>
      <c r="D134" t="s">
        <v>30</v>
      </c>
      <c r="E134" s="207" t="s">
        <v>31</v>
      </c>
      <c r="F134" t="s">
        <v>32</v>
      </c>
      <c r="G134" s="204" t="s">
        <v>584</v>
      </c>
      <c r="H134" t="s">
        <v>585</v>
      </c>
      <c r="I134" s="204" t="s">
        <v>35</v>
      </c>
      <c r="J134" t="s">
        <v>36</v>
      </c>
      <c r="K134" s="209"/>
    </row>
    <row r="135" spans="1:11" ht="13.9" hidden="1">
      <c r="A135" s="204" t="s">
        <v>586</v>
      </c>
      <c r="B135" t="s">
        <v>587</v>
      </c>
      <c r="C135" s="205">
        <v>42.4</v>
      </c>
      <c r="D135" t="s">
        <v>39</v>
      </c>
      <c r="E135" s="207" t="s">
        <v>31</v>
      </c>
      <c r="F135" t="s">
        <v>32</v>
      </c>
      <c r="G135" s="204" t="s">
        <v>588</v>
      </c>
      <c r="H135" t="s">
        <v>589</v>
      </c>
      <c r="I135" s="204" t="s">
        <v>35</v>
      </c>
      <c r="J135" t="s">
        <v>36</v>
      </c>
      <c r="K135" s="209"/>
    </row>
    <row r="136" spans="1:11" ht="13.9" hidden="1">
      <c r="A136" s="204" t="s">
        <v>590</v>
      </c>
      <c r="B136" t="s">
        <v>591</v>
      </c>
      <c r="C136" s="205">
        <v>74.2</v>
      </c>
      <c r="D136" t="s">
        <v>39</v>
      </c>
      <c r="E136" s="207" t="s">
        <v>31</v>
      </c>
      <c r="F136" t="s">
        <v>32</v>
      </c>
      <c r="G136" s="204" t="s">
        <v>592</v>
      </c>
      <c r="H136" t="s">
        <v>593</v>
      </c>
      <c r="I136" s="204" t="s">
        <v>35</v>
      </c>
      <c r="J136" t="s">
        <v>36</v>
      </c>
      <c r="K136" s="209"/>
    </row>
    <row r="137" spans="1:11" ht="13.9">
      <c r="A137" s="204" t="s">
        <v>594</v>
      </c>
      <c r="B137" t="s">
        <v>595</v>
      </c>
      <c r="C137" s="205">
        <v>3500</v>
      </c>
      <c r="D137" t="s">
        <v>596</v>
      </c>
      <c r="E137" s="207" t="s">
        <v>31</v>
      </c>
      <c r="F137" t="s">
        <v>32</v>
      </c>
      <c r="G137" s="204" t="s">
        <v>597</v>
      </c>
      <c r="H137" t="s">
        <v>598</v>
      </c>
      <c r="I137" s="204" t="s">
        <v>35</v>
      </c>
      <c r="J137" t="s">
        <v>36</v>
      </c>
      <c r="K137" s="209"/>
    </row>
    <row r="138" spans="1:11" ht="13.9" hidden="1">
      <c r="A138" s="204" t="s">
        <v>599</v>
      </c>
      <c r="B138" t="s">
        <v>600</v>
      </c>
      <c r="C138" s="205">
        <v>652.96</v>
      </c>
      <c r="D138" t="s">
        <v>141</v>
      </c>
      <c r="E138" s="207" t="s">
        <v>31</v>
      </c>
      <c r="F138" t="s">
        <v>32</v>
      </c>
      <c r="G138" s="204" t="s">
        <v>601</v>
      </c>
      <c r="H138" t="s">
        <v>602</v>
      </c>
      <c r="I138" s="204" t="s">
        <v>35</v>
      </c>
      <c r="J138" t="s">
        <v>36</v>
      </c>
      <c r="K138" s="209"/>
    </row>
    <row r="139" spans="1:11" ht="13.9" hidden="1">
      <c r="A139" s="204" t="s">
        <v>603</v>
      </c>
      <c r="B139" t="s">
        <v>604</v>
      </c>
      <c r="C139" s="205">
        <v>614.79999999999995</v>
      </c>
      <c r="D139" t="s">
        <v>39</v>
      </c>
      <c r="E139" s="207" t="s">
        <v>31</v>
      </c>
      <c r="F139" t="s">
        <v>32</v>
      </c>
      <c r="G139" s="204" t="s">
        <v>605</v>
      </c>
      <c r="H139" t="s">
        <v>606</v>
      </c>
      <c r="I139" s="204" t="s">
        <v>35</v>
      </c>
      <c r="J139" t="s">
        <v>36</v>
      </c>
      <c r="K139" s="209"/>
    </row>
    <row r="140" spans="1:11" ht="13.9" hidden="1">
      <c r="A140" s="204" t="s">
        <v>607</v>
      </c>
      <c r="B140" t="s">
        <v>608</v>
      </c>
      <c r="C140" s="205">
        <v>293.33</v>
      </c>
      <c r="D140" t="s">
        <v>54</v>
      </c>
      <c r="E140" s="207" t="s">
        <v>31</v>
      </c>
      <c r="F140" t="s">
        <v>32</v>
      </c>
      <c r="G140" s="204" t="s">
        <v>609</v>
      </c>
      <c r="H140" t="s">
        <v>610</v>
      </c>
      <c r="I140" s="204" t="s">
        <v>35</v>
      </c>
      <c r="J140" t="s">
        <v>36</v>
      </c>
      <c r="K140" s="209"/>
    </row>
    <row r="141" spans="1:11" ht="13.9" hidden="1">
      <c r="A141" s="204" t="s">
        <v>611</v>
      </c>
      <c r="B141" t="s">
        <v>612</v>
      </c>
      <c r="C141" s="205">
        <v>700</v>
      </c>
      <c r="D141" t="s">
        <v>95</v>
      </c>
      <c r="E141" s="207" t="s">
        <v>31</v>
      </c>
      <c r="F141" t="s">
        <v>32</v>
      </c>
      <c r="G141" s="204" t="s">
        <v>613</v>
      </c>
      <c r="H141" t="s">
        <v>614</v>
      </c>
      <c r="I141" s="204" t="s">
        <v>35</v>
      </c>
      <c r="J141" t="s">
        <v>36</v>
      </c>
      <c r="K141" s="209"/>
    </row>
    <row r="142" spans="1:11" ht="13.9" hidden="1">
      <c r="A142" s="204" t="s">
        <v>615</v>
      </c>
      <c r="B142" t="s">
        <v>616</v>
      </c>
      <c r="C142" s="205">
        <v>316.67</v>
      </c>
      <c r="D142" t="s">
        <v>30</v>
      </c>
      <c r="E142" s="207" t="s">
        <v>31</v>
      </c>
      <c r="F142" t="s">
        <v>32</v>
      </c>
      <c r="G142" s="204" t="s">
        <v>617</v>
      </c>
      <c r="H142" t="s">
        <v>618</v>
      </c>
      <c r="I142" s="204" t="s">
        <v>35</v>
      </c>
      <c r="J142" t="s">
        <v>36</v>
      </c>
      <c r="K142" s="209"/>
    </row>
    <row r="143" spans="1:11" ht="13.9" hidden="1">
      <c r="A143" s="204" t="s">
        <v>619</v>
      </c>
      <c r="B143" t="s">
        <v>620</v>
      </c>
      <c r="C143" s="205">
        <v>120</v>
      </c>
      <c r="D143" t="s">
        <v>621</v>
      </c>
      <c r="E143" s="207" t="s">
        <v>31</v>
      </c>
      <c r="F143" t="s">
        <v>32</v>
      </c>
      <c r="G143" s="204" t="s">
        <v>622</v>
      </c>
      <c r="H143" t="s">
        <v>623</v>
      </c>
      <c r="I143" s="204" t="s">
        <v>35</v>
      </c>
      <c r="J143" t="s">
        <v>36</v>
      </c>
      <c r="K143" s="209"/>
    </row>
    <row r="144" spans="1:11" ht="13.9" hidden="1">
      <c r="A144" s="204" t="s">
        <v>624</v>
      </c>
      <c r="B144" t="s">
        <v>625</v>
      </c>
      <c r="C144" s="205">
        <v>650</v>
      </c>
      <c r="D144" t="s">
        <v>493</v>
      </c>
      <c r="E144" s="207" t="s">
        <v>31</v>
      </c>
      <c r="F144" t="s">
        <v>32</v>
      </c>
      <c r="G144" s="204" t="s">
        <v>626</v>
      </c>
      <c r="H144" t="s">
        <v>627</v>
      </c>
      <c r="I144" s="204" t="s">
        <v>35</v>
      </c>
      <c r="J144" t="s">
        <v>36</v>
      </c>
      <c r="K144" s="209"/>
    </row>
    <row r="145" spans="1:11" ht="13.9" hidden="1">
      <c r="A145" s="204" t="s">
        <v>628</v>
      </c>
      <c r="B145" t="s">
        <v>629</v>
      </c>
      <c r="C145" s="205">
        <v>1353.33</v>
      </c>
      <c r="D145" t="s">
        <v>76</v>
      </c>
      <c r="E145" s="207" t="s">
        <v>31</v>
      </c>
      <c r="F145" t="s">
        <v>32</v>
      </c>
      <c r="G145" s="204" t="s">
        <v>630</v>
      </c>
      <c r="H145" t="s">
        <v>631</v>
      </c>
      <c r="I145" s="204" t="s">
        <v>35</v>
      </c>
      <c r="J145" t="s">
        <v>36</v>
      </c>
      <c r="K145" s="209"/>
    </row>
    <row r="146" spans="1:11" ht="13.9" hidden="1">
      <c r="A146" s="204" t="s">
        <v>632</v>
      </c>
      <c r="B146" t="s">
        <v>633</v>
      </c>
      <c r="C146" s="205">
        <v>26.5</v>
      </c>
      <c r="D146" t="s">
        <v>141</v>
      </c>
      <c r="E146" s="207" t="s">
        <v>31</v>
      </c>
      <c r="F146" t="s">
        <v>32</v>
      </c>
      <c r="G146" s="204" t="s">
        <v>634</v>
      </c>
      <c r="H146" t="s">
        <v>635</v>
      </c>
      <c r="I146" s="204" t="s">
        <v>35</v>
      </c>
      <c r="J146" t="s">
        <v>36</v>
      </c>
      <c r="K146" s="209"/>
    </row>
    <row r="147" spans="1:11" ht="13.9" hidden="1">
      <c r="A147" s="204" t="s">
        <v>636</v>
      </c>
      <c r="B147" t="s">
        <v>637</v>
      </c>
      <c r="C147" s="205">
        <v>2120</v>
      </c>
      <c r="D147" t="s">
        <v>30</v>
      </c>
      <c r="E147" s="207" t="s">
        <v>31</v>
      </c>
      <c r="F147" t="s">
        <v>32</v>
      </c>
      <c r="G147" s="204" t="s">
        <v>638</v>
      </c>
      <c r="H147" t="s">
        <v>639</v>
      </c>
      <c r="I147" s="204" t="s">
        <v>35</v>
      </c>
      <c r="J147" t="s">
        <v>36</v>
      </c>
      <c r="K147" s="209"/>
    </row>
    <row r="148" spans="1:11" ht="13.9" hidden="1">
      <c r="A148" s="204" t="s">
        <v>640</v>
      </c>
      <c r="B148" t="s">
        <v>641</v>
      </c>
      <c r="C148" s="205">
        <v>1590</v>
      </c>
      <c r="D148" t="s">
        <v>95</v>
      </c>
      <c r="E148" s="207" t="s">
        <v>31</v>
      </c>
      <c r="F148" t="s">
        <v>32</v>
      </c>
      <c r="G148" s="204" t="s">
        <v>642</v>
      </c>
      <c r="H148" t="s">
        <v>643</v>
      </c>
      <c r="I148" s="204" t="s">
        <v>35</v>
      </c>
      <c r="J148" t="s">
        <v>36</v>
      </c>
      <c r="K148" s="209"/>
    </row>
    <row r="149" spans="1:11" ht="13.9">
      <c r="A149" s="204" t="s">
        <v>644</v>
      </c>
      <c r="B149" t="s">
        <v>645</v>
      </c>
      <c r="C149" s="205">
        <v>416.67</v>
      </c>
      <c r="D149" t="s">
        <v>400</v>
      </c>
      <c r="E149" s="207" t="s">
        <v>31</v>
      </c>
      <c r="F149" t="s">
        <v>32</v>
      </c>
      <c r="G149" s="204" t="s">
        <v>646</v>
      </c>
      <c r="H149" t="s">
        <v>647</v>
      </c>
      <c r="I149" s="204" t="s">
        <v>35</v>
      </c>
      <c r="J149" t="s">
        <v>36</v>
      </c>
      <c r="K149" s="209"/>
    </row>
    <row r="150" spans="1:11" ht="13.9" hidden="1">
      <c r="A150" s="204" t="s">
        <v>648</v>
      </c>
      <c r="B150" t="s">
        <v>649</v>
      </c>
      <c r="C150" s="205">
        <v>196.57</v>
      </c>
      <c r="D150" t="s">
        <v>39</v>
      </c>
      <c r="E150" s="207" t="s">
        <v>31</v>
      </c>
      <c r="F150" t="s">
        <v>32</v>
      </c>
      <c r="G150" s="204" t="s">
        <v>650</v>
      </c>
      <c r="H150" t="s">
        <v>651</v>
      </c>
      <c r="I150" s="204" t="s">
        <v>35</v>
      </c>
      <c r="J150" t="s">
        <v>36</v>
      </c>
      <c r="K150" s="209"/>
    </row>
    <row r="151" spans="1:11" ht="13.9">
      <c r="A151" s="204" t="s">
        <v>652</v>
      </c>
      <c r="B151" t="s">
        <v>653</v>
      </c>
      <c r="C151" s="205">
        <v>3180</v>
      </c>
      <c r="D151" t="s">
        <v>67</v>
      </c>
      <c r="E151" s="207" t="s">
        <v>31</v>
      </c>
      <c r="F151" t="s">
        <v>32</v>
      </c>
      <c r="G151" s="204" t="s">
        <v>654</v>
      </c>
      <c r="H151" t="s">
        <v>655</v>
      </c>
      <c r="I151" s="204" t="s">
        <v>35</v>
      </c>
      <c r="J151" t="s">
        <v>36</v>
      </c>
      <c r="K151" s="209"/>
    </row>
    <row r="152" spans="1:11" ht="13.9" hidden="1">
      <c r="A152" s="204" t="s">
        <v>656</v>
      </c>
      <c r="B152" t="s">
        <v>657</v>
      </c>
      <c r="C152" s="205">
        <v>1060</v>
      </c>
      <c r="D152" t="s">
        <v>30</v>
      </c>
      <c r="E152" s="207" t="s">
        <v>31</v>
      </c>
      <c r="F152" t="s">
        <v>32</v>
      </c>
      <c r="G152" s="204" t="s">
        <v>658</v>
      </c>
      <c r="H152" t="s">
        <v>659</v>
      </c>
      <c r="I152" s="204" t="s">
        <v>35</v>
      </c>
      <c r="J152" t="s">
        <v>36</v>
      </c>
      <c r="K152" s="209"/>
    </row>
    <row r="153" spans="1:11" ht="13.9" hidden="1">
      <c r="A153" s="204" t="s">
        <v>660</v>
      </c>
      <c r="B153" t="s">
        <v>661</v>
      </c>
      <c r="C153" s="205">
        <v>173.33</v>
      </c>
      <c r="D153" t="s">
        <v>39</v>
      </c>
      <c r="E153" s="207" t="s">
        <v>31</v>
      </c>
      <c r="F153" t="s">
        <v>32</v>
      </c>
      <c r="G153" s="204" t="s">
        <v>662</v>
      </c>
      <c r="H153" t="s">
        <v>663</v>
      </c>
      <c r="I153" s="204" t="s">
        <v>35</v>
      </c>
      <c r="J153" t="s">
        <v>36</v>
      </c>
      <c r="K153" s="209"/>
    </row>
    <row r="154" spans="1:11" ht="13.9" hidden="1">
      <c r="A154" s="204" t="s">
        <v>664</v>
      </c>
      <c r="B154" t="s">
        <v>665</v>
      </c>
      <c r="C154" s="205">
        <v>74.2</v>
      </c>
      <c r="D154" t="s">
        <v>39</v>
      </c>
      <c r="E154" s="207" t="s">
        <v>31</v>
      </c>
      <c r="F154" t="s">
        <v>32</v>
      </c>
      <c r="G154" s="204" t="s">
        <v>666</v>
      </c>
      <c r="H154" t="s">
        <v>667</v>
      </c>
      <c r="I154" s="204" t="s">
        <v>35</v>
      </c>
      <c r="J154" t="s">
        <v>36</v>
      </c>
      <c r="K154" s="209"/>
    </row>
    <row r="155" spans="1:11" ht="13.9" hidden="1">
      <c r="A155" s="204" t="s">
        <v>668</v>
      </c>
      <c r="B155" t="s">
        <v>669</v>
      </c>
      <c r="C155" s="205">
        <v>318</v>
      </c>
      <c r="D155" t="s">
        <v>39</v>
      </c>
      <c r="E155" s="207" t="s">
        <v>31</v>
      </c>
      <c r="F155" t="s">
        <v>32</v>
      </c>
      <c r="G155" s="204" t="s">
        <v>670</v>
      </c>
      <c r="H155" t="s">
        <v>671</v>
      </c>
      <c r="I155" s="204" t="s">
        <v>35</v>
      </c>
      <c r="J155" t="s">
        <v>36</v>
      </c>
      <c r="K155" s="209"/>
    </row>
    <row r="156" spans="1:11" ht="13.9" hidden="1">
      <c r="A156" s="204" t="s">
        <v>672</v>
      </c>
      <c r="B156" t="s">
        <v>673</v>
      </c>
      <c r="C156" s="205">
        <v>212</v>
      </c>
      <c r="D156" t="s">
        <v>39</v>
      </c>
      <c r="E156" s="207" t="s">
        <v>31</v>
      </c>
      <c r="F156" t="s">
        <v>32</v>
      </c>
      <c r="G156" s="204" t="s">
        <v>674</v>
      </c>
      <c r="H156" t="s">
        <v>675</v>
      </c>
      <c r="I156" s="204" t="s">
        <v>35</v>
      </c>
      <c r="J156" t="s">
        <v>36</v>
      </c>
      <c r="K156" s="209"/>
    </row>
    <row r="157" spans="1:11" ht="13.9" hidden="1">
      <c r="A157" s="204" t="s">
        <v>676</v>
      </c>
      <c r="B157" t="s">
        <v>677</v>
      </c>
      <c r="C157" s="205">
        <v>106</v>
      </c>
      <c r="D157" t="s">
        <v>39</v>
      </c>
      <c r="E157" s="207" t="s">
        <v>31</v>
      </c>
      <c r="F157" t="s">
        <v>32</v>
      </c>
      <c r="G157" s="204" t="s">
        <v>678</v>
      </c>
      <c r="H157" t="s">
        <v>679</v>
      </c>
      <c r="I157" s="204" t="s">
        <v>35</v>
      </c>
      <c r="J157" t="s">
        <v>36</v>
      </c>
      <c r="K157" s="209"/>
    </row>
    <row r="158" spans="1:11" ht="13.9" hidden="1">
      <c r="A158" s="204" t="s">
        <v>680</v>
      </c>
      <c r="B158" t="s">
        <v>681</v>
      </c>
      <c r="C158" s="205">
        <v>848</v>
      </c>
      <c r="D158" t="s">
        <v>493</v>
      </c>
      <c r="E158" s="207" t="s">
        <v>31</v>
      </c>
      <c r="F158" t="s">
        <v>32</v>
      </c>
      <c r="G158" s="204" t="s">
        <v>682</v>
      </c>
      <c r="H158" t="s">
        <v>683</v>
      </c>
      <c r="I158" s="204" t="s">
        <v>35</v>
      </c>
      <c r="J158" t="s">
        <v>36</v>
      </c>
      <c r="K158" s="209"/>
    </row>
    <row r="159" spans="1:11" ht="13.9" hidden="1">
      <c r="A159" s="204" t="s">
        <v>684</v>
      </c>
      <c r="B159" t="s">
        <v>685</v>
      </c>
      <c r="C159" s="205">
        <v>106</v>
      </c>
      <c r="D159" t="s">
        <v>90</v>
      </c>
      <c r="E159" s="207" t="s">
        <v>31</v>
      </c>
      <c r="F159" t="s">
        <v>32</v>
      </c>
      <c r="G159" s="204" t="s">
        <v>686</v>
      </c>
      <c r="H159" t="s">
        <v>687</v>
      </c>
      <c r="I159" s="204" t="s">
        <v>35</v>
      </c>
      <c r="J159" t="s">
        <v>36</v>
      </c>
      <c r="K159" s="209"/>
    </row>
    <row r="160" spans="1:11" ht="13.9" hidden="1">
      <c r="A160" s="204" t="s">
        <v>688</v>
      </c>
      <c r="B160" t="s">
        <v>689</v>
      </c>
      <c r="C160" s="205">
        <v>46.64</v>
      </c>
      <c r="D160" t="s">
        <v>30</v>
      </c>
      <c r="E160" s="207" t="s">
        <v>31</v>
      </c>
      <c r="F160" t="s">
        <v>32</v>
      </c>
      <c r="G160" s="204" t="s">
        <v>690</v>
      </c>
      <c r="H160" t="s">
        <v>691</v>
      </c>
      <c r="I160" s="204" t="s">
        <v>35</v>
      </c>
      <c r="J160" t="s">
        <v>36</v>
      </c>
      <c r="K160" s="209"/>
    </row>
    <row r="161" spans="1:11" ht="13.9" hidden="1">
      <c r="A161" s="204" t="s">
        <v>692</v>
      </c>
      <c r="B161" t="s">
        <v>693</v>
      </c>
      <c r="C161" s="205">
        <v>190.8</v>
      </c>
      <c r="D161" t="s">
        <v>44</v>
      </c>
      <c r="E161" s="207" t="s">
        <v>31</v>
      </c>
      <c r="F161" t="s">
        <v>32</v>
      </c>
      <c r="G161" s="204" t="s">
        <v>694</v>
      </c>
      <c r="H161" t="s">
        <v>695</v>
      </c>
      <c r="I161" s="204" t="s">
        <v>35</v>
      </c>
      <c r="J161" t="s">
        <v>36</v>
      </c>
      <c r="K161" s="209"/>
    </row>
    <row r="162" spans="1:11" ht="13.9" hidden="1">
      <c r="A162" s="204" t="s">
        <v>696</v>
      </c>
      <c r="B162" t="s">
        <v>697</v>
      </c>
      <c r="C162" s="205">
        <v>1187.2</v>
      </c>
      <c r="D162" t="s">
        <v>30</v>
      </c>
      <c r="E162" s="207" t="s">
        <v>31</v>
      </c>
      <c r="F162" t="s">
        <v>32</v>
      </c>
      <c r="G162" s="204" t="s">
        <v>698</v>
      </c>
      <c r="H162" t="s">
        <v>699</v>
      </c>
      <c r="I162" s="204" t="s">
        <v>35</v>
      </c>
      <c r="J162" t="s">
        <v>36</v>
      </c>
      <c r="K162" s="209"/>
    </row>
    <row r="163" spans="1:11" ht="13.9" hidden="1">
      <c r="A163" s="204" t="s">
        <v>700</v>
      </c>
      <c r="B163" t="s">
        <v>701</v>
      </c>
      <c r="C163" s="205">
        <v>0.95</v>
      </c>
      <c r="D163" t="s">
        <v>196</v>
      </c>
      <c r="E163" s="207" t="s">
        <v>31</v>
      </c>
      <c r="F163" t="s">
        <v>32</v>
      </c>
      <c r="G163" s="204" t="s">
        <v>702</v>
      </c>
      <c r="H163" t="s">
        <v>703</v>
      </c>
      <c r="I163" s="204" t="s">
        <v>35</v>
      </c>
      <c r="J163" t="s">
        <v>36</v>
      </c>
      <c r="K163" s="209"/>
    </row>
    <row r="164" spans="1:11" ht="13.9" hidden="1">
      <c r="A164" s="204" t="s">
        <v>704</v>
      </c>
      <c r="B164" t="s">
        <v>705</v>
      </c>
      <c r="C164" s="205">
        <v>106</v>
      </c>
      <c r="D164" t="s">
        <v>39</v>
      </c>
      <c r="E164" s="207" t="s">
        <v>31</v>
      </c>
      <c r="F164" t="s">
        <v>32</v>
      </c>
      <c r="G164" s="204" t="s">
        <v>706</v>
      </c>
      <c r="H164" t="s">
        <v>707</v>
      </c>
      <c r="I164" s="204" t="s">
        <v>35</v>
      </c>
      <c r="J164" t="s">
        <v>36</v>
      </c>
      <c r="K164" s="209"/>
    </row>
    <row r="165" spans="1:11" ht="13.9" hidden="1">
      <c r="A165" s="204" t="s">
        <v>708</v>
      </c>
      <c r="B165" t="s">
        <v>709</v>
      </c>
      <c r="C165" s="205">
        <v>190.8</v>
      </c>
      <c r="D165" t="s">
        <v>39</v>
      </c>
      <c r="E165" s="207" t="s">
        <v>31</v>
      </c>
      <c r="F165" t="s">
        <v>32</v>
      </c>
      <c r="G165" s="204" t="s">
        <v>710</v>
      </c>
      <c r="H165" t="s">
        <v>711</v>
      </c>
      <c r="I165" s="204" t="s">
        <v>35</v>
      </c>
      <c r="J165" t="s">
        <v>36</v>
      </c>
      <c r="K165" s="209"/>
    </row>
    <row r="166" spans="1:11" ht="13.9" hidden="1">
      <c r="A166" s="204" t="s">
        <v>712</v>
      </c>
      <c r="B166" t="s">
        <v>713</v>
      </c>
      <c r="C166" s="205">
        <v>31.8</v>
      </c>
      <c r="D166" t="s">
        <v>141</v>
      </c>
      <c r="E166" s="207" t="s">
        <v>31</v>
      </c>
      <c r="F166" t="s">
        <v>32</v>
      </c>
      <c r="G166" s="204" t="s">
        <v>714</v>
      </c>
      <c r="H166" t="s">
        <v>715</v>
      </c>
      <c r="I166" s="204" t="s">
        <v>35</v>
      </c>
      <c r="J166" t="s">
        <v>36</v>
      </c>
      <c r="K166" s="209"/>
    </row>
    <row r="167" spans="1:11" ht="13.9" hidden="1">
      <c r="A167" s="204" t="s">
        <v>716</v>
      </c>
      <c r="B167" t="s">
        <v>717</v>
      </c>
      <c r="C167" s="205">
        <v>636</v>
      </c>
      <c r="D167" t="s">
        <v>39</v>
      </c>
      <c r="E167" s="207" t="s">
        <v>31</v>
      </c>
      <c r="F167" t="s">
        <v>32</v>
      </c>
      <c r="G167" s="204" t="s">
        <v>718</v>
      </c>
      <c r="H167" t="s">
        <v>719</v>
      </c>
      <c r="I167" s="204" t="s">
        <v>35</v>
      </c>
      <c r="J167" t="s">
        <v>36</v>
      </c>
      <c r="K167" s="209"/>
    </row>
    <row r="168" spans="1:11" ht="13.9" hidden="1">
      <c r="A168" s="204" t="s">
        <v>720</v>
      </c>
      <c r="B168" t="s">
        <v>721</v>
      </c>
      <c r="C168" s="205">
        <v>46.67</v>
      </c>
      <c r="D168" t="s">
        <v>39</v>
      </c>
      <c r="E168" s="207" t="s">
        <v>31</v>
      </c>
      <c r="F168" t="s">
        <v>32</v>
      </c>
      <c r="G168" s="204" t="s">
        <v>722</v>
      </c>
      <c r="H168" t="s">
        <v>723</v>
      </c>
      <c r="I168" s="204" t="s">
        <v>35</v>
      </c>
      <c r="J168" t="s">
        <v>36</v>
      </c>
      <c r="K168" s="209"/>
    </row>
    <row r="169" spans="1:11" ht="13.9" hidden="1">
      <c r="A169" s="204" t="s">
        <v>724</v>
      </c>
      <c r="B169" t="s">
        <v>725</v>
      </c>
      <c r="C169" s="205">
        <v>1500</v>
      </c>
      <c r="D169" t="s">
        <v>158</v>
      </c>
      <c r="E169" s="207" t="s">
        <v>31</v>
      </c>
      <c r="F169" t="s">
        <v>32</v>
      </c>
      <c r="G169" s="204" t="s">
        <v>726</v>
      </c>
      <c r="H169" t="s">
        <v>727</v>
      </c>
      <c r="I169" s="204" t="s">
        <v>35</v>
      </c>
      <c r="J169" t="s">
        <v>36</v>
      </c>
      <c r="K169" s="209"/>
    </row>
    <row r="170" spans="1:11" ht="13.9" hidden="1">
      <c r="A170" s="204" t="s">
        <v>728</v>
      </c>
      <c r="B170" t="s">
        <v>729</v>
      </c>
      <c r="C170" s="205">
        <v>79.5</v>
      </c>
      <c r="D170" t="s">
        <v>554</v>
      </c>
      <c r="E170" s="207" t="s">
        <v>31</v>
      </c>
      <c r="F170" t="s">
        <v>32</v>
      </c>
      <c r="G170" s="204" t="s">
        <v>730</v>
      </c>
      <c r="H170" t="s">
        <v>731</v>
      </c>
      <c r="I170" s="204" t="s">
        <v>35</v>
      </c>
      <c r="J170" t="s">
        <v>36</v>
      </c>
      <c r="K170" s="209"/>
    </row>
    <row r="171" spans="1:11" ht="13.9" hidden="1">
      <c r="A171" s="204" t="s">
        <v>732</v>
      </c>
      <c r="B171" t="s">
        <v>733</v>
      </c>
      <c r="C171" s="205">
        <v>31.8</v>
      </c>
      <c r="D171" t="s">
        <v>141</v>
      </c>
      <c r="E171" s="207" t="s">
        <v>31</v>
      </c>
      <c r="F171" t="s">
        <v>32</v>
      </c>
      <c r="G171" s="204" t="s">
        <v>734</v>
      </c>
      <c r="H171" t="s">
        <v>735</v>
      </c>
      <c r="I171" s="204" t="s">
        <v>35</v>
      </c>
      <c r="J171" t="s">
        <v>36</v>
      </c>
      <c r="K171" s="209"/>
    </row>
    <row r="172" spans="1:11" ht="13.9" hidden="1">
      <c r="A172" s="204" t="s">
        <v>736</v>
      </c>
      <c r="B172" t="s">
        <v>737</v>
      </c>
      <c r="C172" s="205">
        <v>233</v>
      </c>
      <c r="D172" t="s">
        <v>30</v>
      </c>
      <c r="E172" s="207" t="s">
        <v>31</v>
      </c>
      <c r="F172" t="s">
        <v>32</v>
      </c>
      <c r="G172" s="204" t="s">
        <v>738</v>
      </c>
      <c r="H172" t="s">
        <v>739</v>
      </c>
      <c r="I172" s="204" t="s">
        <v>35</v>
      </c>
      <c r="J172" t="s">
        <v>36</v>
      </c>
      <c r="K172" s="209"/>
    </row>
    <row r="173" spans="1:11" ht="13.9" hidden="1">
      <c r="A173" s="204" t="s">
        <v>740</v>
      </c>
      <c r="B173" t="s">
        <v>741</v>
      </c>
      <c r="C173" s="205">
        <v>159</v>
      </c>
      <c r="D173" t="s">
        <v>44</v>
      </c>
      <c r="E173" s="207" t="s">
        <v>31</v>
      </c>
      <c r="F173" t="s">
        <v>32</v>
      </c>
      <c r="G173" s="204" t="s">
        <v>742</v>
      </c>
      <c r="H173" t="s">
        <v>743</v>
      </c>
      <c r="I173" s="204" t="s">
        <v>35</v>
      </c>
      <c r="J173" t="s">
        <v>36</v>
      </c>
      <c r="K173" s="209"/>
    </row>
    <row r="174" spans="1:11" ht="13.9" hidden="1">
      <c r="A174" s="204" t="s">
        <v>744</v>
      </c>
      <c r="B174" t="s">
        <v>745</v>
      </c>
      <c r="C174" s="205">
        <v>21.2</v>
      </c>
      <c r="D174" t="s">
        <v>90</v>
      </c>
      <c r="E174" s="207" t="s">
        <v>31</v>
      </c>
      <c r="F174" t="s">
        <v>32</v>
      </c>
      <c r="G174" s="204" t="s">
        <v>746</v>
      </c>
      <c r="H174" t="s">
        <v>747</v>
      </c>
      <c r="I174" s="204" t="s">
        <v>35</v>
      </c>
      <c r="J174" t="s">
        <v>36</v>
      </c>
      <c r="K174" s="209"/>
    </row>
    <row r="175" spans="1:11" ht="13.9" hidden="1">
      <c r="A175" s="204" t="s">
        <v>748</v>
      </c>
      <c r="B175" t="s">
        <v>749</v>
      </c>
      <c r="C175" s="205">
        <v>106</v>
      </c>
      <c r="D175" t="s">
        <v>90</v>
      </c>
      <c r="E175" s="207" t="s">
        <v>31</v>
      </c>
      <c r="F175" t="s">
        <v>32</v>
      </c>
      <c r="G175" s="204" t="s">
        <v>750</v>
      </c>
      <c r="H175" t="s">
        <v>751</v>
      </c>
      <c r="I175" s="204" t="s">
        <v>35</v>
      </c>
      <c r="J175" t="s">
        <v>36</v>
      </c>
      <c r="K175" s="209"/>
    </row>
    <row r="176" spans="1:11" ht="13.9" hidden="1">
      <c r="A176" s="204" t="s">
        <v>752</v>
      </c>
      <c r="B176" t="s">
        <v>753</v>
      </c>
      <c r="C176" s="205">
        <v>28.23</v>
      </c>
      <c r="D176" t="s">
        <v>39</v>
      </c>
      <c r="E176" s="207" t="s">
        <v>31</v>
      </c>
      <c r="F176" t="s">
        <v>32</v>
      </c>
      <c r="G176" s="204" t="s">
        <v>754</v>
      </c>
      <c r="H176" t="s">
        <v>755</v>
      </c>
      <c r="I176" s="204" t="s">
        <v>35</v>
      </c>
      <c r="J176" t="s">
        <v>36</v>
      </c>
      <c r="K176" s="209"/>
    </row>
    <row r="177" spans="1:11" ht="13.9" hidden="1">
      <c r="A177" s="204" t="s">
        <v>756</v>
      </c>
      <c r="B177" t="s">
        <v>757</v>
      </c>
      <c r="C177" s="205">
        <v>105</v>
      </c>
      <c r="D177" t="s">
        <v>39</v>
      </c>
      <c r="E177" s="207" t="s">
        <v>31</v>
      </c>
      <c r="F177" t="s">
        <v>32</v>
      </c>
      <c r="G177" s="204" t="s">
        <v>758</v>
      </c>
      <c r="H177" t="s">
        <v>759</v>
      </c>
      <c r="I177" s="204" t="s">
        <v>35</v>
      </c>
      <c r="J177" t="s">
        <v>36</v>
      </c>
      <c r="K177" s="209"/>
    </row>
    <row r="178" spans="1:11" ht="13.9" hidden="1">
      <c r="A178" s="204" t="s">
        <v>760</v>
      </c>
      <c r="B178" t="s">
        <v>761</v>
      </c>
      <c r="C178" s="205">
        <v>2120</v>
      </c>
      <c r="D178" t="s">
        <v>30</v>
      </c>
      <c r="E178" s="207" t="s">
        <v>31</v>
      </c>
      <c r="F178" t="s">
        <v>32</v>
      </c>
      <c r="G178" s="204" t="s">
        <v>762</v>
      </c>
      <c r="H178" t="s">
        <v>763</v>
      </c>
      <c r="I178" s="204" t="s">
        <v>35</v>
      </c>
      <c r="J178" t="s">
        <v>36</v>
      </c>
      <c r="K178" s="209"/>
    </row>
    <row r="179" spans="1:11" ht="13.9" hidden="1">
      <c r="A179" s="204" t="s">
        <v>764</v>
      </c>
      <c r="B179" t="s">
        <v>765</v>
      </c>
      <c r="C179" s="205">
        <v>979.44</v>
      </c>
      <c r="D179" t="s">
        <v>141</v>
      </c>
      <c r="E179" s="207" t="s">
        <v>31</v>
      </c>
      <c r="F179" t="s">
        <v>32</v>
      </c>
      <c r="G179" s="204" t="s">
        <v>766</v>
      </c>
      <c r="H179" t="s">
        <v>767</v>
      </c>
      <c r="I179" s="204" t="s">
        <v>35</v>
      </c>
      <c r="J179" t="s">
        <v>36</v>
      </c>
      <c r="K179" s="209"/>
    </row>
    <row r="180" spans="1:11" ht="13.9" hidden="1">
      <c r="A180" s="204" t="s">
        <v>768</v>
      </c>
      <c r="B180" t="s">
        <v>769</v>
      </c>
      <c r="C180" s="205">
        <v>2200</v>
      </c>
      <c r="D180" t="s">
        <v>30</v>
      </c>
      <c r="E180" s="207" t="s">
        <v>31</v>
      </c>
      <c r="F180" t="s">
        <v>32</v>
      </c>
      <c r="G180" s="204" t="s">
        <v>770</v>
      </c>
      <c r="H180" t="s">
        <v>771</v>
      </c>
      <c r="I180" s="204" t="s">
        <v>35</v>
      </c>
      <c r="J180" t="s">
        <v>36</v>
      </c>
      <c r="K180" s="209"/>
    </row>
    <row r="181" spans="1:11" ht="13.9" hidden="1">
      <c r="A181" s="204" t="s">
        <v>772</v>
      </c>
      <c r="B181" t="s">
        <v>773</v>
      </c>
      <c r="C181" s="205">
        <v>614.79999999999995</v>
      </c>
      <c r="D181" t="s">
        <v>30</v>
      </c>
      <c r="E181" s="207" t="s">
        <v>31</v>
      </c>
      <c r="F181" t="s">
        <v>32</v>
      </c>
      <c r="G181" s="204" t="s">
        <v>774</v>
      </c>
      <c r="H181" t="s">
        <v>775</v>
      </c>
      <c r="I181" s="204" t="s">
        <v>35</v>
      </c>
      <c r="J181" t="s">
        <v>36</v>
      </c>
      <c r="K181" s="209"/>
    </row>
    <row r="182" spans="1:11" ht="13.9" hidden="1">
      <c r="A182" s="204" t="s">
        <v>776</v>
      </c>
      <c r="B182" t="s">
        <v>777</v>
      </c>
      <c r="C182" s="205">
        <v>583</v>
      </c>
      <c r="D182" t="s">
        <v>30</v>
      </c>
      <c r="E182" s="207" t="s">
        <v>31</v>
      </c>
      <c r="F182" t="s">
        <v>32</v>
      </c>
      <c r="G182" s="204" t="s">
        <v>778</v>
      </c>
      <c r="H182" t="s">
        <v>779</v>
      </c>
      <c r="I182" s="204" t="s">
        <v>35</v>
      </c>
      <c r="J182" t="s">
        <v>36</v>
      </c>
      <c r="K182" s="209"/>
    </row>
    <row r="183" spans="1:11" ht="13.9" hidden="1">
      <c r="A183" s="204" t="s">
        <v>780</v>
      </c>
      <c r="B183" t="s">
        <v>781</v>
      </c>
      <c r="C183" s="205">
        <v>434.6</v>
      </c>
      <c r="D183" t="s">
        <v>30</v>
      </c>
      <c r="E183" s="207" t="s">
        <v>31</v>
      </c>
      <c r="F183" t="s">
        <v>32</v>
      </c>
      <c r="G183" s="204" t="s">
        <v>782</v>
      </c>
      <c r="H183" t="s">
        <v>783</v>
      </c>
      <c r="I183" s="204" t="s">
        <v>35</v>
      </c>
      <c r="J183" t="s">
        <v>36</v>
      </c>
      <c r="K183" s="209"/>
    </row>
    <row r="184" spans="1:11" ht="13.9" hidden="1">
      <c r="A184" s="204" t="s">
        <v>784</v>
      </c>
      <c r="B184" t="s">
        <v>785</v>
      </c>
      <c r="C184" s="205">
        <v>530</v>
      </c>
      <c r="D184" t="s">
        <v>85</v>
      </c>
      <c r="E184" s="207" t="s">
        <v>31</v>
      </c>
      <c r="F184" t="s">
        <v>32</v>
      </c>
      <c r="G184" s="204" t="s">
        <v>786</v>
      </c>
      <c r="H184" t="s">
        <v>787</v>
      </c>
      <c r="I184" s="204" t="s">
        <v>35</v>
      </c>
      <c r="J184" t="s">
        <v>36</v>
      </c>
      <c r="K184" s="209"/>
    </row>
    <row r="185" spans="1:11" ht="13.9" hidden="1">
      <c r="A185" s="204" t="s">
        <v>788</v>
      </c>
      <c r="B185" t="s">
        <v>789</v>
      </c>
      <c r="C185" s="205">
        <v>424</v>
      </c>
      <c r="D185" t="s">
        <v>30</v>
      </c>
      <c r="E185" s="207" t="s">
        <v>31</v>
      </c>
      <c r="F185" t="s">
        <v>32</v>
      </c>
      <c r="G185" s="204" t="s">
        <v>790</v>
      </c>
      <c r="H185" t="s">
        <v>791</v>
      </c>
      <c r="I185" s="204" t="s">
        <v>35</v>
      </c>
      <c r="J185" t="s">
        <v>36</v>
      </c>
      <c r="K185" s="209"/>
    </row>
    <row r="186" spans="1:11" ht="13.9" hidden="1">
      <c r="A186" s="204" t="s">
        <v>792</v>
      </c>
      <c r="B186" t="s">
        <v>793</v>
      </c>
      <c r="C186" s="205">
        <v>53</v>
      </c>
      <c r="D186" t="s">
        <v>90</v>
      </c>
      <c r="E186" s="207" t="s">
        <v>31</v>
      </c>
      <c r="F186" t="s">
        <v>32</v>
      </c>
      <c r="G186" s="204" t="s">
        <v>794</v>
      </c>
      <c r="H186" t="s">
        <v>795</v>
      </c>
      <c r="I186" s="204" t="s">
        <v>35</v>
      </c>
      <c r="J186" t="s">
        <v>36</v>
      </c>
      <c r="K186" s="209"/>
    </row>
    <row r="187" spans="1:11" ht="13.9" hidden="1">
      <c r="A187" s="204" t="s">
        <v>796</v>
      </c>
      <c r="B187" t="s">
        <v>797</v>
      </c>
      <c r="C187" s="205">
        <v>116.6</v>
      </c>
      <c r="D187" t="s">
        <v>44</v>
      </c>
      <c r="E187" s="207" t="s">
        <v>31</v>
      </c>
      <c r="F187" t="s">
        <v>32</v>
      </c>
      <c r="G187" s="204" t="s">
        <v>798</v>
      </c>
      <c r="H187" t="s">
        <v>799</v>
      </c>
      <c r="I187" s="204" t="s">
        <v>35</v>
      </c>
      <c r="J187" t="s">
        <v>36</v>
      </c>
      <c r="K187" s="209"/>
    </row>
    <row r="188" spans="1:11" ht="13.9" hidden="1">
      <c r="A188" s="204" t="s">
        <v>800</v>
      </c>
      <c r="B188" t="s">
        <v>801</v>
      </c>
      <c r="C188" s="205">
        <v>42.4</v>
      </c>
      <c r="D188" t="s">
        <v>30</v>
      </c>
      <c r="E188" s="207" t="s">
        <v>31</v>
      </c>
      <c r="F188" t="s">
        <v>32</v>
      </c>
      <c r="G188" s="204" t="s">
        <v>802</v>
      </c>
      <c r="H188" t="s">
        <v>803</v>
      </c>
      <c r="I188" s="204" t="s">
        <v>35</v>
      </c>
      <c r="J188" t="s">
        <v>36</v>
      </c>
      <c r="K188" s="209"/>
    </row>
    <row r="189" spans="1:11" ht="13.9" hidden="1">
      <c r="A189" s="204" t="s">
        <v>804</v>
      </c>
      <c r="B189" t="s">
        <v>805</v>
      </c>
      <c r="C189" s="205">
        <v>424</v>
      </c>
      <c r="D189" t="s">
        <v>359</v>
      </c>
      <c r="E189" s="207" t="s">
        <v>31</v>
      </c>
      <c r="F189" t="s">
        <v>32</v>
      </c>
      <c r="G189" s="204" t="s">
        <v>806</v>
      </c>
      <c r="H189" t="s">
        <v>807</v>
      </c>
      <c r="I189" s="204" t="s">
        <v>35</v>
      </c>
      <c r="J189" t="s">
        <v>36</v>
      </c>
      <c r="K189" s="209"/>
    </row>
    <row r="190" spans="1:11" ht="13.9" hidden="1">
      <c r="A190" s="204" t="s">
        <v>808</v>
      </c>
      <c r="B190" t="s">
        <v>809</v>
      </c>
      <c r="C190" s="205">
        <v>366.67</v>
      </c>
      <c r="D190" t="s">
        <v>30</v>
      </c>
      <c r="E190" s="207" t="s">
        <v>31</v>
      </c>
      <c r="F190" t="s">
        <v>32</v>
      </c>
      <c r="G190" s="204" t="s">
        <v>810</v>
      </c>
      <c r="H190" t="s">
        <v>811</v>
      </c>
      <c r="I190" s="204" t="s">
        <v>35</v>
      </c>
      <c r="J190" t="s">
        <v>36</v>
      </c>
      <c r="K190" s="209"/>
    </row>
    <row r="191" spans="1:11" ht="13.9" hidden="1">
      <c r="A191" s="204" t="s">
        <v>812</v>
      </c>
      <c r="B191" t="s">
        <v>813</v>
      </c>
      <c r="C191" s="205">
        <v>45</v>
      </c>
      <c r="D191" t="s">
        <v>39</v>
      </c>
      <c r="E191" s="207" t="s">
        <v>31</v>
      </c>
      <c r="F191" t="s">
        <v>32</v>
      </c>
      <c r="G191" s="204" t="s">
        <v>814</v>
      </c>
      <c r="H191" t="s">
        <v>815</v>
      </c>
      <c r="I191" s="204" t="s">
        <v>35</v>
      </c>
      <c r="J191" t="s">
        <v>36</v>
      </c>
      <c r="K191" s="209"/>
    </row>
    <row r="192" spans="1:11" ht="13.9" hidden="1">
      <c r="A192" s="204" t="s">
        <v>816</v>
      </c>
      <c r="B192" t="s">
        <v>817</v>
      </c>
      <c r="C192" s="205">
        <v>816.2</v>
      </c>
      <c r="D192" t="s">
        <v>141</v>
      </c>
      <c r="E192" s="207" t="s">
        <v>31</v>
      </c>
      <c r="F192" t="s">
        <v>32</v>
      </c>
      <c r="G192" s="204" t="s">
        <v>818</v>
      </c>
      <c r="H192" t="s">
        <v>819</v>
      </c>
      <c r="I192" s="204" t="s">
        <v>35</v>
      </c>
      <c r="J192" t="s">
        <v>36</v>
      </c>
      <c r="K192" s="209"/>
    </row>
    <row r="193" spans="1:11" ht="13.9" hidden="1">
      <c r="A193" s="204" t="s">
        <v>820</v>
      </c>
      <c r="B193" t="s">
        <v>821</v>
      </c>
      <c r="C193" s="205">
        <v>402.8</v>
      </c>
      <c r="D193" t="s">
        <v>39</v>
      </c>
      <c r="E193" s="207" t="s">
        <v>31</v>
      </c>
      <c r="F193" t="s">
        <v>32</v>
      </c>
      <c r="G193" s="204" t="s">
        <v>822</v>
      </c>
      <c r="H193" t="s">
        <v>823</v>
      </c>
      <c r="I193" s="204" t="s">
        <v>35</v>
      </c>
      <c r="J193" t="s">
        <v>36</v>
      </c>
      <c r="K193" s="209"/>
    </row>
    <row r="194" spans="1:11" ht="13.9" hidden="1">
      <c r="A194" s="204" t="s">
        <v>824</v>
      </c>
      <c r="B194" t="s">
        <v>825</v>
      </c>
      <c r="C194" s="205">
        <v>12.72</v>
      </c>
      <c r="D194" t="s">
        <v>141</v>
      </c>
      <c r="E194" s="207" t="s">
        <v>31</v>
      </c>
      <c r="F194" t="s">
        <v>32</v>
      </c>
      <c r="G194" s="204" t="s">
        <v>826</v>
      </c>
      <c r="H194" t="s">
        <v>827</v>
      </c>
      <c r="I194" s="204" t="s">
        <v>35</v>
      </c>
      <c r="J194" t="s">
        <v>36</v>
      </c>
      <c r="K194" s="209"/>
    </row>
    <row r="195" spans="1:11" ht="13.9" hidden="1">
      <c r="A195" s="204" t="s">
        <v>828</v>
      </c>
      <c r="B195" t="s">
        <v>829</v>
      </c>
      <c r="C195" s="205">
        <v>63.6</v>
      </c>
      <c r="D195" t="s">
        <v>39</v>
      </c>
      <c r="E195" s="207" t="s">
        <v>31</v>
      </c>
      <c r="F195" t="s">
        <v>32</v>
      </c>
      <c r="G195" s="204" t="s">
        <v>830</v>
      </c>
      <c r="H195" t="s">
        <v>831</v>
      </c>
      <c r="I195" s="204" t="s">
        <v>35</v>
      </c>
      <c r="J195" t="s">
        <v>36</v>
      </c>
      <c r="K195" s="209"/>
    </row>
    <row r="196" spans="1:11" ht="13.9" hidden="1">
      <c r="A196" s="204" t="s">
        <v>832</v>
      </c>
      <c r="B196" t="s">
        <v>833</v>
      </c>
      <c r="C196" s="205">
        <v>90.1</v>
      </c>
      <c r="D196" t="s">
        <v>39</v>
      </c>
      <c r="E196" s="207" t="s">
        <v>31</v>
      </c>
      <c r="F196" t="s">
        <v>32</v>
      </c>
      <c r="G196" s="204" t="s">
        <v>834</v>
      </c>
      <c r="H196" t="s">
        <v>835</v>
      </c>
      <c r="I196" s="204" t="s">
        <v>35</v>
      </c>
      <c r="J196" t="s">
        <v>36</v>
      </c>
      <c r="K196" s="209"/>
    </row>
    <row r="197" spans="1:11" ht="13.9" hidden="1">
      <c r="A197" s="204" t="s">
        <v>836</v>
      </c>
      <c r="B197" t="s">
        <v>837</v>
      </c>
      <c r="C197" s="205">
        <v>848</v>
      </c>
      <c r="D197" t="s">
        <v>44</v>
      </c>
      <c r="E197" s="207" t="s">
        <v>31</v>
      </c>
      <c r="F197" t="s">
        <v>32</v>
      </c>
      <c r="G197" s="204" t="s">
        <v>838</v>
      </c>
      <c r="H197" t="s">
        <v>839</v>
      </c>
      <c r="I197" s="204" t="s">
        <v>35</v>
      </c>
      <c r="J197" t="s">
        <v>36</v>
      </c>
      <c r="K197" s="209"/>
    </row>
    <row r="198" spans="1:11" ht="13.9">
      <c r="A198" s="204" t="s">
        <v>840</v>
      </c>
      <c r="B198" t="s">
        <v>841</v>
      </c>
      <c r="C198" s="205">
        <v>2400</v>
      </c>
      <c r="D198" t="s">
        <v>67</v>
      </c>
      <c r="E198" s="207" t="s">
        <v>31</v>
      </c>
      <c r="F198" t="s">
        <v>32</v>
      </c>
      <c r="G198" s="204" t="s">
        <v>842</v>
      </c>
      <c r="H198" t="s">
        <v>843</v>
      </c>
      <c r="I198" s="204" t="s">
        <v>35</v>
      </c>
      <c r="J198" t="s">
        <v>36</v>
      </c>
      <c r="K198" s="209"/>
    </row>
    <row r="199" spans="1:11" ht="13.9" hidden="1">
      <c r="A199" s="204" t="s">
        <v>844</v>
      </c>
      <c r="B199" t="s">
        <v>845</v>
      </c>
      <c r="C199" s="205">
        <v>1866.67</v>
      </c>
      <c r="D199" t="s">
        <v>158</v>
      </c>
      <c r="E199" s="207" t="s">
        <v>31</v>
      </c>
      <c r="F199" t="s">
        <v>32</v>
      </c>
      <c r="G199" s="204" t="s">
        <v>846</v>
      </c>
      <c r="H199" t="s">
        <v>847</v>
      </c>
      <c r="I199" s="204" t="s">
        <v>35</v>
      </c>
      <c r="J199" t="s">
        <v>36</v>
      </c>
      <c r="K199" s="209"/>
    </row>
    <row r="200" spans="1:11" ht="13.9" hidden="1">
      <c r="A200" s="204" t="s">
        <v>848</v>
      </c>
      <c r="B200" t="s">
        <v>849</v>
      </c>
      <c r="C200" s="205">
        <v>530</v>
      </c>
      <c r="D200" t="s">
        <v>85</v>
      </c>
      <c r="E200" s="207" t="s">
        <v>31</v>
      </c>
      <c r="F200" t="s">
        <v>32</v>
      </c>
      <c r="G200" s="204" t="s">
        <v>850</v>
      </c>
      <c r="H200" t="s">
        <v>851</v>
      </c>
      <c r="I200" s="204" t="s">
        <v>35</v>
      </c>
      <c r="J200" t="s">
        <v>36</v>
      </c>
      <c r="K200" s="209"/>
    </row>
    <row r="201" spans="1:11" ht="13.9" hidden="1">
      <c r="A201" s="204" t="s">
        <v>852</v>
      </c>
      <c r="B201" t="s">
        <v>853</v>
      </c>
      <c r="C201" s="205">
        <v>53</v>
      </c>
      <c r="D201" t="s">
        <v>30</v>
      </c>
      <c r="E201" s="207" t="s">
        <v>31</v>
      </c>
      <c r="F201" t="s">
        <v>32</v>
      </c>
      <c r="G201" s="204" t="s">
        <v>854</v>
      </c>
      <c r="H201" t="s">
        <v>855</v>
      </c>
      <c r="I201" s="204" t="s">
        <v>35</v>
      </c>
      <c r="J201" t="s">
        <v>36</v>
      </c>
      <c r="K201" s="209"/>
    </row>
    <row r="202" spans="1:11" ht="13.9" hidden="1">
      <c r="A202" s="204" t="s">
        <v>856</v>
      </c>
      <c r="B202" t="s">
        <v>857</v>
      </c>
      <c r="C202" s="205">
        <v>1.5</v>
      </c>
      <c r="D202" t="s">
        <v>196</v>
      </c>
      <c r="E202" s="207" t="s">
        <v>31</v>
      </c>
      <c r="F202" t="s">
        <v>32</v>
      </c>
      <c r="G202" s="204" t="s">
        <v>858</v>
      </c>
      <c r="H202" t="s">
        <v>859</v>
      </c>
      <c r="I202" s="204" t="s">
        <v>35</v>
      </c>
      <c r="J202" t="s">
        <v>36</v>
      </c>
      <c r="K202" s="209"/>
    </row>
    <row r="203" spans="1:11" ht="13.9" hidden="1">
      <c r="A203" s="204" t="s">
        <v>860</v>
      </c>
      <c r="B203" t="s">
        <v>861</v>
      </c>
      <c r="C203" s="205">
        <v>1060</v>
      </c>
      <c r="D203" t="s">
        <v>39</v>
      </c>
      <c r="E203" s="207" t="s">
        <v>31</v>
      </c>
      <c r="F203" t="s">
        <v>32</v>
      </c>
      <c r="G203" s="204" t="s">
        <v>862</v>
      </c>
      <c r="H203" t="s">
        <v>863</v>
      </c>
      <c r="I203" s="204" t="s">
        <v>35</v>
      </c>
      <c r="J203" t="s">
        <v>36</v>
      </c>
      <c r="K203" s="209"/>
    </row>
    <row r="204" spans="1:11" ht="13.9" hidden="1">
      <c r="A204" s="204" t="s">
        <v>864</v>
      </c>
      <c r="B204" t="s">
        <v>865</v>
      </c>
      <c r="C204" s="205">
        <v>2.4300000000000002</v>
      </c>
      <c r="D204" t="s">
        <v>196</v>
      </c>
      <c r="E204" s="207" t="s">
        <v>31</v>
      </c>
      <c r="F204" t="s">
        <v>32</v>
      </c>
      <c r="G204" s="204" t="s">
        <v>866</v>
      </c>
      <c r="H204" t="s">
        <v>867</v>
      </c>
      <c r="I204" s="204" t="s">
        <v>35</v>
      </c>
      <c r="J204" t="s">
        <v>36</v>
      </c>
      <c r="K204" s="209"/>
    </row>
    <row r="205" spans="1:11" ht="13.9" hidden="1">
      <c r="A205" s="204" t="s">
        <v>868</v>
      </c>
      <c r="B205" t="s">
        <v>869</v>
      </c>
      <c r="C205" s="205">
        <v>16.11</v>
      </c>
      <c r="D205" t="s">
        <v>39</v>
      </c>
      <c r="E205" s="207" t="s">
        <v>31</v>
      </c>
      <c r="F205" t="s">
        <v>32</v>
      </c>
      <c r="G205" s="204" t="s">
        <v>870</v>
      </c>
      <c r="H205" t="s">
        <v>871</v>
      </c>
      <c r="I205" s="204" t="s">
        <v>35</v>
      </c>
      <c r="J205" t="s">
        <v>36</v>
      </c>
      <c r="K205" s="209"/>
    </row>
    <row r="206" spans="1:11" ht="13.9" hidden="1">
      <c r="A206" s="204" t="s">
        <v>872</v>
      </c>
      <c r="B206" t="s">
        <v>873</v>
      </c>
      <c r="C206" s="205">
        <v>212</v>
      </c>
      <c r="D206" t="s">
        <v>30</v>
      </c>
      <c r="E206" s="207" t="s">
        <v>31</v>
      </c>
      <c r="F206" t="s">
        <v>32</v>
      </c>
      <c r="G206" s="204" t="s">
        <v>874</v>
      </c>
      <c r="H206" t="s">
        <v>875</v>
      </c>
      <c r="I206" s="204" t="s">
        <v>35</v>
      </c>
      <c r="J206" t="s">
        <v>36</v>
      </c>
      <c r="K206" s="209"/>
    </row>
    <row r="207" spans="1:11" ht="13.9">
      <c r="A207" s="204" t="s">
        <v>876</v>
      </c>
      <c r="B207" t="s">
        <v>877</v>
      </c>
      <c r="C207" s="205">
        <v>0.06</v>
      </c>
      <c r="D207" t="s">
        <v>49</v>
      </c>
      <c r="E207" s="207" t="s">
        <v>31</v>
      </c>
      <c r="F207" t="s">
        <v>32</v>
      </c>
      <c r="G207" s="204" t="s">
        <v>878</v>
      </c>
      <c r="H207" t="s">
        <v>879</v>
      </c>
      <c r="I207" s="204" t="s">
        <v>35</v>
      </c>
      <c r="J207" t="s">
        <v>36</v>
      </c>
      <c r="K207" s="209"/>
    </row>
    <row r="208" spans="1:11" ht="13.9" hidden="1">
      <c r="A208" s="204" t="s">
        <v>880</v>
      </c>
      <c r="B208" t="s">
        <v>881</v>
      </c>
      <c r="C208" s="205">
        <v>53</v>
      </c>
      <c r="D208" t="s">
        <v>54</v>
      </c>
      <c r="E208" s="207" t="s">
        <v>31</v>
      </c>
      <c r="F208" t="s">
        <v>32</v>
      </c>
      <c r="G208" s="204" t="s">
        <v>882</v>
      </c>
      <c r="H208" t="s">
        <v>883</v>
      </c>
      <c r="I208" s="204" t="s">
        <v>35</v>
      </c>
      <c r="J208" t="s">
        <v>36</v>
      </c>
      <c r="K208" s="209"/>
    </row>
    <row r="209" spans="1:11" ht="13.9" hidden="1">
      <c r="A209" s="204" t="s">
        <v>884</v>
      </c>
      <c r="B209" t="s">
        <v>885</v>
      </c>
      <c r="C209" s="205">
        <v>81.62</v>
      </c>
      <c r="D209" t="s">
        <v>621</v>
      </c>
      <c r="E209" s="207" t="s">
        <v>31</v>
      </c>
      <c r="F209" t="s">
        <v>32</v>
      </c>
      <c r="G209" s="204" t="s">
        <v>886</v>
      </c>
      <c r="H209" t="s">
        <v>887</v>
      </c>
      <c r="I209" s="204" t="s">
        <v>35</v>
      </c>
      <c r="J209" t="s">
        <v>36</v>
      </c>
      <c r="K209" s="209"/>
    </row>
    <row r="210" spans="1:11" ht="13.9" hidden="1">
      <c r="A210" s="204" t="s">
        <v>888</v>
      </c>
      <c r="B210" t="s">
        <v>889</v>
      </c>
      <c r="C210" s="205">
        <v>243.33</v>
      </c>
      <c r="D210" t="s">
        <v>196</v>
      </c>
      <c r="E210" s="207" t="s">
        <v>31</v>
      </c>
      <c r="F210" t="s">
        <v>32</v>
      </c>
      <c r="G210" s="204" t="s">
        <v>890</v>
      </c>
      <c r="H210" t="s">
        <v>891</v>
      </c>
      <c r="I210" s="204" t="s">
        <v>35</v>
      </c>
      <c r="J210" t="s">
        <v>36</v>
      </c>
      <c r="K210" s="209"/>
    </row>
    <row r="211" spans="1:11" ht="13.9" hidden="1">
      <c r="A211" s="204" t="s">
        <v>892</v>
      </c>
      <c r="B211" t="s">
        <v>893</v>
      </c>
      <c r="C211" s="205">
        <v>79.5</v>
      </c>
      <c r="D211" t="s">
        <v>39</v>
      </c>
      <c r="E211" s="207" t="s">
        <v>31</v>
      </c>
      <c r="F211" t="s">
        <v>32</v>
      </c>
      <c r="G211" s="204" t="s">
        <v>894</v>
      </c>
      <c r="H211" t="s">
        <v>895</v>
      </c>
      <c r="I211" s="204" t="s">
        <v>35</v>
      </c>
      <c r="J211" t="s">
        <v>36</v>
      </c>
      <c r="K211" s="209"/>
    </row>
    <row r="212" spans="1:11" ht="13.9" hidden="1">
      <c r="A212" s="204" t="s">
        <v>896</v>
      </c>
      <c r="B212" t="s">
        <v>897</v>
      </c>
      <c r="C212" s="205">
        <v>318</v>
      </c>
      <c r="D212" t="s">
        <v>30</v>
      </c>
      <c r="E212" s="207" t="s">
        <v>31</v>
      </c>
      <c r="F212" t="s">
        <v>32</v>
      </c>
      <c r="G212" s="204" t="s">
        <v>898</v>
      </c>
      <c r="H212" t="s">
        <v>899</v>
      </c>
      <c r="I212" s="204" t="s">
        <v>35</v>
      </c>
      <c r="J212" t="s">
        <v>36</v>
      </c>
      <c r="K212" s="209"/>
    </row>
    <row r="213" spans="1:11" ht="13.9">
      <c r="A213" s="204" t="s">
        <v>900</v>
      </c>
      <c r="B213" t="s">
        <v>901</v>
      </c>
      <c r="C213" s="205">
        <v>2000</v>
      </c>
      <c r="D213" t="s">
        <v>163</v>
      </c>
      <c r="E213" s="207" t="s">
        <v>31</v>
      </c>
      <c r="F213" t="s">
        <v>32</v>
      </c>
      <c r="G213" s="204" t="s">
        <v>902</v>
      </c>
      <c r="H213" t="s">
        <v>903</v>
      </c>
      <c r="I213" s="204" t="s">
        <v>35</v>
      </c>
      <c r="J213" t="s">
        <v>36</v>
      </c>
      <c r="K213" s="209"/>
    </row>
    <row r="214" spans="1:11" ht="13.9" hidden="1">
      <c r="A214" s="204" t="s">
        <v>904</v>
      </c>
      <c r="B214" t="s">
        <v>905</v>
      </c>
      <c r="C214" s="205">
        <v>1060</v>
      </c>
      <c r="D214" t="s">
        <v>39</v>
      </c>
      <c r="E214" s="207" t="s">
        <v>31</v>
      </c>
      <c r="F214" t="s">
        <v>32</v>
      </c>
      <c r="G214" s="204" t="s">
        <v>906</v>
      </c>
      <c r="H214" t="s">
        <v>907</v>
      </c>
      <c r="I214" s="204" t="s">
        <v>35</v>
      </c>
      <c r="J214" t="s">
        <v>36</v>
      </c>
      <c r="K214" s="209"/>
    </row>
    <row r="215" spans="1:11" ht="13.9" hidden="1">
      <c r="A215" s="204" t="s">
        <v>908</v>
      </c>
      <c r="B215" t="s">
        <v>909</v>
      </c>
      <c r="C215" s="205">
        <v>0.06</v>
      </c>
      <c r="D215" t="s">
        <v>49</v>
      </c>
      <c r="E215" s="207" t="s">
        <v>31</v>
      </c>
      <c r="F215" t="s">
        <v>32</v>
      </c>
      <c r="G215" s="204" t="s">
        <v>910</v>
      </c>
      <c r="H215" t="s">
        <v>911</v>
      </c>
      <c r="I215" s="204" t="s">
        <v>35</v>
      </c>
      <c r="J215" t="s">
        <v>36</v>
      </c>
      <c r="K215" s="209"/>
    </row>
    <row r="216" spans="1:11" ht="13.9" hidden="1">
      <c r="A216" s="204" t="s">
        <v>912</v>
      </c>
      <c r="B216" t="s">
        <v>913</v>
      </c>
      <c r="C216" s="205">
        <v>161.08000000000001</v>
      </c>
      <c r="D216" t="s">
        <v>39</v>
      </c>
      <c r="E216" s="207" t="s">
        <v>31</v>
      </c>
      <c r="F216" t="s">
        <v>32</v>
      </c>
      <c r="G216" s="204" t="s">
        <v>914</v>
      </c>
      <c r="H216" t="s">
        <v>915</v>
      </c>
      <c r="I216" s="204" t="s">
        <v>35</v>
      </c>
      <c r="J216" t="s">
        <v>36</v>
      </c>
      <c r="K216" s="209"/>
    </row>
    <row r="217" spans="1:11" ht="13.9" hidden="1">
      <c r="A217" s="204" t="s">
        <v>916</v>
      </c>
      <c r="B217" t="s">
        <v>917</v>
      </c>
      <c r="C217" s="205">
        <v>209.07</v>
      </c>
      <c r="D217" t="s">
        <v>54</v>
      </c>
      <c r="E217" s="207" t="s">
        <v>31</v>
      </c>
      <c r="F217" t="s">
        <v>32</v>
      </c>
      <c r="G217" s="204" t="s">
        <v>918</v>
      </c>
      <c r="H217" t="s">
        <v>919</v>
      </c>
      <c r="I217" s="204" t="s">
        <v>35</v>
      </c>
      <c r="J217" t="s">
        <v>36</v>
      </c>
      <c r="K217" s="209"/>
    </row>
    <row r="218" spans="1:11" ht="13.9" hidden="1">
      <c r="A218" s="204" t="s">
        <v>920</v>
      </c>
      <c r="B218" t="s">
        <v>921</v>
      </c>
      <c r="C218" s="205">
        <v>2066.67</v>
      </c>
      <c r="D218" t="s">
        <v>30</v>
      </c>
      <c r="E218" s="207" t="s">
        <v>31</v>
      </c>
      <c r="F218" t="s">
        <v>32</v>
      </c>
      <c r="G218" s="204" t="s">
        <v>922</v>
      </c>
      <c r="H218" t="s">
        <v>923</v>
      </c>
      <c r="I218" s="204" t="s">
        <v>35</v>
      </c>
      <c r="J218" t="s">
        <v>36</v>
      </c>
      <c r="K218" s="209"/>
    </row>
    <row r="219" spans="1:11" ht="13.9" hidden="1">
      <c r="A219" s="204" t="s">
        <v>924</v>
      </c>
      <c r="B219" t="s">
        <v>925</v>
      </c>
      <c r="C219" s="205">
        <v>1166</v>
      </c>
      <c r="D219" t="s">
        <v>30</v>
      </c>
      <c r="E219" s="207" t="s">
        <v>31</v>
      </c>
      <c r="F219" t="s">
        <v>32</v>
      </c>
      <c r="G219" s="204" t="s">
        <v>926</v>
      </c>
      <c r="H219" t="s">
        <v>927</v>
      </c>
      <c r="I219" s="204" t="s">
        <v>35</v>
      </c>
      <c r="J219" t="s">
        <v>36</v>
      </c>
      <c r="K219" s="209"/>
    </row>
    <row r="220" spans="1:11" ht="13.9" hidden="1">
      <c r="A220" s="204" t="s">
        <v>928</v>
      </c>
      <c r="B220" t="s">
        <v>929</v>
      </c>
      <c r="C220" s="205">
        <v>400</v>
      </c>
      <c r="D220" t="s">
        <v>39</v>
      </c>
      <c r="E220" s="207" t="s">
        <v>31</v>
      </c>
      <c r="F220" t="s">
        <v>32</v>
      </c>
      <c r="G220" s="204" t="s">
        <v>930</v>
      </c>
      <c r="H220" t="s">
        <v>931</v>
      </c>
      <c r="I220" s="204" t="s">
        <v>35</v>
      </c>
      <c r="J220" t="s">
        <v>36</v>
      </c>
      <c r="K220" s="209"/>
    </row>
    <row r="221" spans="1:11" ht="13.9" hidden="1">
      <c r="A221" s="204" t="s">
        <v>932</v>
      </c>
      <c r="B221" t="s">
        <v>933</v>
      </c>
      <c r="C221" s="205">
        <v>95.4</v>
      </c>
      <c r="D221" t="s">
        <v>39</v>
      </c>
      <c r="E221" s="207" t="s">
        <v>31</v>
      </c>
      <c r="F221" t="s">
        <v>32</v>
      </c>
      <c r="G221" s="204" t="s">
        <v>934</v>
      </c>
      <c r="H221" t="s">
        <v>935</v>
      </c>
      <c r="I221" s="204" t="s">
        <v>35</v>
      </c>
      <c r="J221" t="s">
        <v>36</v>
      </c>
      <c r="K221" s="209"/>
    </row>
    <row r="222" spans="1:11" ht="13.9" hidden="1">
      <c r="A222" s="204" t="s">
        <v>936</v>
      </c>
      <c r="B222" t="s">
        <v>937</v>
      </c>
      <c r="C222" s="205">
        <v>636</v>
      </c>
      <c r="D222" t="s">
        <v>141</v>
      </c>
      <c r="E222" s="207" t="s">
        <v>31</v>
      </c>
      <c r="F222" t="s">
        <v>32</v>
      </c>
      <c r="G222" s="204" t="s">
        <v>938</v>
      </c>
      <c r="H222" t="s">
        <v>939</v>
      </c>
      <c r="I222" s="204" t="s">
        <v>35</v>
      </c>
      <c r="J222" t="s">
        <v>36</v>
      </c>
      <c r="K222" s="209"/>
    </row>
    <row r="223" spans="1:11" ht="13.9" hidden="1">
      <c r="A223" s="204" t="s">
        <v>940</v>
      </c>
      <c r="B223" t="s">
        <v>941</v>
      </c>
      <c r="C223" s="205">
        <v>371</v>
      </c>
      <c r="D223" t="s">
        <v>39</v>
      </c>
      <c r="E223" s="207" t="s">
        <v>31</v>
      </c>
      <c r="F223" t="s">
        <v>32</v>
      </c>
      <c r="G223" s="204" t="s">
        <v>942</v>
      </c>
      <c r="H223" t="s">
        <v>943</v>
      </c>
      <c r="I223" s="204" t="s">
        <v>35</v>
      </c>
      <c r="J223" t="s">
        <v>36</v>
      </c>
      <c r="K223" s="209"/>
    </row>
    <row r="224" spans="1:11" ht="13.9" hidden="1">
      <c r="A224" s="204" t="s">
        <v>944</v>
      </c>
      <c r="B224" t="s">
        <v>945</v>
      </c>
      <c r="C224" s="205">
        <v>131.66999999999999</v>
      </c>
      <c r="D224" t="s">
        <v>39</v>
      </c>
      <c r="E224" s="207" t="s">
        <v>31</v>
      </c>
      <c r="F224" t="s">
        <v>32</v>
      </c>
      <c r="G224" s="204" t="s">
        <v>946</v>
      </c>
      <c r="H224" t="s">
        <v>947</v>
      </c>
      <c r="I224" s="204" t="s">
        <v>35</v>
      </c>
      <c r="J224" t="s">
        <v>36</v>
      </c>
      <c r="K224" s="209"/>
    </row>
    <row r="225" spans="1:11" ht="13.9" hidden="1">
      <c r="A225" s="204" t="s">
        <v>948</v>
      </c>
      <c r="B225" t="s">
        <v>949</v>
      </c>
      <c r="C225" s="205">
        <v>127.2</v>
      </c>
      <c r="D225" t="s">
        <v>237</v>
      </c>
      <c r="E225" s="207" t="s">
        <v>31</v>
      </c>
      <c r="F225" t="s">
        <v>32</v>
      </c>
      <c r="G225" s="204" t="s">
        <v>950</v>
      </c>
      <c r="H225" t="s">
        <v>951</v>
      </c>
      <c r="I225" s="204" t="s">
        <v>35</v>
      </c>
      <c r="J225" t="s">
        <v>36</v>
      </c>
      <c r="K225" s="209"/>
    </row>
    <row r="226" spans="1:11" ht="13.9" hidden="1">
      <c r="A226" s="204" t="s">
        <v>952</v>
      </c>
      <c r="B226" t="s">
        <v>953</v>
      </c>
      <c r="C226" s="205">
        <v>689</v>
      </c>
      <c r="D226" t="s">
        <v>30</v>
      </c>
      <c r="E226" s="207" t="s">
        <v>31</v>
      </c>
      <c r="F226" t="s">
        <v>32</v>
      </c>
      <c r="G226" s="204" t="s">
        <v>954</v>
      </c>
      <c r="H226" t="s">
        <v>955</v>
      </c>
      <c r="I226" s="204" t="s">
        <v>35</v>
      </c>
      <c r="J226" t="s">
        <v>36</v>
      </c>
      <c r="K226" s="209"/>
    </row>
    <row r="227" spans="1:11" ht="13.9" hidden="1">
      <c r="A227" s="204" t="s">
        <v>956</v>
      </c>
      <c r="B227" t="s">
        <v>957</v>
      </c>
      <c r="C227" s="205">
        <v>180.2</v>
      </c>
      <c r="D227" t="s">
        <v>958</v>
      </c>
      <c r="E227" s="207" t="s">
        <v>31</v>
      </c>
      <c r="F227" t="s">
        <v>32</v>
      </c>
      <c r="G227" s="204" t="s">
        <v>959</v>
      </c>
      <c r="H227" t="s">
        <v>960</v>
      </c>
      <c r="I227" s="204" t="s">
        <v>35</v>
      </c>
      <c r="J227" t="s">
        <v>36</v>
      </c>
      <c r="K227" s="209"/>
    </row>
    <row r="228" spans="1:11" ht="13.9" hidden="1">
      <c r="A228" s="204" t="s">
        <v>961</v>
      </c>
      <c r="B228" t="s">
        <v>962</v>
      </c>
      <c r="C228" s="205">
        <v>445.2</v>
      </c>
      <c r="D228" t="s">
        <v>90</v>
      </c>
      <c r="E228" s="207" t="s">
        <v>31</v>
      </c>
      <c r="F228" t="s">
        <v>32</v>
      </c>
      <c r="G228" s="204" t="s">
        <v>963</v>
      </c>
      <c r="H228" t="s">
        <v>964</v>
      </c>
      <c r="I228" s="204" t="s">
        <v>35</v>
      </c>
      <c r="J228" t="s">
        <v>36</v>
      </c>
      <c r="K228" s="209"/>
    </row>
    <row r="229" spans="1:11" ht="13.9" hidden="1">
      <c r="A229" s="204" t="s">
        <v>965</v>
      </c>
      <c r="B229" t="s">
        <v>966</v>
      </c>
      <c r="C229" s="205">
        <v>1666.67</v>
      </c>
      <c r="D229" t="s">
        <v>30</v>
      </c>
      <c r="E229" s="207" t="s">
        <v>31</v>
      </c>
      <c r="F229" t="s">
        <v>32</v>
      </c>
      <c r="G229" s="204" t="s">
        <v>967</v>
      </c>
      <c r="H229" t="s">
        <v>968</v>
      </c>
      <c r="I229" s="204" t="s">
        <v>35</v>
      </c>
      <c r="J229" t="s">
        <v>36</v>
      </c>
      <c r="K229" s="209"/>
    </row>
    <row r="230" spans="1:11" ht="13.9" hidden="1">
      <c r="A230" s="204" t="s">
        <v>969</v>
      </c>
      <c r="B230" t="s">
        <v>970</v>
      </c>
      <c r="C230" s="205">
        <v>1590</v>
      </c>
      <c r="D230" t="s">
        <v>85</v>
      </c>
      <c r="E230" s="207" t="s">
        <v>31</v>
      </c>
      <c r="F230" t="s">
        <v>32</v>
      </c>
      <c r="G230" s="204" t="s">
        <v>971</v>
      </c>
      <c r="H230" t="s">
        <v>972</v>
      </c>
      <c r="I230" s="204" t="s">
        <v>35</v>
      </c>
      <c r="J230" t="s">
        <v>36</v>
      </c>
      <c r="K230" s="209"/>
    </row>
    <row r="231" spans="1:11" ht="13.9" hidden="1">
      <c r="A231" s="204" t="s">
        <v>973</v>
      </c>
      <c r="B231" t="s">
        <v>974</v>
      </c>
      <c r="C231" s="205">
        <v>127.2</v>
      </c>
      <c r="D231" t="s">
        <v>39</v>
      </c>
      <c r="E231" s="207" t="s">
        <v>31</v>
      </c>
      <c r="F231" t="s">
        <v>32</v>
      </c>
      <c r="G231" s="204" t="s">
        <v>975</v>
      </c>
      <c r="H231" t="s">
        <v>976</v>
      </c>
      <c r="I231" s="204" t="s">
        <v>35</v>
      </c>
      <c r="J231" t="s">
        <v>36</v>
      </c>
      <c r="K231" s="209"/>
    </row>
    <row r="232" spans="1:11" ht="13.9" hidden="1">
      <c r="A232" s="204" t="s">
        <v>977</v>
      </c>
      <c r="B232" t="s">
        <v>978</v>
      </c>
      <c r="C232" s="205">
        <v>63.6</v>
      </c>
      <c r="D232" t="s">
        <v>39</v>
      </c>
      <c r="E232" s="207" t="s">
        <v>31</v>
      </c>
      <c r="F232" t="s">
        <v>32</v>
      </c>
      <c r="G232" s="204" t="s">
        <v>979</v>
      </c>
      <c r="H232" t="s">
        <v>980</v>
      </c>
      <c r="I232" s="204" t="s">
        <v>35</v>
      </c>
      <c r="J232" t="s">
        <v>36</v>
      </c>
      <c r="K232" s="209"/>
    </row>
    <row r="233" spans="1:11" ht="13.9" hidden="1">
      <c r="A233" s="204" t="s">
        <v>981</v>
      </c>
      <c r="B233" t="s">
        <v>982</v>
      </c>
      <c r="C233" s="205">
        <v>196.1</v>
      </c>
      <c r="D233" t="s">
        <v>141</v>
      </c>
      <c r="E233" s="207" t="s">
        <v>31</v>
      </c>
      <c r="F233" t="s">
        <v>32</v>
      </c>
      <c r="G233" s="204" t="s">
        <v>983</v>
      </c>
      <c r="H233" t="s">
        <v>984</v>
      </c>
      <c r="I233" s="204" t="s">
        <v>35</v>
      </c>
      <c r="J233" t="s">
        <v>36</v>
      </c>
      <c r="K233" s="209"/>
    </row>
    <row r="234" spans="1:11" ht="13.9" hidden="1">
      <c r="A234" s="204" t="s">
        <v>985</v>
      </c>
      <c r="B234" t="s">
        <v>986</v>
      </c>
      <c r="C234" s="205">
        <v>144.61000000000001</v>
      </c>
      <c r="D234" t="s">
        <v>39</v>
      </c>
      <c r="E234" s="207" t="s">
        <v>31</v>
      </c>
      <c r="F234" t="s">
        <v>32</v>
      </c>
      <c r="G234" s="204" t="s">
        <v>987</v>
      </c>
      <c r="H234" t="s">
        <v>988</v>
      </c>
      <c r="I234" s="204" t="s">
        <v>35</v>
      </c>
      <c r="J234" t="s">
        <v>36</v>
      </c>
      <c r="K234" s="209"/>
    </row>
    <row r="235" spans="1:11" ht="13.9" hidden="1">
      <c r="A235" s="204" t="s">
        <v>989</v>
      </c>
      <c r="B235" t="s">
        <v>990</v>
      </c>
      <c r="C235" s="205">
        <v>10600</v>
      </c>
      <c r="D235" t="s">
        <v>30</v>
      </c>
      <c r="E235" s="207" t="s">
        <v>31</v>
      </c>
      <c r="F235" t="s">
        <v>32</v>
      </c>
      <c r="G235" s="204" t="s">
        <v>991</v>
      </c>
      <c r="H235" t="s">
        <v>992</v>
      </c>
      <c r="I235" s="204" t="s">
        <v>35</v>
      </c>
      <c r="J235" t="s">
        <v>36</v>
      </c>
      <c r="K235" s="209"/>
    </row>
    <row r="236" spans="1:11" ht="13.9" hidden="1">
      <c r="A236" s="204" t="s">
        <v>993</v>
      </c>
      <c r="B236" t="s">
        <v>994</v>
      </c>
      <c r="C236" s="205">
        <v>84.8</v>
      </c>
      <c r="D236" t="s">
        <v>39</v>
      </c>
      <c r="E236" s="207" t="s">
        <v>31</v>
      </c>
      <c r="F236" t="s">
        <v>32</v>
      </c>
      <c r="G236" s="204" t="s">
        <v>995</v>
      </c>
      <c r="H236" t="s">
        <v>996</v>
      </c>
      <c r="I236" s="204" t="s">
        <v>35</v>
      </c>
      <c r="J236" t="s">
        <v>36</v>
      </c>
      <c r="K236" s="209"/>
    </row>
    <row r="237" spans="1:11" ht="13.9">
      <c r="A237" s="204" t="s">
        <v>997</v>
      </c>
      <c r="B237" t="s">
        <v>998</v>
      </c>
      <c r="C237" s="205">
        <v>3498.33</v>
      </c>
      <c r="D237" t="s">
        <v>85</v>
      </c>
      <c r="E237" s="207" t="s">
        <v>31</v>
      </c>
      <c r="F237" t="s">
        <v>32</v>
      </c>
      <c r="G237" s="204" t="s">
        <v>999</v>
      </c>
      <c r="H237" t="s">
        <v>1000</v>
      </c>
      <c r="I237" s="204" t="s">
        <v>35</v>
      </c>
      <c r="J237" t="s">
        <v>36</v>
      </c>
      <c r="K237" s="209"/>
    </row>
    <row r="238" spans="1:11" ht="13.9" hidden="1">
      <c r="A238" s="204" t="s">
        <v>1001</v>
      </c>
      <c r="B238" t="s">
        <v>1002</v>
      </c>
      <c r="C238" s="205">
        <v>237.44</v>
      </c>
      <c r="D238" t="s">
        <v>90</v>
      </c>
      <c r="E238" s="207" t="s">
        <v>31</v>
      </c>
      <c r="F238" t="s">
        <v>32</v>
      </c>
      <c r="G238" s="204" t="s">
        <v>1003</v>
      </c>
      <c r="H238" t="s">
        <v>1004</v>
      </c>
      <c r="I238" s="204" t="s">
        <v>35</v>
      </c>
      <c r="J238" t="s">
        <v>36</v>
      </c>
      <c r="K238" s="209"/>
    </row>
    <row r="239" spans="1:11" ht="13.9" hidden="1">
      <c r="A239" s="204" t="s">
        <v>1005</v>
      </c>
      <c r="B239" t="s">
        <v>1006</v>
      </c>
      <c r="C239" s="205">
        <v>466.4</v>
      </c>
      <c r="D239" t="s">
        <v>39</v>
      </c>
      <c r="E239" s="207" t="s">
        <v>31</v>
      </c>
      <c r="F239" t="s">
        <v>32</v>
      </c>
      <c r="G239" s="204" t="s">
        <v>1007</v>
      </c>
      <c r="H239" t="s">
        <v>1008</v>
      </c>
      <c r="I239" s="204" t="s">
        <v>35</v>
      </c>
      <c r="J239" t="s">
        <v>36</v>
      </c>
      <c r="K239" s="209"/>
    </row>
    <row r="240" spans="1:11" ht="13.9" hidden="1">
      <c r="A240" s="204" t="s">
        <v>1009</v>
      </c>
      <c r="B240" t="s">
        <v>1010</v>
      </c>
      <c r="C240" s="205">
        <v>133.33000000000001</v>
      </c>
      <c r="D240" t="s">
        <v>621</v>
      </c>
      <c r="E240" s="207" t="s">
        <v>31</v>
      </c>
      <c r="F240" t="s">
        <v>32</v>
      </c>
      <c r="G240" s="204" t="s">
        <v>1011</v>
      </c>
      <c r="H240" t="s">
        <v>1012</v>
      </c>
      <c r="I240" s="204" t="s">
        <v>35</v>
      </c>
      <c r="J240" t="s">
        <v>36</v>
      </c>
      <c r="K240" s="209"/>
    </row>
    <row r="241" spans="1:11" ht="13.9" hidden="1">
      <c r="A241" s="204" t="s">
        <v>1013</v>
      </c>
      <c r="B241" t="s">
        <v>1014</v>
      </c>
      <c r="C241" s="205">
        <v>560</v>
      </c>
      <c r="D241" t="s">
        <v>30</v>
      </c>
      <c r="E241" s="207" t="s">
        <v>31</v>
      </c>
      <c r="F241" t="s">
        <v>32</v>
      </c>
      <c r="G241" s="204" t="s">
        <v>1015</v>
      </c>
      <c r="H241" t="s">
        <v>1016</v>
      </c>
      <c r="I241" s="204" t="s">
        <v>35</v>
      </c>
      <c r="J241" t="s">
        <v>36</v>
      </c>
      <c r="K241" s="209"/>
    </row>
    <row r="242" spans="1:11" ht="13.9" hidden="1">
      <c r="A242" s="204" t="s">
        <v>1017</v>
      </c>
      <c r="B242" t="s">
        <v>1018</v>
      </c>
      <c r="C242" s="205">
        <v>93.33</v>
      </c>
      <c r="D242" t="s">
        <v>39</v>
      </c>
      <c r="E242" s="207" t="s">
        <v>31</v>
      </c>
      <c r="F242" t="s">
        <v>32</v>
      </c>
      <c r="G242" s="204" t="s">
        <v>1019</v>
      </c>
      <c r="H242" t="s">
        <v>1020</v>
      </c>
      <c r="I242" s="204" t="s">
        <v>35</v>
      </c>
      <c r="J242" t="s">
        <v>36</v>
      </c>
      <c r="K242" s="209"/>
    </row>
    <row r="243" spans="1:11" ht="13.9" hidden="1">
      <c r="A243" s="204" t="s">
        <v>1021</v>
      </c>
      <c r="B243" t="s">
        <v>1022</v>
      </c>
      <c r="C243" s="205">
        <v>60</v>
      </c>
      <c r="D243" t="s">
        <v>39</v>
      </c>
      <c r="E243" s="207" t="s">
        <v>31</v>
      </c>
      <c r="F243" t="s">
        <v>32</v>
      </c>
      <c r="G243" s="204" t="s">
        <v>1023</v>
      </c>
      <c r="H243" t="s">
        <v>1024</v>
      </c>
      <c r="I243" s="204" t="s">
        <v>35</v>
      </c>
      <c r="J243" t="s">
        <v>36</v>
      </c>
      <c r="K243" s="209"/>
    </row>
    <row r="244" spans="1:11" ht="13.9" hidden="1">
      <c r="A244" s="204" t="s">
        <v>1025</v>
      </c>
      <c r="B244" t="s">
        <v>1026</v>
      </c>
      <c r="C244" s="205">
        <v>26.5</v>
      </c>
      <c r="D244" t="s">
        <v>90</v>
      </c>
      <c r="E244" s="207" t="s">
        <v>31</v>
      </c>
      <c r="F244" t="s">
        <v>32</v>
      </c>
      <c r="G244" s="204" t="s">
        <v>1027</v>
      </c>
      <c r="H244" t="s">
        <v>1028</v>
      </c>
      <c r="I244" s="204" t="s">
        <v>35</v>
      </c>
      <c r="J244" t="s">
        <v>36</v>
      </c>
      <c r="K244" s="209"/>
    </row>
    <row r="245" spans="1:11" ht="13.9" hidden="1">
      <c r="A245" s="204" t="s">
        <v>1029</v>
      </c>
      <c r="B245" t="s">
        <v>1030</v>
      </c>
      <c r="C245" s="205">
        <v>153.69999999999999</v>
      </c>
      <c r="D245" t="s">
        <v>95</v>
      </c>
      <c r="E245" s="207" t="s">
        <v>31</v>
      </c>
      <c r="F245" t="s">
        <v>32</v>
      </c>
      <c r="G245" s="204" t="s">
        <v>1031</v>
      </c>
      <c r="H245" t="s">
        <v>1032</v>
      </c>
      <c r="I245" s="204" t="s">
        <v>35</v>
      </c>
      <c r="J245" t="s">
        <v>36</v>
      </c>
      <c r="K245" s="209"/>
    </row>
    <row r="246" spans="1:11" ht="13.9" hidden="1">
      <c r="A246" s="204" t="s">
        <v>1033</v>
      </c>
      <c r="B246" t="s">
        <v>1034</v>
      </c>
      <c r="C246" s="205">
        <v>8.48</v>
      </c>
      <c r="D246" t="s">
        <v>100</v>
      </c>
      <c r="E246" s="207" t="s">
        <v>31</v>
      </c>
      <c r="F246" t="s">
        <v>32</v>
      </c>
      <c r="G246" s="204" t="s">
        <v>1035</v>
      </c>
      <c r="H246" t="s">
        <v>1036</v>
      </c>
      <c r="I246" s="204" t="s">
        <v>35</v>
      </c>
      <c r="J246" t="s">
        <v>36</v>
      </c>
      <c r="K246" s="209"/>
    </row>
    <row r="247" spans="1:11" ht="13.9" hidden="1">
      <c r="A247" s="204" t="s">
        <v>1037</v>
      </c>
      <c r="B247" t="s">
        <v>1038</v>
      </c>
      <c r="C247" s="205">
        <v>254.4</v>
      </c>
      <c r="D247" t="s">
        <v>39</v>
      </c>
      <c r="E247" s="207" t="s">
        <v>31</v>
      </c>
      <c r="F247" t="s">
        <v>32</v>
      </c>
      <c r="G247" s="204" t="s">
        <v>1039</v>
      </c>
      <c r="H247" t="s">
        <v>1040</v>
      </c>
      <c r="I247" s="204" t="s">
        <v>35</v>
      </c>
      <c r="J247" t="s">
        <v>36</v>
      </c>
      <c r="K247" s="209"/>
    </row>
    <row r="248" spans="1:11" ht="13.9" hidden="1">
      <c r="A248" s="204" t="s">
        <v>1041</v>
      </c>
      <c r="B248" t="s">
        <v>1042</v>
      </c>
      <c r="C248" s="205">
        <v>157.97</v>
      </c>
      <c r="D248" t="s">
        <v>39</v>
      </c>
      <c r="E248" s="207" t="s">
        <v>31</v>
      </c>
      <c r="F248" t="s">
        <v>32</v>
      </c>
      <c r="G248" s="204" t="s">
        <v>1043</v>
      </c>
      <c r="H248" t="s">
        <v>1044</v>
      </c>
      <c r="I248" s="204" t="s">
        <v>35</v>
      </c>
      <c r="J248" t="s">
        <v>36</v>
      </c>
      <c r="K248" s="209"/>
    </row>
    <row r="249" spans="1:11" ht="13.9" hidden="1">
      <c r="A249" s="204" t="s">
        <v>1045</v>
      </c>
      <c r="B249" t="s">
        <v>1046</v>
      </c>
      <c r="C249" s="205">
        <v>551</v>
      </c>
      <c r="D249" t="s">
        <v>141</v>
      </c>
      <c r="E249" s="207" t="s">
        <v>31</v>
      </c>
      <c r="F249" t="s">
        <v>32</v>
      </c>
      <c r="G249" s="204" t="s">
        <v>1047</v>
      </c>
      <c r="H249" t="s">
        <v>1048</v>
      </c>
      <c r="I249" s="204" t="s">
        <v>35</v>
      </c>
      <c r="J249" t="s">
        <v>36</v>
      </c>
      <c r="K249" s="209"/>
    </row>
    <row r="250" spans="1:11" ht="13.9" hidden="1">
      <c r="A250" s="204" t="s">
        <v>1049</v>
      </c>
      <c r="B250" t="s">
        <v>1050</v>
      </c>
      <c r="C250" s="205">
        <v>32.86</v>
      </c>
      <c r="D250" t="s">
        <v>90</v>
      </c>
      <c r="E250" s="207" t="s">
        <v>31</v>
      </c>
      <c r="F250" t="s">
        <v>32</v>
      </c>
      <c r="G250" s="204" t="s">
        <v>1051</v>
      </c>
      <c r="H250" t="s">
        <v>1052</v>
      </c>
      <c r="I250" s="204" t="s">
        <v>35</v>
      </c>
      <c r="J250" t="s">
        <v>36</v>
      </c>
      <c r="K250" s="209"/>
    </row>
    <row r="251" spans="1:11" ht="13.9" hidden="1">
      <c r="A251" s="204" t="s">
        <v>1053</v>
      </c>
      <c r="B251" t="s">
        <v>1054</v>
      </c>
      <c r="C251" s="205">
        <v>186.67</v>
      </c>
      <c r="D251" t="s">
        <v>39</v>
      </c>
      <c r="E251" s="207" t="s">
        <v>31</v>
      </c>
      <c r="F251" t="s">
        <v>32</v>
      </c>
      <c r="G251" s="204" t="s">
        <v>1055</v>
      </c>
      <c r="H251" t="s">
        <v>1056</v>
      </c>
      <c r="I251" s="204" t="s">
        <v>35</v>
      </c>
      <c r="J251" t="s">
        <v>36</v>
      </c>
      <c r="K251" s="209"/>
    </row>
    <row r="252" spans="1:11" ht="13.9" hidden="1">
      <c r="A252" s="204" t="s">
        <v>1057</v>
      </c>
      <c r="B252" t="s">
        <v>1058</v>
      </c>
      <c r="C252" s="205">
        <v>1616.67</v>
      </c>
      <c r="D252" t="s">
        <v>141</v>
      </c>
      <c r="E252" s="207" t="s">
        <v>31</v>
      </c>
      <c r="F252" t="s">
        <v>32</v>
      </c>
      <c r="G252" s="204" t="s">
        <v>1059</v>
      </c>
      <c r="H252" t="s">
        <v>1060</v>
      </c>
      <c r="I252" s="204" t="s">
        <v>35</v>
      </c>
      <c r="J252" t="s">
        <v>36</v>
      </c>
      <c r="K252" s="209"/>
    </row>
    <row r="253" spans="1:11" ht="13.9" hidden="1">
      <c r="A253" s="204" t="s">
        <v>1061</v>
      </c>
      <c r="B253" t="s">
        <v>1062</v>
      </c>
      <c r="C253" s="205">
        <v>989.33</v>
      </c>
      <c r="D253" t="s">
        <v>85</v>
      </c>
      <c r="E253" s="207" t="s">
        <v>31</v>
      </c>
      <c r="F253" t="s">
        <v>32</v>
      </c>
      <c r="G253" s="204" t="s">
        <v>1063</v>
      </c>
      <c r="H253" t="s">
        <v>1064</v>
      </c>
      <c r="I253" s="204" t="s">
        <v>35</v>
      </c>
      <c r="J253" t="s">
        <v>36</v>
      </c>
      <c r="K253" s="209"/>
    </row>
    <row r="254" spans="1:11" ht="13.9" hidden="1">
      <c r="A254" s="204" t="s">
        <v>1065</v>
      </c>
      <c r="B254" t="s">
        <v>1066</v>
      </c>
      <c r="C254" s="205">
        <v>636</v>
      </c>
      <c r="D254" t="s">
        <v>30</v>
      </c>
      <c r="E254" s="207" t="s">
        <v>31</v>
      </c>
      <c r="F254" t="s">
        <v>32</v>
      </c>
      <c r="G254" s="204" t="s">
        <v>1067</v>
      </c>
      <c r="H254" t="s">
        <v>1068</v>
      </c>
      <c r="I254" s="204" t="s">
        <v>35</v>
      </c>
      <c r="J254" t="s">
        <v>36</v>
      </c>
      <c r="K254" s="209"/>
    </row>
    <row r="255" spans="1:11" ht="13.9" hidden="1">
      <c r="A255" s="204" t="s">
        <v>1069</v>
      </c>
      <c r="B255" t="s">
        <v>1070</v>
      </c>
      <c r="C255" s="205">
        <v>212</v>
      </c>
      <c r="D255" t="s">
        <v>39</v>
      </c>
      <c r="E255" s="207" t="s">
        <v>31</v>
      </c>
      <c r="F255" t="s">
        <v>32</v>
      </c>
      <c r="G255" s="204" t="s">
        <v>1071</v>
      </c>
      <c r="H255" t="s">
        <v>1072</v>
      </c>
      <c r="I255" s="204" t="s">
        <v>35</v>
      </c>
      <c r="J255" t="s">
        <v>36</v>
      </c>
      <c r="K255" s="209"/>
    </row>
    <row r="256" spans="1:11" ht="13.9" hidden="1">
      <c r="A256" s="204" t="s">
        <v>1073</v>
      </c>
      <c r="B256" t="s">
        <v>1074</v>
      </c>
      <c r="C256" s="205">
        <v>63.33</v>
      </c>
      <c r="D256" t="s">
        <v>39</v>
      </c>
      <c r="E256" s="207" t="s">
        <v>31</v>
      </c>
      <c r="F256" t="s">
        <v>32</v>
      </c>
      <c r="G256" s="204" t="s">
        <v>1075</v>
      </c>
      <c r="H256" t="s">
        <v>1076</v>
      </c>
      <c r="I256" s="204" t="s">
        <v>35</v>
      </c>
      <c r="J256" t="s">
        <v>36</v>
      </c>
      <c r="K256" s="209"/>
    </row>
    <row r="257" spans="1:11" ht="13.9" hidden="1">
      <c r="A257" s="204" t="s">
        <v>1077</v>
      </c>
      <c r="B257" t="s">
        <v>1078</v>
      </c>
      <c r="C257" s="205">
        <v>1200</v>
      </c>
      <c r="D257" t="s">
        <v>30</v>
      </c>
      <c r="E257" s="207" t="s">
        <v>31</v>
      </c>
      <c r="F257" t="s">
        <v>32</v>
      </c>
      <c r="G257" s="204" t="s">
        <v>1079</v>
      </c>
      <c r="H257" t="s">
        <v>1080</v>
      </c>
      <c r="I257" s="204" t="s">
        <v>35</v>
      </c>
      <c r="J257" t="s">
        <v>36</v>
      </c>
      <c r="K257" s="209"/>
    </row>
    <row r="258" spans="1:11" ht="13.9" hidden="1">
      <c r="A258" s="204" t="s">
        <v>1081</v>
      </c>
      <c r="B258" t="s">
        <v>1082</v>
      </c>
      <c r="C258" s="205">
        <v>371</v>
      </c>
      <c r="D258" t="s">
        <v>30</v>
      </c>
      <c r="E258" s="207" t="s">
        <v>31</v>
      </c>
      <c r="F258" t="s">
        <v>32</v>
      </c>
      <c r="G258" s="204" t="s">
        <v>1083</v>
      </c>
      <c r="H258" t="s">
        <v>1084</v>
      </c>
      <c r="I258" s="204" t="s">
        <v>35</v>
      </c>
      <c r="J258" t="s">
        <v>36</v>
      </c>
      <c r="K258" s="209"/>
    </row>
    <row r="259" spans="1:11" ht="13.9" hidden="1">
      <c r="A259" s="204" t="s">
        <v>1085</v>
      </c>
      <c r="B259" t="s">
        <v>1086</v>
      </c>
      <c r="C259" s="205">
        <v>2.54</v>
      </c>
      <c r="D259" t="s">
        <v>90</v>
      </c>
      <c r="E259" s="207" t="s">
        <v>31</v>
      </c>
      <c r="F259" t="s">
        <v>32</v>
      </c>
      <c r="G259" s="204" t="s">
        <v>1087</v>
      </c>
      <c r="H259" t="s">
        <v>1088</v>
      </c>
      <c r="I259" s="204" t="s">
        <v>35</v>
      </c>
      <c r="J259" t="s">
        <v>36</v>
      </c>
      <c r="K259" s="209"/>
    </row>
    <row r="260" spans="1:11" ht="13.9" hidden="1">
      <c r="A260" s="204" t="s">
        <v>1089</v>
      </c>
      <c r="B260" t="s">
        <v>1090</v>
      </c>
      <c r="C260" s="205">
        <v>1853.67</v>
      </c>
      <c r="D260" t="s">
        <v>30</v>
      </c>
      <c r="E260" s="207" t="s">
        <v>31</v>
      </c>
      <c r="F260" t="s">
        <v>32</v>
      </c>
      <c r="G260" s="204" t="s">
        <v>1091</v>
      </c>
      <c r="H260" t="s">
        <v>1092</v>
      </c>
      <c r="I260" s="204" t="s">
        <v>35</v>
      </c>
      <c r="J260" t="s">
        <v>36</v>
      </c>
      <c r="K260" s="209"/>
    </row>
    <row r="261" spans="1:11" ht="13.9" hidden="1">
      <c r="A261" s="204" t="s">
        <v>1093</v>
      </c>
      <c r="B261" t="s">
        <v>1094</v>
      </c>
      <c r="C261" s="205">
        <v>106</v>
      </c>
      <c r="D261" t="s">
        <v>54</v>
      </c>
      <c r="E261" s="207" t="s">
        <v>31</v>
      </c>
      <c r="F261" t="s">
        <v>32</v>
      </c>
      <c r="G261" s="204" t="s">
        <v>1095</v>
      </c>
      <c r="H261" t="s">
        <v>1096</v>
      </c>
      <c r="I261" s="204" t="s">
        <v>35</v>
      </c>
      <c r="J261" t="s">
        <v>36</v>
      </c>
      <c r="K261" s="209"/>
    </row>
    <row r="262" spans="1:11" ht="13.9" hidden="1">
      <c r="A262" s="204" t="s">
        <v>1097</v>
      </c>
      <c r="B262" t="s">
        <v>1098</v>
      </c>
      <c r="C262" s="205">
        <v>159</v>
      </c>
      <c r="D262" t="s">
        <v>90</v>
      </c>
      <c r="E262" s="207" t="s">
        <v>31</v>
      </c>
      <c r="F262" t="s">
        <v>32</v>
      </c>
      <c r="G262" s="204" t="s">
        <v>1099</v>
      </c>
      <c r="H262" t="s">
        <v>1100</v>
      </c>
      <c r="I262" s="204" t="s">
        <v>35</v>
      </c>
      <c r="J262" t="s">
        <v>36</v>
      </c>
      <c r="K262" s="209"/>
    </row>
    <row r="263" spans="1:11" ht="13.9" hidden="1">
      <c r="A263" s="204" t="s">
        <v>1101</v>
      </c>
      <c r="B263" t="s">
        <v>1102</v>
      </c>
      <c r="C263" s="205">
        <v>848</v>
      </c>
      <c r="D263" t="s">
        <v>141</v>
      </c>
      <c r="E263" s="207" t="s">
        <v>31</v>
      </c>
      <c r="F263" t="s">
        <v>32</v>
      </c>
      <c r="G263" s="204" t="s">
        <v>1103</v>
      </c>
      <c r="H263" t="s">
        <v>1104</v>
      </c>
      <c r="I263" s="204" t="s">
        <v>35</v>
      </c>
      <c r="J263" t="s">
        <v>36</v>
      </c>
      <c r="K263" s="209"/>
    </row>
    <row r="264" spans="1:11" ht="13.9" hidden="1">
      <c r="A264" s="204" t="s">
        <v>1105</v>
      </c>
      <c r="B264" t="s">
        <v>1106</v>
      </c>
      <c r="C264" s="205">
        <v>212</v>
      </c>
      <c r="D264" t="s">
        <v>39</v>
      </c>
      <c r="E264" s="207" t="s">
        <v>31</v>
      </c>
      <c r="F264" t="s">
        <v>32</v>
      </c>
      <c r="G264" s="204" t="s">
        <v>1107</v>
      </c>
      <c r="H264" t="s">
        <v>1108</v>
      </c>
      <c r="I264" s="204" t="s">
        <v>35</v>
      </c>
      <c r="J264" t="s">
        <v>36</v>
      </c>
      <c r="K264" s="209"/>
    </row>
    <row r="265" spans="1:11" ht="13.9" hidden="1">
      <c r="A265" s="204" t="s">
        <v>1109</v>
      </c>
      <c r="B265" t="s">
        <v>1110</v>
      </c>
      <c r="C265" s="205">
        <v>18.02</v>
      </c>
      <c r="D265" t="s">
        <v>100</v>
      </c>
      <c r="E265" s="207" t="s">
        <v>31</v>
      </c>
      <c r="F265" t="s">
        <v>32</v>
      </c>
      <c r="G265" s="204" t="s">
        <v>1111</v>
      </c>
      <c r="H265" t="s">
        <v>1112</v>
      </c>
      <c r="I265" s="204" t="s">
        <v>35</v>
      </c>
      <c r="J265" t="s">
        <v>36</v>
      </c>
      <c r="K265" s="209"/>
    </row>
    <row r="266" spans="1:11" ht="13.9" hidden="1">
      <c r="A266" s="204" t="s">
        <v>1113</v>
      </c>
      <c r="B266" t="s">
        <v>1114</v>
      </c>
      <c r="C266" s="205">
        <v>210.95</v>
      </c>
      <c r="D266" t="s">
        <v>54</v>
      </c>
      <c r="E266" s="207" t="s">
        <v>31</v>
      </c>
      <c r="F266" t="s">
        <v>32</v>
      </c>
      <c r="G266" s="204" t="s">
        <v>1115</v>
      </c>
      <c r="H266" t="s">
        <v>1116</v>
      </c>
      <c r="I266" s="204" t="s">
        <v>35</v>
      </c>
      <c r="J266" t="s">
        <v>36</v>
      </c>
      <c r="K266" s="209"/>
    </row>
    <row r="267" spans="1:11" ht="13.9" hidden="1">
      <c r="A267" s="204" t="s">
        <v>1117</v>
      </c>
      <c r="B267" t="s">
        <v>1118</v>
      </c>
      <c r="C267" s="205">
        <v>583.33000000000004</v>
      </c>
      <c r="D267" t="s">
        <v>30</v>
      </c>
      <c r="E267" s="207" t="s">
        <v>31</v>
      </c>
      <c r="F267" t="s">
        <v>32</v>
      </c>
      <c r="G267" s="204" t="s">
        <v>1119</v>
      </c>
      <c r="H267" t="s">
        <v>1120</v>
      </c>
      <c r="I267" s="204" t="s">
        <v>35</v>
      </c>
      <c r="J267" t="s">
        <v>36</v>
      </c>
      <c r="K267" s="209"/>
    </row>
    <row r="268" spans="1:11" ht="13.9" hidden="1">
      <c r="A268" s="204" t="s">
        <v>1121</v>
      </c>
      <c r="B268" t="s">
        <v>1122</v>
      </c>
      <c r="C268" s="205">
        <v>68.900000000000006</v>
      </c>
      <c r="D268" t="s">
        <v>90</v>
      </c>
      <c r="E268" s="207" t="s">
        <v>31</v>
      </c>
      <c r="F268" t="s">
        <v>32</v>
      </c>
      <c r="G268" s="204" t="s">
        <v>1123</v>
      </c>
      <c r="H268" t="s">
        <v>1124</v>
      </c>
      <c r="I268" s="204" t="s">
        <v>35</v>
      </c>
      <c r="J268" t="s">
        <v>36</v>
      </c>
      <c r="K268" s="209"/>
    </row>
    <row r="269" spans="1:11" ht="13.9" hidden="1">
      <c r="A269" s="204" t="s">
        <v>1125</v>
      </c>
      <c r="B269" t="s">
        <v>1126</v>
      </c>
      <c r="C269" s="205">
        <v>328.6</v>
      </c>
      <c r="D269" t="s">
        <v>30</v>
      </c>
      <c r="E269" s="207" t="s">
        <v>31</v>
      </c>
      <c r="F269" t="s">
        <v>32</v>
      </c>
      <c r="G269" s="204" t="s">
        <v>1127</v>
      </c>
      <c r="H269" t="s">
        <v>1128</v>
      </c>
      <c r="I269" s="204" t="s">
        <v>35</v>
      </c>
      <c r="J269" t="s">
        <v>36</v>
      </c>
      <c r="K269" s="209"/>
    </row>
    <row r="270" spans="1:11" ht="13.9" hidden="1">
      <c r="A270" s="204" t="s">
        <v>1129</v>
      </c>
      <c r="B270" t="s">
        <v>1130</v>
      </c>
      <c r="C270" s="205">
        <v>246.98</v>
      </c>
      <c r="D270" t="s">
        <v>30</v>
      </c>
      <c r="E270" s="207" t="s">
        <v>31</v>
      </c>
      <c r="F270" t="s">
        <v>32</v>
      </c>
      <c r="G270" s="204" t="s">
        <v>1131</v>
      </c>
      <c r="H270" t="s">
        <v>1132</v>
      </c>
      <c r="I270" s="204" t="s">
        <v>35</v>
      </c>
      <c r="J270" t="s">
        <v>36</v>
      </c>
      <c r="K270" s="209"/>
    </row>
    <row r="271" spans="1:11" ht="13.9" hidden="1">
      <c r="A271" s="204" t="s">
        <v>1133</v>
      </c>
      <c r="B271" t="s">
        <v>1134</v>
      </c>
      <c r="C271" s="205">
        <v>18.02</v>
      </c>
      <c r="D271" t="s">
        <v>90</v>
      </c>
      <c r="E271" s="207" t="s">
        <v>31</v>
      </c>
      <c r="F271" t="s">
        <v>32</v>
      </c>
      <c r="G271" s="204" t="s">
        <v>1135</v>
      </c>
      <c r="H271" t="s">
        <v>1136</v>
      </c>
      <c r="I271" s="204" t="s">
        <v>35</v>
      </c>
      <c r="J271" t="s">
        <v>36</v>
      </c>
      <c r="K271" s="209"/>
    </row>
    <row r="272" spans="1:11" ht="13.9" hidden="1">
      <c r="A272" s="204" t="s">
        <v>1137</v>
      </c>
      <c r="B272" t="s">
        <v>1138</v>
      </c>
      <c r="C272" s="205">
        <v>21.2</v>
      </c>
      <c r="D272" t="s">
        <v>559</v>
      </c>
      <c r="E272" s="207" t="s">
        <v>31</v>
      </c>
      <c r="F272" t="s">
        <v>32</v>
      </c>
      <c r="G272" s="204" t="s">
        <v>1139</v>
      </c>
      <c r="H272" t="s">
        <v>1140</v>
      </c>
      <c r="I272" s="204" t="s">
        <v>35</v>
      </c>
      <c r="J272" t="s">
        <v>36</v>
      </c>
      <c r="K272" s="209"/>
    </row>
    <row r="273" spans="1:11" ht="13.9" hidden="1">
      <c r="A273" s="204" t="s">
        <v>1141</v>
      </c>
      <c r="B273" t="s">
        <v>1142</v>
      </c>
      <c r="C273" s="205">
        <v>445</v>
      </c>
      <c r="D273" t="s">
        <v>39</v>
      </c>
      <c r="E273" s="207" t="s">
        <v>31</v>
      </c>
      <c r="F273" t="s">
        <v>32</v>
      </c>
      <c r="G273" s="204" t="s">
        <v>1143</v>
      </c>
      <c r="H273" t="s">
        <v>1144</v>
      </c>
      <c r="I273" s="204" t="s">
        <v>35</v>
      </c>
      <c r="J273" t="s">
        <v>36</v>
      </c>
      <c r="K273" s="209"/>
    </row>
    <row r="274" spans="1:11" ht="13.9">
      <c r="A274" s="204" t="s">
        <v>1145</v>
      </c>
      <c r="B274" t="s">
        <v>1146</v>
      </c>
      <c r="C274" s="205">
        <v>424</v>
      </c>
      <c r="D274" t="s">
        <v>163</v>
      </c>
      <c r="E274" s="207" t="s">
        <v>31</v>
      </c>
      <c r="F274" t="s">
        <v>32</v>
      </c>
      <c r="G274" s="204" t="s">
        <v>1147</v>
      </c>
      <c r="H274" t="s">
        <v>1148</v>
      </c>
      <c r="I274" s="204" t="s">
        <v>35</v>
      </c>
      <c r="J274" t="s">
        <v>36</v>
      </c>
      <c r="K274" s="209"/>
    </row>
    <row r="275" spans="1:11" ht="13.9" hidden="1">
      <c r="A275" s="204" t="s">
        <v>1149</v>
      </c>
      <c r="B275" t="s">
        <v>1150</v>
      </c>
      <c r="C275" s="205">
        <v>90.1</v>
      </c>
      <c r="D275" t="s">
        <v>39</v>
      </c>
      <c r="E275" s="207" t="s">
        <v>31</v>
      </c>
      <c r="F275" t="s">
        <v>32</v>
      </c>
      <c r="G275" s="204" t="s">
        <v>1151</v>
      </c>
      <c r="H275" t="s">
        <v>1152</v>
      </c>
      <c r="I275" s="204" t="s">
        <v>35</v>
      </c>
      <c r="J275" t="s">
        <v>36</v>
      </c>
      <c r="K275" s="209"/>
    </row>
    <row r="276" spans="1:11" ht="13.9" hidden="1">
      <c r="A276" s="204" t="s">
        <v>1153</v>
      </c>
      <c r="B276" t="s">
        <v>1154</v>
      </c>
      <c r="C276" s="205">
        <v>1700</v>
      </c>
      <c r="D276" t="s">
        <v>30</v>
      </c>
      <c r="E276" s="207" t="s">
        <v>31</v>
      </c>
      <c r="F276" t="s">
        <v>32</v>
      </c>
      <c r="G276" s="204" t="s">
        <v>1155</v>
      </c>
      <c r="H276" t="s">
        <v>1156</v>
      </c>
      <c r="I276" s="204" t="s">
        <v>35</v>
      </c>
      <c r="J276" t="s">
        <v>36</v>
      </c>
      <c r="K276" s="209"/>
    </row>
    <row r="277" spans="1:11" ht="13.9" hidden="1">
      <c r="A277" s="204" t="s">
        <v>1157</v>
      </c>
      <c r="B277" t="s">
        <v>1158</v>
      </c>
      <c r="C277" s="205">
        <v>90.1</v>
      </c>
      <c r="D277" t="s">
        <v>141</v>
      </c>
      <c r="E277" s="207" t="s">
        <v>31</v>
      </c>
      <c r="F277" t="s">
        <v>32</v>
      </c>
      <c r="G277" s="204" t="s">
        <v>1159</v>
      </c>
      <c r="H277" t="s">
        <v>1160</v>
      </c>
      <c r="I277" s="204" t="s">
        <v>35</v>
      </c>
      <c r="J277" t="s">
        <v>36</v>
      </c>
      <c r="K277" s="209"/>
    </row>
    <row r="278" spans="1:11" ht="13.9" hidden="1">
      <c r="A278" s="204" t="s">
        <v>1161</v>
      </c>
      <c r="B278" t="s">
        <v>1162</v>
      </c>
      <c r="C278" s="205">
        <v>424</v>
      </c>
      <c r="D278" t="s">
        <v>95</v>
      </c>
      <c r="E278" s="207" t="s">
        <v>31</v>
      </c>
      <c r="F278" t="s">
        <v>32</v>
      </c>
      <c r="G278" s="204" t="s">
        <v>1163</v>
      </c>
      <c r="H278" t="s">
        <v>1164</v>
      </c>
      <c r="I278" s="204" t="s">
        <v>35</v>
      </c>
      <c r="J278" t="s">
        <v>36</v>
      </c>
      <c r="K278" s="209"/>
    </row>
    <row r="279" spans="1:11" ht="13.9" hidden="1">
      <c r="A279" s="204" t="s">
        <v>1165</v>
      </c>
      <c r="B279" t="s">
        <v>1166</v>
      </c>
      <c r="C279" s="205">
        <v>1.3</v>
      </c>
      <c r="D279" t="s">
        <v>196</v>
      </c>
      <c r="E279" s="207" t="s">
        <v>31</v>
      </c>
      <c r="F279" t="s">
        <v>32</v>
      </c>
      <c r="G279" s="204" t="s">
        <v>1167</v>
      </c>
      <c r="H279" t="s">
        <v>1168</v>
      </c>
      <c r="I279" s="204" t="s">
        <v>35</v>
      </c>
      <c r="J279" t="s">
        <v>36</v>
      </c>
      <c r="K279" s="209"/>
    </row>
    <row r="280" spans="1:11" ht="13.9">
      <c r="A280" s="204" t="s">
        <v>1169</v>
      </c>
      <c r="B280" t="s">
        <v>1170</v>
      </c>
      <c r="C280" s="205">
        <v>2200</v>
      </c>
      <c r="D280" t="s">
        <v>85</v>
      </c>
      <c r="E280" s="207" t="s">
        <v>31</v>
      </c>
      <c r="F280" t="s">
        <v>32</v>
      </c>
      <c r="G280" s="204" t="s">
        <v>1171</v>
      </c>
      <c r="H280" t="s">
        <v>1172</v>
      </c>
      <c r="I280" s="204" t="s">
        <v>35</v>
      </c>
      <c r="J280" t="s">
        <v>36</v>
      </c>
      <c r="K280" s="209"/>
    </row>
    <row r="281" spans="1:11" ht="13.9" hidden="1">
      <c r="A281" s="204" t="s">
        <v>1173</v>
      </c>
      <c r="B281" t="s">
        <v>1174</v>
      </c>
      <c r="C281" s="205">
        <v>159</v>
      </c>
      <c r="D281" t="s">
        <v>90</v>
      </c>
      <c r="E281" s="207" t="s">
        <v>31</v>
      </c>
      <c r="F281" t="s">
        <v>32</v>
      </c>
      <c r="G281" s="204" t="s">
        <v>1175</v>
      </c>
      <c r="H281" t="s">
        <v>1176</v>
      </c>
      <c r="I281" s="204" t="s">
        <v>35</v>
      </c>
      <c r="J281" t="s">
        <v>36</v>
      </c>
      <c r="K281" s="209"/>
    </row>
    <row r="282" spans="1:11" ht="13.9" hidden="1">
      <c r="A282" s="204" t="s">
        <v>1177</v>
      </c>
      <c r="B282" t="s">
        <v>1178</v>
      </c>
      <c r="C282" s="205">
        <v>825.74</v>
      </c>
      <c r="D282" t="s">
        <v>30</v>
      </c>
      <c r="E282" s="207" t="s">
        <v>31</v>
      </c>
      <c r="F282" t="s">
        <v>32</v>
      </c>
      <c r="G282" s="204" t="s">
        <v>1179</v>
      </c>
      <c r="H282" t="s">
        <v>1180</v>
      </c>
      <c r="I282" s="204" t="s">
        <v>35</v>
      </c>
      <c r="J282" t="s">
        <v>36</v>
      </c>
      <c r="K282" s="209"/>
    </row>
    <row r="283" spans="1:11" ht="13.9" hidden="1">
      <c r="A283" s="204" t="s">
        <v>1181</v>
      </c>
      <c r="B283" t="s">
        <v>1182</v>
      </c>
      <c r="C283" s="205">
        <v>1060</v>
      </c>
      <c r="D283" t="s">
        <v>30</v>
      </c>
      <c r="E283" s="207" t="s">
        <v>31</v>
      </c>
      <c r="F283" t="s">
        <v>32</v>
      </c>
      <c r="G283" s="204" t="s">
        <v>1183</v>
      </c>
      <c r="H283" t="s">
        <v>1184</v>
      </c>
      <c r="I283" s="204" t="s">
        <v>35</v>
      </c>
      <c r="J283" t="s">
        <v>36</v>
      </c>
      <c r="K283" s="209"/>
    </row>
    <row r="284" spans="1:11" ht="13.9" hidden="1">
      <c r="A284" s="204" t="s">
        <v>1185</v>
      </c>
      <c r="B284" t="s">
        <v>1186</v>
      </c>
      <c r="C284" s="205">
        <v>233.2</v>
      </c>
      <c r="D284" t="s">
        <v>30</v>
      </c>
      <c r="E284" s="207" t="s">
        <v>31</v>
      </c>
      <c r="F284" t="s">
        <v>32</v>
      </c>
      <c r="G284" s="204" t="s">
        <v>1187</v>
      </c>
      <c r="H284" t="s">
        <v>1188</v>
      </c>
      <c r="I284" s="204" t="s">
        <v>35</v>
      </c>
      <c r="J284" t="s">
        <v>36</v>
      </c>
      <c r="K284" s="209"/>
    </row>
    <row r="285" spans="1:11" ht="13.9" hidden="1">
      <c r="A285" s="204" t="s">
        <v>1189</v>
      </c>
      <c r="B285" t="s">
        <v>1190</v>
      </c>
      <c r="C285" s="205">
        <v>31.8</v>
      </c>
      <c r="D285" t="s">
        <v>90</v>
      </c>
      <c r="E285" s="207" t="s">
        <v>31</v>
      </c>
      <c r="F285" t="s">
        <v>32</v>
      </c>
      <c r="G285" s="204" t="s">
        <v>1191</v>
      </c>
      <c r="H285" t="s">
        <v>1192</v>
      </c>
      <c r="I285" s="204" t="s">
        <v>35</v>
      </c>
      <c r="J285" t="s">
        <v>36</v>
      </c>
      <c r="K285" s="209"/>
    </row>
    <row r="286" spans="1:11" ht="13.9" hidden="1">
      <c r="A286" s="204" t="s">
        <v>1193</v>
      </c>
      <c r="B286" t="s">
        <v>1194</v>
      </c>
      <c r="C286" s="205">
        <v>37</v>
      </c>
      <c r="D286" t="s">
        <v>54</v>
      </c>
      <c r="E286" s="207" t="s">
        <v>31</v>
      </c>
      <c r="F286" t="s">
        <v>32</v>
      </c>
      <c r="G286" s="204" t="s">
        <v>1195</v>
      </c>
      <c r="H286" t="s">
        <v>1196</v>
      </c>
      <c r="I286" s="204" t="s">
        <v>35</v>
      </c>
      <c r="J286" t="s">
        <v>36</v>
      </c>
      <c r="K286" s="209"/>
    </row>
    <row r="287" spans="1:11" ht="13.9" hidden="1">
      <c r="A287" s="204" t="s">
        <v>1197</v>
      </c>
      <c r="B287" t="s">
        <v>1198</v>
      </c>
      <c r="C287" s="205">
        <v>1.73</v>
      </c>
      <c r="D287" t="s">
        <v>196</v>
      </c>
      <c r="E287" s="207" t="s">
        <v>31</v>
      </c>
      <c r="F287" t="s">
        <v>32</v>
      </c>
      <c r="G287" s="204" t="s">
        <v>1199</v>
      </c>
      <c r="H287" t="s">
        <v>1200</v>
      </c>
      <c r="I287" s="204" t="s">
        <v>35</v>
      </c>
      <c r="J287" t="s">
        <v>36</v>
      </c>
      <c r="K287" s="209"/>
    </row>
    <row r="288" spans="1:11" ht="13.9" hidden="1">
      <c r="A288" s="204" t="s">
        <v>1201</v>
      </c>
      <c r="B288" t="s">
        <v>1202</v>
      </c>
      <c r="C288" s="205">
        <v>816.2</v>
      </c>
      <c r="D288" t="s">
        <v>141</v>
      </c>
      <c r="E288" s="207" t="s">
        <v>31</v>
      </c>
      <c r="F288" t="s">
        <v>32</v>
      </c>
      <c r="G288" s="204" t="s">
        <v>1203</v>
      </c>
      <c r="H288" t="s">
        <v>1204</v>
      </c>
      <c r="I288" s="204" t="s">
        <v>35</v>
      </c>
      <c r="J288" t="s">
        <v>36</v>
      </c>
      <c r="K288" s="209"/>
    </row>
    <row r="289" spans="1:11" ht="13.9" hidden="1">
      <c r="A289" s="204" t="s">
        <v>1205</v>
      </c>
      <c r="B289" t="s">
        <v>1206</v>
      </c>
      <c r="C289" s="205">
        <v>148.4</v>
      </c>
      <c r="D289" t="s">
        <v>141</v>
      </c>
      <c r="E289" s="207" t="s">
        <v>31</v>
      </c>
      <c r="F289" t="s">
        <v>32</v>
      </c>
      <c r="G289" s="204" t="s">
        <v>1207</v>
      </c>
      <c r="H289" t="s">
        <v>1208</v>
      </c>
      <c r="I289" s="204" t="s">
        <v>35</v>
      </c>
      <c r="J289" t="s">
        <v>36</v>
      </c>
      <c r="K289" s="209"/>
    </row>
    <row r="290" spans="1:11" ht="13.9" hidden="1">
      <c r="A290" s="204" t="s">
        <v>1209</v>
      </c>
      <c r="B290" t="s">
        <v>1210</v>
      </c>
      <c r="C290" s="205">
        <v>159</v>
      </c>
      <c r="D290" t="s">
        <v>54</v>
      </c>
      <c r="E290" s="207" t="s">
        <v>31</v>
      </c>
      <c r="F290" t="s">
        <v>32</v>
      </c>
      <c r="G290" s="204" t="s">
        <v>1211</v>
      </c>
      <c r="H290" t="s">
        <v>1212</v>
      </c>
      <c r="I290" s="204" t="s">
        <v>35</v>
      </c>
      <c r="J290" t="s">
        <v>36</v>
      </c>
      <c r="K290" s="209"/>
    </row>
    <row r="291" spans="1:11" ht="13.9">
      <c r="A291" s="204" t="s">
        <v>1213</v>
      </c>
      <c r="B291" t="s">
        <v>1214</v>
      </c>
      <c r="C291" s="205">
        <v>604.20000000000005</v>
      </c>
      <c r="D291" t="s">
        <v>85</v>
      </c>
      <c r="E291" s="207" t="s">
        <v>31</v>
      </c>
      <c r="F291" t="s">
        <v>32</v>
      </c>
      <c r="G291" s="204" t="s">
        <v>1215</v>
      </c>
      <c r="H291" t="s">
        <v>1216</v>
      </c>
      <c r="I291" s="204" t="s">
        <v>35</v>
      </c>
      <c r="J291" t="s">
        <v>36</v>
      </c>
      <c r="K291" s="209"/>
    </row>
    <row r="292" spans="1:11" ht="13.9" hidden="1">
      <c r="A292" s="204" t="s">
        <v>1217</v>
      </c>
      <c r="B292" t="s">
        <v>1218</v>
      </c>
      <c r="C292" s="205">
        <v>9.5399999999999991</v>
      </c>
      <c r="D292" t="s">
        <v>90</v>
      </c>
      <c r="E292" s="207" t="s">
        <v>31</v>
      </c>
      <c r="F292" t="s">
        <v>32</v>
      </c>
      <c r="G292" s="204" t="s">
        <v>1219</v>
      </c>
      <c r="H292" t="s">
        <v>1220</v>
      </c>
      <c r="I292" s="204" t="s">
        <v>35</v>
      </c>
      <c r="J292" t="s">
        <v>36</v>
      </c>
      <c r="K292" s="209"/>
    </row>
    <row r="293" spans="1:11" ht="13.9">
      <c r="A293" s="204" t="s">
        <v>1221</v>
      </c>
      <c r="B293" t="s">
        <v>1222</v>
      </c>
      <c r="C293" s="205">
        <v>3498</v>
      </c>
      <c r="D293" t="s">
        <v>85</v>
      </c>
      <c r="E293" s="207" t="s">
        <v>31</v>
      </c>
      <c r="F293" t="s">
        <v>32</v>
      </c>
      <c r="G293" s="204" t="s">
        <v>1223</v>
      </c>
      <c r="H293" t="s">
        <v>1224</v>
      </c>
      <c r="I293" s="204" t="s">
        <v>35</v>
      </c>
      <c r="J293" t="s">
        <v>36</v>
      </c>
      <c r="K293" s="209"/>
    </row>
    <row r="294" spans="1:11" ht="13.9" hidden="1">
      <c r="A294" s="204" t="s">
        <v>1225</v>
      </c>
      <c r="B294" t="s">
        <v>1226</v>
      </c>
      <c r="C294" s="205">
        <v>63.6</v>
      </c>
      <c r="D294" t="s">
        <v>30</v>
      </c>
      <c r="E294" s="207" t="s">
        <v>31</v>
      </c>
      <c r="F294" t="s">
        <v>32</v>
      </c>
      <c r="G294" s="204" t="s">
        <v>1227</v>
      </c>
      <c r="H294" t="s">
        <v>1228</v>
      </c>
      <c r="I294" s="204" t="s">
        <v>35</v>
      </c>
      <c r="J294" t="s">
        <v>36</v>
      </c>
      <c r="K294" s="209"/>
    </row>
    <row r="295" spans="1:11" ht="13.9">
      <c r="A295" s="204" t="s">
        <v>1229</v>
      </c>
      <c r="B295" t="s">
        <v>1230</v>
      </c>
      <c r="C295" s="205">
        <v>318</v>
      </c>
      <c r="D295" t="s">
        <v>163</v>
      </c>
      <c r="E295" s="207" t="s">
        <v>31</v>
      </c>
      <c r="F295" t="s">
        <v>32</v>
      </c>
      <c r="G295" s="204" t="s">
        <v>1231</v>
      </c>
      <c r="H295" t="s">
        <v>1232</v>
      </c>
      <c r="I295" s="204" t="s">
        <v>35</v>
      </c>
      <c r="J295" t="s">
        <v>36</v>
      </c>
      <c r="K295" s="209"/>
    </row>
    <row r="296" spans="1:11" ht="13.9" hidden="1">
      <c r="A296" s="204" t="s">
        <v>1233</v>
      </c>
      <c r="B296" t="s">
        <v>1234</v>
      </c>
      <c r="C296" s="205">
        <v>633.33000000000004</v>
      </c>
      <c r="D296" t="s">
        <v>30</v>
      </c>
      <c r="E296" s="207" t="s">
        <v>31</v>
      </c>
      <c r="F296" t="s">
        <v>32</v>
      </c>
      <c r="G296" s="204" t="s">
        <v>1235</v>
      </c>
      <c r="H296" t="s">
        <v>1236</v>
      </c>
      <c r="I296" s="204" t="s">
        <v>35</v>
      </c>
      <c r="J296" t="s">
        <v>36</v>
      </c>
      <c r="K296" s="209"/>
    </row>
    <row r="297" spans="1:11" ht="13.9" hidden="1">
      <c r="A297" s="204" t="s">
        <v>1237</v>
      </c>
      <c r="B297" t="s">
        <v>1238</v>
      </c>
      <c r="C297" s="205">
        <v>183.33</v>
      </c>
      <c r="D297" t="s">
        <v>30</v>
      </c>
      <c r="E297" s="207" t="s">
        <v>31</v>
      </c>
      <c r="F297" t="s">
        <v>32</v>
      </c>
      <c r="G297" s="204" t="s">
        <v>1239</v>
      </c>
      <c r="H297" t="s">
        <v>1240</v>
      </c>
      <c r="I297" s="204" t="s">
        <v>35</v>
      </c>
      <c r="J297" t="s">
        <v>36</v>
      </c>
      <c r="K297" s="209"/>
    </row>
    <row r="298" spans="1:11" ht="13.9" hidden="1">
      <c r="A298" s="204" t="s">
        <v>1241</v>
      </c>
      <c r="B298" t="s">
        <v>1242</v>
      </c>
      <c r="C298" s="205">
        <v>0.06</v>
      </c>
      <c r="D298" t="s">
        <v>49</v>
      </c>
      <c r="E298" s="207" t="s">
        <v>31</v>
      </c>
      <c r="F298" t="s">
        <v>32</v>
      </c>
      <c r="G298" s="204" t="s">
        <v>1243</v>
      </c>
      <c r="H298" t="s">
        <v>1244</v>
      </c>
      <c r="I298" s="204" t="s">
        <v>35</v>
      </c>
      <c r="J298" t="s">
        <v>36</v>
      </c>
      <c r="K298" s="209"/>
    </row>
    <row r="299" spans="1:11" ht="13.9" hidden="1">
      <c r="A299" s="204" t="s">
        <v>1245</v>
      </c>
      <c r="B299" t="s">
        <v>1246</v>
      </c>
      <c r="C299" s="205">
        <v>79.67</v>
      </c>
      <c r="D299" t="s">
        <v>39</v>
      </c>
      <c r="E299" s="207" t="s">
        <v>31</v>
      </c>
      <c r="F299" t="s">
        <v>32</v>
      </c>
      <c r="G299" s="204" t="s">
        <v>1247</v>
      </c>
      <c r="H299" t="s">
        <v>1248</v>
      </c>
      <c r="I299" s="204" t="s">
        <v>35</v>
      </c>
      <c r="J299" t="s">
        <v>36</v>
      </c>
      <c r="K299" s="209"/>
    </row>
    <row r="300" spans="1:11" ht="13.9" hidden="1">
      <c r="A300" s="204" t="s">
        <v>1249</v>
      </c>
      <c r="B300" t="s">
        <v>1250</v>
      </c>
      <c r="C300" s="205">
        <v>58.3</v>
      </c>
      <c r="D300" t="s">
        <v>237</v>
      </c>
      <c r="E300" s="207" t="s">
        <v>31</v>
      </c>
      <c r="F300" t="s">
        <v>32</v>
      </c>
      <c r="G300" s="204" t="s">
        <v>1251</v>
      </c>
      <c r="H300" t="s">
        <v>1252</v>
      </c>
      <c r="I300" s="204" t="s">
        <v>35</v>
      </c>
      <c r="J300" t="s">
        <v>36</v>
      </c>
      <c r="K300" s="209"/>
    </row>
    <row r="301" spans="1:11" ht="13.9" hidden="1">
      <c r="A301" s="204" t="s">
        <v>1253</v>
      </c>
      <c r="B301" t="s">
        <v>1254</v>
      </c>
      <c r="C301" s="205">
        <v>416.67</v>
      </c>
      <c r="D301" t="s">
        <v>39</v>
      </c>
      <c r="E301" s="207" t="s">
        <v>31</v>
      </c>
      <c r="F301" t="s">
        <v>32</v>
      </c>
      <c r="G301" s="204" t="s">
        <v>1255</v>
      </c>
      <c r="H301" t="s">
        <v>1256</v>
      </c>
      <c r="I301" s="204" t="s">
        <v>35</v>
      </c>
      <c r="J301" t="s">
        <v>36</v>
      </c>
      <c r="K301" s="209"/>
    </row>
    <row r="302" spans="1:11" ht="13.9" hidden="1">
      <c r="A302" s="204" t="s">
        <v>1257</v>
      </c>
      <c r="B302" t="s">
        <v>1258</v>
      </c>
      <c r="C302" s="205">
        <v>42.4</v>
      </c>
      <c r="D302" t="s">
        <v>90</v>
      </c>
      <c r="E302" s="207" t="s">
        <v>31</v>
      </c>
      <c r="F302" t="s">
        <v>32</v>
      </c>
      <c r="G302" s="204" t="s">
        <v>1259</v>
      </c>
      <c r="H302" t="s">
        <v>1260</v>
      </c>
      <c r="I302" s="204" t="s">
        <v>35</v>
      </c>
      <c r="J302" t="s">
        <v>36</v>
      </c>
      <c r="K302" s="209"/>
    </row>
    <row r="303" spans="1:11" ht="13.9" hidden="1">
      <c r="A303" s="204" t="s">
        <v>1261</v>
      </c>
      <c r="B303" t="s">
        <v>1262</v>
      </c>
      <c r="C303" s="205">
        <v>0.06</v>
      </c>
      <c r="D303" t="s">
        <v>49</v>
      </c>
      <c r="E303" s="207" t="s">
        <v>31</v>
      </c>
      <c r="F303" t="s">
        <v>32</v>
      </c>
      <c r="G303" s="204" t="s">
        <v>1263</v>
      </c>
      <c r="H303" t="s">
        <v>1264</v>
      </c>
      <c r="I303" s="204" t="s">
        <v>35</v>
      </c>
      <c r="J303" t="s">
        <v>36</v>
      </c>
      <c r="K303" s="209"/>
    </row>
    <row r="304" spans="1:11" ht="13.9" hidden="1">
      <c r="A304" s="204" t="s">
        <v>1265</v>
      </c>
      <c r="B304" t="s">
        <v>1266</v>
      </c>
      <c r="C304" s="205">
        <v>553.33000000000004</v>
      </c>
      <c r="D304" t="s">
        <v>39</v>
      </c>
      <c r="E304" s="207" t="s">
        <v>31</v>
      </c>
      <c r="F304" t="s">
        <v>32</v>
      </c>
      <c r="G304" s="204" t="s">
        <v>1267</v>
      </c>
      <c r="H304" t="s">
        <v>1268</v>
      </c>
      <c r="I304" s="204" t="s">
        <v>35</v>
      </c>
      <c r="J304" t="s">
        <v>36</v>
      </c>
      <c r="K304" s="209"/>
    </row>
    <row r="305" spans="1:11" ht="13.9">
      <c r="A305" s="204" t="s">
        <v>1269</v>
      </c>
      <c r="B305" t="s">
        <v>1270</v>
      </c>
      <c r="C305" s="205">
        <v>1060</v>
      </c>
      <c r="D305" t="s">
        <v>400</v>
      </c>
      <c r="E305" s="207" t="s">
        <v>31</v>
      </c>
      <c r="F305" t="s">
        <v>32</v>
      </c>
      <c r="G305" s="204" t="s">
        <v>1271</v>
      </c>
      <c r="H305" t="s">
        <v>1272</v>
      </c>
      <c r="I305" s="204" t="s">
        <v>35</v>
      </c>
      <c r="J305" t="s">
        <v>36</v>
      </c>
      <c r="K305" s="209"/>
    </row>
    <row r="306" spans="1:11" ht="13.9" hidden="1">
      <c r="A306" s="204" t="s">
        <v>1273</v>
      </c>
      <c r="B306" t="s">
        <v>1274</v>
      </c>
      <c r="C306" s="205">
        <v>848</v>
      </c>
      <c r="D306" t="s">
        <v>30</v>
      </c>
      <c r="E306" s="207" t="s">
        <v>31</v>
      </c>
      <c r="F306" t="s">
        <v>32</v>
      </c>
      <c r="G306" s="204" t="s">
        <v>1275</v>
      </c>
      <c r="H306" t="s">
        <v>1276</v>
      </c>
      <c r="I306" s="204" t="s">
        <v>35</v>
      </c>
      <c r="J306" t="s">
        <v>36</v>
      </c>
      <c r="K306" s="209"/>
    </row>
    <row r="307" spans="1:11" ht="13.9" hidden="1">
      <c r="A307" s="204" t="s">
        <v>1277</v>
      </c>
      <c r="B307" t="s">
        <v>1278</v>
      </c>
      <c r="C307" s="205">
        <v>247.45</v>
      </c>
      <c r="D307" t="s">
        <v>39</v>
      </c>
      <c r="E307" s="207" t="s">
        <v>31</v>
      </c>
      <c r="F307" t="s">
        <v>32</v>
      </c>
      <c r="G307" s="204" t="s">
        <v>1279</v>
      </c>
      <c r="H307" t="s">
        <v>1280</v>
      </c>
      <c r="I307" s="204" t="s">
        <v>35</v>
      </c>
      <c r="J307" t="s">
        <v>36</v>
      </c>
      <c r="K307" s="209"/>
    </row>
    <row r="308" spans="1:11" ht="13.9" hidden="1">
      <c r="A308" s="204" t="s">
        <v>1281</v>
      </c>
      <c r="B308" t="s">
        <v>1282</v>
      </c>
      <c r="C308" s="205">
        <v>95.4</v>
      </c>
      <c r="D308" t="s">
        <v>39</v>
      </c>
      <c r="E308" s="207" t="s">
        <v>31</v>
      </c>
      <c r="F308" t="s">
        <v>32</v>
      </c>
      <c r="G308" s="204" t="s">
        <v>1283</v>
      </c>
      <c r="H308" t="s">
        <v>1284</v>
      </c>
      <c r="I308" s="204" t="s">
        <v>35</v>
      </c>
      <c r="J308" t="s">
        <v>36</v>
      </c>
      <c r="K308" s="209"/>
    </row>
    <row r="309" spans="1:11" ht="13.9">
      <c r="A309" s="204" t="s">
        <v>1285</v>
      </c>
      <c r="B309" t="s">
        <v>1286</v>
      </c>
      <c r="C309" s="205">
        <v>318</v>
      </c>
      <c r="D309" t="s">
        <v>163</v>
      </c>
      <c r="E309" s="207" t="s">
        <v>31</v>
      </c>
      <c r="F309" t="s">
        <v>32</v>
      </c>
      <c r="G309" s="204" t="s">
        <v>1287</v>
      </c>
      <c r="H309" t="s">
        <v>1288</v>
      </c>
      <c r="I309" s="204" t="s">
        <v>35</v>
      </c>
      <c r="J309" t="s">
        <v>36</v>
      </c>
      <c r="K309" s="209"/>
    </row>
    <row r="310" spans="1:11" ht="13.9" hidden="1">
      <c r="A310" s="204" t="s">
        <v>1289</v>
      </c>
      <c r="B310" t="s">
        <v>1290</v>
      </c>
      <c r="C310" s="205">
        <v>296.8</v>
      </c>
      <c r="D310" t="s">
        <v>39</v>
      </c>
      <c r="E310" s="207" t="s">
        <v>31</v>
      </c>
      <c r="F310" t="s">
        <v>32</v>
      </c>
      <c r="G310" s="204" t="s">
        <v>1291</v>
      </c>
      <c r="H310" t="s">
        <v>1292</v>
      </c>
      <c r="I310" s="204" t="s">
        <v>35</v>
      </c>
      <c r="J310" t="s">
        <v>36</v>
      </c>
      <c r="K310" s="209"/>
    </row>
    <row r="311" spans="1:11" ht="13.9" hidden="1">
      <c r="A311" s="204" t="s">
        <v>1293</v>
      </c>
      <c r="B311" t="s">
        <v>1294</v>
      </c>
      <c r="C311" s="205">
        <v>742</v>
      </c>
      <c r="D311" t="s">
        <v>163</v>
      </c>
      <c r="E311" s="207" t="s">
        <v>31</v>
      </c>
      <c r="F311" t="s">
        <v>32</v>
      </c>
      <c r="G311" s="204" t="s">
        <v>1295</v>
      </c>
      <c r="H311" t="s">
        <v>1296</v>
      </c>
      <c r="I311" s="204" t="s">
        <v>35</v>
      </c>
      <c r="J311" t="s">
        <v>36</v>
      </c>
      <c r="K311" s="209"/>
    </row>
    <row r="312" spans="1:11" ht="13.9" hidden="1">
      <c r="A312" s="204" t="s">
        <v>1297</v>
      </c>
      <c r="B312" t="s">
        <v>1298</v>
      </c>
      <c r="C312" s="205">
        <v>671.33</v>
      </c>
      <c r="D312" t="s">
        <v>85</v>
      </c>
      <c r="E312" s="207" t="s">
        <v>31</v>
      </c>
      <c r="F312" t="s">
        <v>32</v>
      </c>
      <c r="G312" s="204" t="s">
        <v>1299</v>
      </c>
      <c r="H312" t="s">
        <v>1300</v>
      </c>
      <c r="I312" s="204" t="s">
        <v>35</v>
      </c>
      <c r="J312" t="s">
        <v>36</v>
      </c>
      <c r="K312" s="209"/>
    </row>
    <row r="313" spans="1:11" ht="13.9" hidden="1">
      <c r="A313" s="204" t="s">
        <v>1301</v>
      </c>
      <c r="B313" t="s">
        <v>1302</v>
      </c>
      <c r="C313" s="205">
        <v>1833.33</v>
      </c>
      <c r="D313" t="s">
        <v>30</v>
      </c>
      <c r="E313" s="207" t="s">
        <v>31</v>
      </c>
      <c r="F313" t="s">
        <v>32</v>
      </c>
      <c r="G313" s="204" t="s">
        <v>1303</v>
      </c>
      <c r="H313" t="s">
        <v>1304</v>
      </c>
      <c r="I313" s="204" t="s">
        <v>35</v>
      </c>
      <c r="J313" t="s">
        <v>36</v>
      </c>
      <c r="K313" s="209"/>
    </row>
    <row r="314" spans="1:11" ht="13.9" hidden="1">
      <c r="A314" s="204" t="s">
        <v>1305</v>
      </c>
      <c r="B314" t="s">
        <v>1306</v>
      </c>
      <c r="C314" s="205">
        <v>2374.4</v>
      </c>
      <c r="D314" t="s">
        <v>30</v>
      </c>
      <c r="E314" s="207" t="s">
        <v>31</v>
      </c>
      <c r="F314" t="s">
        <v>32</v>
      </c>
      <c r="G314" s="204" t="s">
        <v>1307</v>
      </c>
      <c r="H314" t="s">
        <v>1308</v>
      </c>
      <c r="I314" s="204" t="s">
        <v>35</v>
      </c>
      <c r="J314" t="s">
        <v>36</v>
      </c>
      <c r="K314" s="209"/>
    </row>
    <row r="315" spans="1:11" ht="13.9" hidden="1">
      <c r="A315" s="204" t="s">
        <v>1309</v>
      </c>
      <c r="B315" t="s">
        <v>1310</v>
      </c>
      <c r="C315" s="205">
        <v>848</v>
      </c>
      <c r="D315" t="s">
        <v>44</v>
      </c>
      <c r="E315" s="207" t="s">
        <v>31</v>
      </c>
      <c r="F315" t="s">
        <v>32</v>
      </c>
      <c r="G315" s="204" t="s">
        <v>1311</v>
      </c>
      <c r="H315" t="s">
        <v>1312</v>
      </c>
      <c r="I315" s="204" t="s">
        <v>35</v>
      </c>
      <c r="J315" t="s">
        <v>36</v>
      </c>
      <c r="K315" s="209"/>
    </row>
    <row r="316" spans="1:11" ht="13.9" hidden="1">
      <c r="A316" s="204" t="s">
        <v>1313</v>
      </c>
      <c r="B316" t="s">
        <v>1314</v>
      </c>
      <c r="C316" s="205">
        <v>14</v>
      </c>
      <c r="D316" t="s">
        <v>100</v>
      </c>
      <c r="E316" s="207" t="s">
        <v>31</v>
      </c>
      <c r="F316" t="s">
        <v>32</v>
      </c>
      <c r="G316" s="204" t="s">
        <v>1315</v>
      </c>
      <c r="H316" t="s">
        <v>1316</v>
      </c>
      <c r="I316" s="204" t="s">
        <v>35</v>
      </c>
      <c r="J316" t="s">
        <v>36</v>
      </c>
      <c r="K316" s="209"/>
    </row>
    <row r="317" spans="1:11" ht="13.9" hidden="1">
      <c r="A317" s="204" t="s">
        <v>1317</v>
      </c>
      <c r="B317" t="s">
        <v>1318</v>
      </c>
      <c r="C317" s="205">
        <v>636</v>
      </c>
      <c r="D317" t="s">
        <v>30</v>
      </c>
      <c r="E317" s="207" t="s">
        <v>31</v>
      </c>
      <c r="F317" t="s">
        <v>32</v>
      </c>
      <c r="G317" s="204" t="s">
        <v>1319</v>
      </c>
      <c r="H317" t="s">
        <v>1320</v>
      </c>
      <c r="I317" s="204" t="s">
        <v>35</v>
      </c>
      <c r="J317" t="s">
        <v>36</v>
      </c>
      <c r="K317" s="209"/>
    </row>
    <row r="318" spans="1:11" ht="13.9" hidden="1">
      <c r="A318" s="204" t="s">
        <v>1321</v>
      </c>
      <c r="B318" t="s">
        <v>1322</v>
      </c>
      <c r="C318" s="205">
        <v>212</v>
      </c>
      <c r="D318" t="s">
        <v>359</v>
      </c>
      <c r="E318" s="207" t="s">
        <v>31</v>
      </c>
      <c r="F318" t="s">
        <v>32</v>
      </c>
      <c r="G318" s="204" t="s">
        <v>1323</v>
      </c>
      <c r="H318" t="s">
        <v>1324</v>
      </c>
      <c r="I318" s="204" t="s">
        <v>35</v>
      </c>
      <c r="J318" t="s">
        <v>36</v>
      </c>
      <c r="K318" s="209"/>
    </row>
    <row r="319" spans="1:11" ht="13.9" hidden="1">
      <c r="A319" s="204" t="s">
        <v>1325</v>
      </c>
      <c r="B319" t="s">
        <v>1326</v>
      </c>
      <c r="C319" s="205">
        <v>246.94</v>
      </c>
      <c r="D319" t="s">
        <v>54</v>
      </c>
      <c r="E319" s="207" t="s">
        <v>31</v>
      </c>
      <c r="F319" t="s">
        <v>32</v>
      </c>
      <c r="G319" s="204" t="s">
        <v>1327</v>
      </c>
      <c r="H319" t="s">
        <v>1328</v>
      </c>
      <c r="I319" s="204" t="s">
        <v>35</v>
      </c>
      <c r="J319" t="s">
        <v>36</v>
      </c>
      <c r="K319" s="209"/>
    </row>
    <row r="320" spans="1:11" ht="13.9" hidden="1">
      <c r="A320" s="204" t="s">
        <v>1329</v>
      </c>
      <c r="B320" t="s">
        <v>1330</v>
      </c>
      <c r="C320" s="205">
        <v>1833.33</v>
      </c>
      <c r="D320" t="s">
        <v>30</v>
      </c>
      <c r="E320" s="207" t="s">
        <v>31</v>
      </c>
      <c r="F320" t="s">
        <v>32</v>
      </c>
      <c r="G320" s="204" t="s">
        <v>1331</v>
      </c>
      <c r="H320" t="s">
        <v>1332</v>
      </c>
      <c r="I320" s="204" t="s">
        <v>35</v>
      </c>
      <c r="J320" t="s">
        <v>36</v>
      </c>
      <c r="K320" s="209"/>
    </row>
    <row r="321" spans="1:11" ht="13.9" hidden="1">
      <c r="A321" s="204" t="s">
        <v>1333</v>
      </c>
      <c r="B321" t="s">
        <v>1334</v>
      </c>
      <c r="C321" s="205">
        <v>302.10000000000002</v>
      </c>
      <c r="D321" t="s">
        <v>30</v>
      </c>
      <c r="E321" s="207" t="s">
        <v>31</v>
      </c>
      <c r="F321" t="s">
        <v>32</v>
      </c>
      <c r="G321" s="204" t="s">
        <v>1335</v>
      </c>
      <c r="H321" t="s">
        <v>1336</v>
      </c>
      <c r="I321" s="204" t="s">
        <v>35</v>
      </c>
      <c r="J321" t="s">
        <v>36</v>
      </c>
      <c r="K321" s="209"/>
    </row>
    <row r="322" spans="1:11" ht="13.9" hidden="1">
      <c r="A322" s="204" t="s">
        <v>1337</v>
      </c>
      <c r="B322" t="s">
        <v>1338</v>
      </c>
      <c r="C322" s="205">
        <v>5.83</v>
      </c>
      <c r="D322" t="s">
        <v>196</v>
      </c>
      <c r="E322" s="207" t="s">
        <v>31</v>
      </c>
      <c r="F322" t="s">
        <v>32</v>
      </c>
      <c r="G322" s="204" t="s">
        <v>1339</v>
      </c>
      <c r="H322" t="s">
        <v>1340</v>
      </c>
      <c r="I322" s="204" t="s">
        <v>35</v>
      </c>
      <c r="J322" t="s">
        <v>36</v>
      </c>
      <c r="K322" s="209"/>
    </row>
    <row r="323" spans="1:11" ht="13.9">
      <c r="A323" s="204" t="s">
        <v>1341</v>
      </c>
      <c r="B323" t="s">
        <v>1342</v>
      </c>
      <c r="C323" s="205">
        <v>0.06</v>
      </c>
      <c r="D323" t="s">
        <v>49</v>
      </c>
      <c r="E323" s="207" t="s">
        <v>31</v>
      </c>
      <c r="F323" t="s">
        <v>32</v>
      </c>
      <c r="G323" s="204" t="s">
        <v>1343</v>
      </c>
      <c r="H323" t="s">
        <v>1344</v>
      </c>
      <c r="I323" s="204" t="s">
        <v>35</v>
      </c>
      <c r="J323" t="s">
        <v>36</v>
      </c>
      <c r="K323" s="209"/>
    </row>
    <row r="324" spans="1:11" ht="13.9" hidden="1">
      <c r="A324" s="204" t="s">
        <v>1345</v>
      </c>
      <c r="B324" t="s">
        <v>1346</v>
      </c>
      <c r="C324" s="205">
        <v>466.67</v>
      </c>
      <c r="D324" t="s">
        <v>30</v>
      </c>
      <c r="E324" s="207" t="s">
        <v>31</v>
      </c>
      <c r="F324" t="s">
        <v>32</v>
      </c>
      <c r="G324" s="204" t="s">
        <v>1347</v>
      </c>
      <c r="H324" t="s">
        <v>1348</v>
      </c>
      <c r="I324" s="204" t="s">
        <v>35</v>
      </c>
      <c r="J324" t="s">
        <v>36</v>
      </c>
      <c r="K324" s="209"/>
    </row>
    <row r="325" spans="1:11" ht="13.9" hidden="1">
      <c r="A325" s="204" t="s">
        <v>1349</v>
      </c>
      <c r="B325" t="s">
        <v>1350</v>
      </c>
      <c r="C325" s="205">
        <v>95</v>
      </c>
      <c r="D325" t="s">
        <v>39</v>
      </c>
      <c r="E325" s="207" t="s">
        <v>31</v>
      </c>
      <c r="F325" t="s">
        <v>32</v>
      </c>
      <c r="G325" s="204" t="s">
        <v>1351</v>
      </c>
      <c r="H325" t="s">
        <v>1352</v>
      </c>
      <c r="I325" s="204" t="s">
        <v>35</v>
      </c>
      <c r="J325" t="s">
        <v>36</v>
      </c>
      <c r="K325" s="209"/>
    </row>
    <row r="326" spans="1:11" ht="13.9" hidden="1">
      <c r="A326" s="204" t="s">
        <v>1353</v>
      </c>
      <c r="B326" t="s">
        <v>1354</v>
      </c>
      <c r="C326" s="205">
        <v>4500</v>
      </c>
      <c r="D326" t="s">
        <v>1355</v>
      </c>
      <c r="E326" s="207" t="s">
        <v>31</v>
      </c>
      <c r="F326" t="s">
        <v>32</v>
      </c>
      <c r="G326" s="204" t="s">
        <v>1356</v>
      </c>
      <c r="H326" t="s">
        <v>1357</v>
      </c>
      <c r="I326" s="204" t="s">
        <v>35</v>
      </c>
      <c r="J326" t="s">
        <v>36</v>
      </c>
      <c r="K326" s="209"/>
    </row>
    <row r="327" spans="1:11" ht="13.9" hidden="1">
      <c r="A327" s="204" t="s">
        <v>1358</v>
      </c>
      <c r="B327" t="s">
        <v>1359</v>
      </c>
      <c r="C327" s="205">
        <v>477</v>
      </c>
      <c r="D327" t="s">
        <v>95</v>
      </c>
      <c r="E327" s="207" t="s">
        <v>31</v>
      </c>
      <c r="F327" t="s">
        <v>32</v>
      </c>
      <c r="G327" s="204" t="s">
        <v>1360</v>
      </c>
      <c r="H327" t="s">
        <v>1361</v>
      </c>
      <c r="I327" s="204" t="s">
        <v>35</v>
      </c>
      <c r="J327" t="s">
        <v>36</v>
      </c>
      <c r="K327" s="209"/>
    </row>
    <row r="328" spans="1:11" ht="13.9" hidden="1">
      <c r="A328" s="204" t="s">
        <v>1362</v>
      </c>
      <c r="B328" t="s">
        <v>1363</v>
      </c>
      <c r="C328" s="205">
        <v>14310</v>
      </c>
      <c r="D328" t="s">
        <v>30</v>
      </c>
      <c r="E328" s="207" t="s">
        <v>31</v>
      </c>
      <c r="F328" t="s">
        <v>32</v>
      </c>
      <c r="G328" s="204" t="s">
        <v>1364</v>
      </c>
      <c r="H328" t="s">
        <v>1365</v>
      </c>
      <c r="I328" s="204" t="s">
        <v>35</v>
      </c>
      <c r="J328" t="s">
        <v>36</v>
      </c>
      <c r="K328" s="209"/>
    </row>
    <row r="329" spans="1:11" ht="13.9" hidden="1">
      <c r="A329" s="204" t="s">
        <v>1366</v>
      </c>
      <c r="B329" t="s">
        <v>1367</v>
      </c>
      <c r="C329" s="205">
        <v>250</v>
      </c>
      <c r="D329" t="s">
        <v>39</v>
      </c>
      <c r="E329" s="207" t="s">
        <v>31</v>
      </c>
      <c r="F329" t="s">
        <v>32</v>
      </c>
      <c r="G329" s="204" t="s">
        <v>1368</v>
      </c>
      <c r="H329" t="s">
        <v>1369</v>
      </c>
      <c r="I329" s="204" t="s">
        <v>35</v>
      </c>
      <c r="J329" t="s">
        <v>36</v>
      </c>
      <c r="K329" s="209"/>
    </row>
    <row r="330" spans="1:11" ht="13.9">
      <c r="A330" s="204" t="s">
        <v>1370</v>
      </c>
      <c r="B330" t="s">
        <v>1371</v>
      </c>
      <c r="C330" s="205">
        <v>190.8</v>
      </c>
      <c r="D330" t="s">
        <v>163</v>
      </c>
      <c r="E330" s="207" t="s">
        <v>31</v>
      </c>
      <c r="F330" t="s">
        <v>32</v>
      </c>
      <c r="G330" s="204" t="s">
        <v>1372</v>
      </c>
      <c r="H330" t="s">
        <v>1373</v>
      </c>
      <c r="I330" s="204" t="s">
        <v>35</v>
      </c>
      <c r="J330" t="s">
        <v>36</v>
      </c>
      <c r="K330" s="209"/>
    </row>
    <row r="331" spans="1:11" ht="13.9" hidden="1">
      <c r="A331" s="204" t="s">
        <v>1374</v>
      </c>
      <c r="B331" t="s">
        <v>1375</v>
      </c>
      <c r="C331" s="205">
        <v>1900</v>
      </c>
      <c r="D331" t="s">
        <v>1376</v>
      </c>
      <c r="E331" s="207" t="s">
        <v>31</v>
      </c>
      <c r="F331" t="s">
        <v>32</v>
      </c>
      <c r="G331" s="204" t="s">
        <v>1377</v>
      </c>
      <c r="H331" t="s">
        <v>1378</v>
      </c>
      <c r="I331" s="204" t="s">
        <v>35</v>
      </c>
      <c r="J331" t="s">
        <v>36</v>
      </c>
      <c r="K331" s="209"/>
    </row>
    <row r="332" spans="1:11" ht="13.9" hidden="1">
      <c r="A332" s="204" t="s">
        <v>1379</v>
      </c>
      <c r="B332" t="s">
        <v>1380</v>
      </c>
      <c r="C332" s="205">
        <v>53</v>
      </c>
      <c r="D332" t="s">
        <v>39</v>
      </c>
      <c r="E332" s="207" t="s">
        <v>31</v>
      </c>
      <c r="F332" t="s">
        <v>32</v>
      </c>
      <c r="G332" s="204" t="s">
        <v>1381</v>
      </c>
      <c r="H332" t="s">
        <v>1382</v>
      </c>
      <c r="I332" s="204" t="s">
        <v>35</v>
      </c>
      <c r="J332" t="s">
        <v>36</v>
      </c>
      <c r="K332" s="209"/>
    </row>
    <row r="333" spans="1:11" ht="13.9" hidden="1">
      <c r="A333" s="204" t="s">
        <v>1383</v>
      </c>
      <c r="B333" t="s">
        <v>1384</v>
      </c>
      <c r="C333" s="205">
        <v>1060</v>
      </c>
      <c r="D333" t="s">
        <v>30</v>
      </c>
      <c r="E333" s="207" t="s">
        <v>31</v>
      </c>
      <c r="F333" t="s">
        <v>32</v>
      </c>
      <c r="G333" s="204" t="s">
        <v>1385</v>
      </c>
      <c r="H333" t="s">
        <v>1386</v>
      </c>
      <c r="I333" s="204" t="s">
        <v>35</v>
      </c>
      <c r="J333" t="s">
        <v>36</v>
      </c>
      <c r="K333" s="209"/>
    </row>
    <row r="334" spans="1:11" ht="13.9" hidden="1">
      <c r="A334" s="204" t="s">
        <v>1387</v>
      </c>
      <c r="B334" t="s">
        <v>1388</v>
      </c>
      <c r="C334" s="205">
        <v>316.67</v>
      </c>
      <c r="D334" t="s">
        <v>39</v>
      </c>
      <c r="E334" s="207" t="s">
        <v>31</v>
      </c>
      <c r="F334" t="s">
        <v>32</v>
      </c>
      <c r="G334" s="204" t="s">
        <v>1389</v>
      </c>
      <c r="H334" t="s">
        <v>1390</v>
      </c>
      <c r="I334" s="204" t="s">
        <v>35</v>
      </c>
      <c r="J334" t="s">
        <v>36</v>
      </c>
      <c r="K334" s="209"/>
    </row>
    <row r="335" spans="1:11" ht="13.9" hidden="1">
      <c r="A335" s="204" t="s">
        <v>1391</v>
      </c>
      <c r="B335" t="s">
        <v>1392</v>
      </c>
      <c r="C335" s="205">
        <v>127.2</v>
      </c>
      <c r="D335" t="s">
        <v>54</v>
      </c>
      <c r="E335" s="207" t="s">
        <v>31</v>
      </c>
      <c r="F335" t="s">
        <v>32</v>
      </c>
      <c r="G335" s="204" t="s">
        <v>1393</v>
      </c>
      <c r="H335" t="s">
        <v>1394</v>
      </c>
      <c r="I335" s="204" t="s">
        <v>35</v>
      </c>
      <c r="J335" t="s">
        <v>36</v>
      </c>
      <c r="K335" s="209"/>
    </row>
    <row r="336" spans="1:11" ht="13.9" hidden="1">
      <c r="A336" s="204" t="s">
        <v>1395</v>
      </c>
      <c r="B336" t="s">
        <v>1396</v>
      </c>
      <c r="C336" s="205">
        <v>4750</v>
      </c>
      <c r="D336" t="s">
        <v>95</v>
      </c>
      <c r="E336" s="207" t="s">
        <v>31</v>
      </c>
      <c r="F336" t="s">
        <v>32</v>
      </c>
      <c r="G336" s="204" t="s">
        <v>1397</v>
      </c>
      <c r="H336" t="s">
        <v>1398</v>
      </c>
      <c r="I336" s="204" t="s">
        <v>35</v>
      </c>
      <c r="J336" t="s">
        <v>36</v>
      </c>
      <c r="K336" s="209"/>
    </row>
    <row r="337" spans="1:11" ht="13.9" hidden="1">
      <c r="A337" s="204" t="s">
        <v>1399</v>
      </c>
      <c r="B337" t="s">
        <v>1400</v>
      </c>
      <c r="C337" s="205">
        <v>12.72</v>
      </c>
      <c r="D337" t="s">
        <v>1401</v>
      </c>
      <c r="E337" s="207" t="s">
        <v>31</v>
      </c>
      <c r="F337" t="s">
        <v>32</v>
      </c>
      <c r="G337" s="204" t="s">
        <v>1402</v>
      </c>
      <c r="H337" t="s">
        <v>1403</v>
      </c>
      <c r="I337" s="204" t="s">
        <v>35</v>
      </c>
      <c r="J337" t="s">
        <v>36</v>
      </c>
      <c r="K337" s="209"/>
    </row>
    <row r="338" spans="1:11" ht="13.9" hidden="1">
      <c r="A338" s="204" t="s">
        <v>1404</v>
      </c>
      <c r="B338" t="s">
        <v>1405</v>
      </c>
      <c r="C338" s="205">
        <v>106</v>
      </c>
      <c r="D338" t="s">
        <v>39</v>
      </c>
      <c r="E338" s="207" t="s">
        <v>31</v>
      </c>
      <c r="F338" t="s">
        <v>32</v>
      </c>
      <c r="G338" s="204" t="s">
        <v>1406</v>
      </c>
      <c r="H338" t="s">
        <v>1407</v>
      </c>
      <c r="I338" s="204" t="s">
        <v>35</v>
      </c>
      <c r="J338" t="s">
        <v>36</v>
      </c>
      <c r="K338" s="209"/>
    </row>
    <row r="339" spans="1:11" ht="13.9" hidden="1">
      <c r="A339" s="204" t="s">
        <v>1408</v>
      </c>
      <c r="B339" t="s">
        <v>1409</v>
      </c>
      <c r="C339" s="205">
        <v>636</v>
      </c>
      <c r="D339" t="s">
        <v>141</v>
      </c>
      <c r="E339" s="207" t="s">
        <v>31</v>
      </c>
      <c r="F339" t="s">
        <v>32</v>
      </c>
      <c r="G339" s="204" t="s">
        <v>1410</v>
      </c>
      <c r="H339" t="s">
        <v>1411</v>
      </c>
      <c r="I339" s="204" t="s">
        <v>35</v>
      </c>
      <c r="J339" t="s">
        <v>36</v>
      </c>
      <c r="K339" s="209"/>
    </row>
    <row r="340" spans="1:11" ht="13.9" hidden="1">
      <c r="A340" s="204" t="s">
        <v>1412</v>
      </c>
      <c r="B340" t="s">
        <v>1413</v>
      </c>
      <c r="C340" s="205">
        <v>93.28</v>
      </c>
      <c r="D340" t="s">
        <v>90</v>
      </c>
      <c r="E340" s="207" t="s">
        <v>31</v>
      </c>
      <c r="F340" t="s">
        <v>32</v>
      </c>
      <c r="G340" s="204" t="s">
        <v>1414</v>
      </c>
      <c r="H340" t="s">
        <v>1415</v>
      </c>
      <c r="I340" s="204" t="s">
        <v>35</v>
      </c>
      <c r="J340" t="s">
        <v>36</v>
      </c>
      <c r="K340" s="209"/>
    </row>
    <row r="341" spans="1:11" ht="13.9">
      <c r="A341" s="204" t="s">
        <v>1416</v>
      </c>
      <c r="B341" t="s">
        <v>1417</v>
      </c>
      <c r="C341" s="205">
        <v>3561.6</v>
      </c>
      <c r="D341" t="s">
        <v>400</v>
      </c>
      <c r="E341" s="207" t="s">
        <v>31</v>
      </c>
      <c r="F341" t="s">
        <v>32</v>
      </c>
      <c r="G341" s="204" t="s">
        <v>1418</v>
      </c>
      <c r="H341" t="s">
        <v>1419</v>
      </c>
      <c r="I341" s="204" t="s">
        <v>35</v>
      </c>
      <c r="J341" t="s">
        <v>36</v>
      </c>
      <c r="K341" s="209"/>
    </row>
    <row r="342" spans="1:11" ht="13.9" hidden="1">
      <c r="A342" s="204" t="s">
        <v>1420</v>
      </c>
      <c r="B342" t="s">
        <v>1421</v>
      </c>
      <c r="C342" s="205">
        <v>560</v>
      </c>
      <c r="D342" t="s">
        <v>39</v>
      </c>
      <c r="E342" s="207" t="s">
        <v>31</v>
      </c>
      <c r="F342" t="s">
        <v>32</v>
      </c>
      <c r="G342" s="204" t="s">
        <v>1422</v>
      </c>
      <c r="H342" t="s">
        <v>1423</v>
      </c>
      <c r="I342" s="204" t="s">
        <v>35</v>
      </c>
      <c r="J342" t="s">
        <v>36</v>
      </c>
      <c r="K342" s="209"/>
    </row>
    <row r="343" spans="1:11" ht="13.9" hidden="1">
      <c r="A343" s="204" t="s">
        <v>1424</v>
      </c>
      <c r="B343" t="s">
        <v>1425</v>
      </c>
      <c r="C343" s="205">
        <v>1</v>
      </c>
      <c r="D343" t="s">
        <v>196</v>
      </c>
      <c r="E343" s="207" t="s">
        <v>31</v>
      </c>
      <c r="F343" t="s">
        <v>32</v>
      </c>
      <c r="G343" s="204" t="s">
        <v>1426</v>
      </c>
      <c r="H343" t="s">
        <v>1427</v>
      </c>
      <c r="I343" s="204" t="s">
        <v>35</v>
      </c>
      <c r="J343" t="s">
        <v>36</v>
      </c>
      <c r="K343" s="209"/>
    </row>
    <row r="344" spans="1:11" ht="13.9" hidden="1">
      <c r="A344" s="204" t="s">
        <v>1428</v>
      </c>
      <c r="B344" t="s">
        <v>1429</v>
      </c>
      <c r="C344" s="205">
        <v>10.6</v>
      </c>
      <c r="D344" t="s">
        <v>237</v>
      </c>
      <c r="E344" s="207" t="s">
        <v>31</v>
      </c>
      <c r="F344" t="s">
        <v>32</v>
      </c>
      <c r="G344" s="204" t="s">
        <v>1430</v>
      </c>
      <c r="H344" t="s">
        <v>1431</v>
      </c>
      <c r="I344" s="204" t="s">
        <v>35</v>
      </c>
      <c r="J344" t="s">
        <v>36</v>
      </c>
      <c r="K344" s="209"/>
    </row>
    <row r="345" spans="1:11" ht="13.9" hidden="1">
      <c r="A345" s="204" t="s">
        <v>1432</v>
      </c>
      <c r="B345" t="s">
        <v>1433</v>
      </c>
      <c r="C345" s="205">
        <v>848</v>
      </c>
      <c r="D345" t="s">
        <v>39</v>
      </c>
      <c r="E345" s="207" t="s">
        <v>31</v>
      </c>
      <c r="F345" t="s">
        <v>32</v>
      </c>
      <c r="G345" s="204" t="s">
        <v>1434</v>
      </c>
      <c r="H345" t="s">
        <v>1435</v>
      </c>
      <c r="I345" s="204" t="s">
        <v>35</v>
      </c>
      <c r="J345" t="s">
        <v>36</v>
      </c>
      <c r="K345" s="209"/>
    </row>
    <row r="346" spans="1:11" ht="13.9" hidden="1">
      <c r="A346" s="204" t="s">
        <v>1436</v>
      </c>
      <c r="B346" t="s">
        <v>1437</v>
      </c>
      <c r="C346" s="205">
        <v>400.68</v>
      </c>
      <c r="D346" t="s">
        <v>237</v>
      </c>
      <c r="E346" s="207" t="s">
        <v>31</v>
      </c>
      <c r="F346" t="s">
        <v>32</v>
      </c>
      <c r="G346" s="204" t="s">
        <v>1438</v>
      </c>
      <c r="H346" t="s">
        <v>1439</v>
      </c>
      <c r="I346" s="204" t="s">
        <v>35</v>
      </c>
      <c r="J346" t="s">
        <v>36</v>
      </c>
      <c r="K346" s="209"/>
    </row>
    <row r="347" spans="1:11" ht="13.9" hidden="1">
      <c r="A347" s="204" t="s">
        <v>1440</v>
      </c>
      <c r="B347" t="s">
        <v>1441</v>
      </c>
      <c r="C347" s="205">
        <v>116.6</v>
      </c>
      <c r="D347" t="s">
        <v>141</v>
      </c>
      <c r="E347" s="207" t="s">
        <v>31</v>
      </c>
      <c r="F347" t="s">
        <v>32</v>
      </c>
      <c r="G347" s="204" t="s">
        <v>1442</v>
      </c>
      <c r="H347" t="s">
        <v>1443</v>
      </c>
      <c r="I347" s="204" t="s">
        <v>35</v>
      </c>
      <c r="J347" t="s">
        <v>36</v>
      </c>
      <c r="K347" s="209"/>
    </row>
    <row r="348" spans="1:11" ht="13.9" hidden="1">
      <c r="A348" s="204" t="s">
        <v>1444</v>
      </c>
      <c r="B348" t="s">
        <v>1445</v>
      </c>
      <c r="C348" s="205">
        <v>3816</v>
      </c>
      <c r="D348" t="s">
        <v>30</v>
      </c>
      <c r="E348" s="207" t="s">
        <v>31</v>
      </c>
      <c r="F348" t="s">
        <v>32</v>
      </c>
      <c r="G348" s="204" t="s">
        <v>1446</v>
      </c>
      <c r="H348" t="s">
        <v>1447</v>
      </c>
      <c r="I348" s="204" t="s">
        <v>35</v>
      </c>
      <c r="J348" t="s">
        <v>36</v>
      </c>
      <c r="K348" s="209"/>
    </row>
    <row r="349" spans="1:11" ht="13.9" hidden="1">
      <c r="A349" s="204" t="s">
        <v>1448</v>
      </c>
      <c r="B349" t="s">
        <v>1449</v>
      </c>
      <c r="C349" s="205">
        <v>356.67</v>
      </c>
      <c r="D349" t="s">
        <v>39</v>
      </c>
      <c r="E349" s="207" t="s">
        <v>31</v>
      </c>
      <c r="F349" t="s">
        <v>32</v>
      </c>
      <c r="G349" s="204" t="s">
        <v>1450</v>
      </c>
      <c r="H349" t="s">
        <v>1451</v>
      </c>
      <c r="I349" s="204" t="s">
        <v>35</v>
      </c>
      <c r="J349" t="s">
        <v>36</v>
      </c>
      <c r="K349" s="209"/>
    </row>
    <row r="350" spans="1:11" ht="13.9" hidden="1">
      <c r="A350" s="204" t="s">
        <v>1452</v>
      </c>
      <c r="B350" t="s">
        <v>1453</v>
      </c>
      <c r="C350" s="205">
        <v>198.33</v>
      </c>
      <c r="D350" t="s">
        <v>39</v>
      </c>
      <c r="E350" s="207" t="s">
        <v>31</v>
      </c>
      <c r="F350" t="s">
        <v>32</v>
      </c>
      <c r="G350" s="204" t="s">
        <v>1454</v>
      </c>
      <c r="H350" t="s">
        <v>1455</v>
      </c>
      <c r="I350" s="204" t="s">
        <v>35</v>
      </c>
      <c r="J350" t="s">
        <v>36</v>
      </c>
      <c r="K350" s="209"/>
    </row>
    <row r="351" spans="1:11" ht="13.9" hidden="1">
      <c r="A351" s="204" t="s">
        <v>1456</v>
      </c>
      <c r="B351" t="s">
        <v>1457</v>
      </c>
      <c r="C351" s="205">
        <v>137.80000000000001</v>
      </c>
      <c r="D351" t="s">
        <v>39</v>
      </c>
      <c r="E351" s="207" t="s">
        <v>31</v>
      </c>
      <c r="F351" t="s">
        <v>32</v>
      </c>
      <c r="G351" s="204" t="s">
        <v>1458</v>
      </c>
      <c r="H351" t="s">
        <v>1459</v>
      </c>
      <c r="I351" s="204" t="s">
        <v>35</v>
      </c>
      <c r="J351" t="s">
        <v>36</v>
      </c>
      <c r="K351" s="209"/>
    </row>
    <row r="352" spans="1:11" ht="13.9" hidden="1">
      <c r="A352" s="204" t="s">
        <v>1460</v>
      </c>
      <c r="B352" t="s">
        <v>1461</v>
      </c>
      <c r="C352" s="205">
        <v>3710</v>
      </c>
      <c r="D352" t="s">
        <v>30</v>
      </c>
      <c r="E352" s="207" t="s">
        <v>31</v>
      </c>
      <c r="F352" t="s">
        <v>32</v>
      </c>
      <c r="G352" s="204" t="s">
        <v>1462</v>
      </c>
      <c r="H352" t="s">
        <v>1463</v>
      </c>
      <c r="I352" s="204" t="s">
        <v>35</v>
      </c>
      <c r="J352" t="s">
        <v>36</v>
      </c>
      <c r="K352" s="209"/>
    </row>
    <row r="353" spans="1:11" ht="13.9" hidden="1">
      <c r="A353" s="204" t="s">
        <v>1464</v>
      </c>
      <c r="B353" t="s">
        <v>1465</v>
      </c>
      <c r="C353" s="205">
        <v>340</v>
      </c>
      <c r="D353" t="s">
        <v>196</v>
      </c>
      <c r="E353" s="207" t="s">
        <v>31</v>
      </c>
      <c r="F353" t="s">
        <v>32</v>
      </c>
      <c r="G353" s="204" t="s">
        <v>1466</v>
      </c>
      <c r="H353" t="s">
        <v>1467</v>
      </c>
      <c r="I353" s="204" t="s">
        <v>35</v>
      </c>
      <c r="J353" t="s">
        <v>36</v>
      </c>
      <c r="K353" s="209"/>
    </row>
    <row r="354" spans="1:11" ht="13.9" hidden="1">
      <c r="A354" s="204" t="s">
        <v>1468</v>
      </c>
      <c r="B354" t="s">
        <v>1469</v>
      </c>
      <c r="C354" s="205">
        <v>10.6</v>
      </c>
      <c r="D354" t="s">
        <v>237</v>
      </c>
      <c r="E354" s="207" t="s">
        <v>31</v>
      </c>
      <c r="F354" t="s">
        <v>32</v>
      </c>
      <c r="G354" s="204" t="s">
        <v>1470</v>
      </c>
      <c r="H354" t="s">
        <v>1471</v>
      </c>
      <c r="I354" s="204" t="s">
        <v>35</v>
      </c>
      <c r="J354" t="s">
        <v>36</v>
      </c>
      <c r="K354" s="209"/>
    </row>
    <row r="355" spans="1:11" ht="13.9" hidden="1">
      <c r="A355" s="204" t="s">
        <v>1472</v>
      </c>
      <c r="B355" t="s">
        <v>1473</v>
      </c>
      <c r="C355" s="205">
        <v>58.3</v>
      </c>
      <c r="D355" t="s">
        <v>141</v>
      </c>
      <c r="E355" s="207" t="s">
        <v>31</v>
      </c>
      <c r="F355" t="s">
        <v>32</v>
      </c>
      <c r="G355" s="204" t="s">
        <v>1474</v>
      </c>
      <c r="H355" t="s">
        <v>1475</v>
      </c>
      <c r="I355" s="204" t="s">
        <v>35</v>
      </c>
      <c r="J355" t="s">
        <v>36</v>
      </c>
      <c r="K355" s="209"/>
    </row>
    <row r="356" spans="1:11" ht="13.9" hidden="1">
      <c r="A356" s="204" t="s">
        <v>1476</v>
      </c>
      <c r="B356" t="s">
        <v>1477</v>
      </c>
      <c r="C356" s="205">
        <v>31</v>
      </c>
      <c r="D356" t="s">
        <v>54</v>
      </c>
      <c r="E356" s="207" t="s">
        <v>31</v>
      </c>
      <c r="F356" t="s">
        <v>32</v>
      </c>
      <c r="G356" s="204" t="s">
        <v>1478</v>
      </c>
      <c r="H356" t="s">
        <v>1479</v>
      </c>
      <c r="I356" s="204" t="s">
        <v>35</v>
      </c>
      <c r="J356" t="s">
        <v>36</v>
      </c>
      <c r="K356" s="209"/>
    </row>
    <row r="357" spans="1:11" ht="13.9" hidden="1">
      <c r="A357" s="204" t="s">
        <v>1480</v>
      </c>
      <c r="B357" t="s">
        <v>1481</v>
      </c>
      <c r="C357" s="205">
        <v>74.2</v>
      </c>
      <c r="D357" t="s">
        <v>621</v>
      </c>
      <c r="E357" s="207" t="s">
        <v>31</v>
      </c>
      <c r="F357" t="s">
        <v>32</v>
      </c>
      <c r="G357" s="204" t="s">
        <v>1482</v>
      </c>
      <c r="H357" t="s">
        <v>1483</v>
      </c>
      <c r="I357" s="204" t="s">
        <v>35</v>
      </c>
      <c r="J357" t="s">
        <v>36</v>
      </c>
      <c r="K357" s="209"/>
    </row>
    <row r="358" spans="1:11" ht="13.9" hidden="1">
      <c r="A358" s="204" t="s">
        <v>1484</v>
      </c>
      <c r="B358" t="s">
        <v>1485</v>
      </c>
      <c r="C358" s="205">
        <v>116.6</v>
      </c>
      <c r="D358" t="s">
        <v>90</v>
      </c>
      <c r="E358" s="207" t="s">
        <v>31</v>
      </c>
      <c r="F358" t="s">
        <v>32</v>
      </c>
      <c r="G358" s="204" t="s">
        <v>1486</v>
      </c>
      <c r="H358" t="s">
        <v>1487</v>
      </c>
      <c r="I358" s="204" t="s">
        <v>35</v>
      </c>
      <c r="J358" t="s">
        <v>36</v>
      </c>
      <c r="K358" s="209"/>
    </row>
    <row r="359" spans="1:11" ht="13.9" hidden="1">
      <c r="A359" s="204" t="s">
        <v>1488</v>
      </c>
      <c r="B359" t="s">
        <v>1489</v>
      </c>
      <c r="C359" s="205">
        <v>483.33</v>
      </c>
      <c r="D359" t="s">
        <v>30</v>
      </c>
      <c r="E359" s="207" t="s">
        <v>31</v>
      </c>
      <c r="F359" t="s">
        <v>32</v>
      </c>
      <c r="G359" s="204" t="s">
        <v>1490</v>
      </c>
      <c r="H359" t="s">
        <v>1491</v>
      </c>
      <c r="I359" s="204" t="s">
        <v>35</v>
      </c>
      <c r="J359" t="s">
        <v>36</v>
      </c>
      <c r="K359" s="209"/>
    </row>
    <row r="360" spans="1:11" ht="13.9" hidden="1">
      <c r="A360" s="204" t="s">
        <v>1492</v>
      </c>
      <c r="B360" t="s">
        <v>1493</v>
      </c>
      <c r="C360" s="205">
        <v>440</v>
      </c>
      <c r="D360" t="s">
        <v>67</v>
      </c>
      <c r="E360" s="207" t="s">
        <v>31</v>
      </c>
      <c r="F360" t="s">
        <v>32</v>
      </c>
      <c r="G360" s="204" t="s">
        <v>1494</v>
      </c>
      <c r="H360" t="s">
        <v>1495</v>
      </c>
      <c r="I360" s="204" t="s">
        <v>35</v>
      </c>
      <c r="J360" t="s">
        <v>36</v>
      </c>
      <c r="K360" s="209"/>
    </row>
    <row r="361" spans="1:11" ht="13.9" hidden="1">
      <c r="A361" s="204" t="s">
        <v>1496</v>
      </c>
      <c r="B361" t="s">
        <v>1497</v>
      </c>
      <c r="C361" s="205">
        <v>848</v>
      </c>
      <c r="D361" t="s">
        <v>39</v>
      </c>
      <c r="E361" s="207" t="s">
        <v>31</v>
      </c>
      <c r="F361" t="s">
        <v>32</v>
      </c>
      <c r="G361" s="204" t="s">
        <v>1498</v>
      </c>
      <c r="H361" t="s">
        <v>1499</v>
      </c>
      <c r="I361" s="204" t="s">
        <v>35</v>
      </c>
      <c r="J361" t="s">
        <v>36</v>
      </c>
      <c r="K361" s="209"/>
    </row>
    <row r="362" spans="1:11" ht="13.9" hidden="1">
      <c r="A362" s="204" t="s">
        <v>1500</v>
      </c>
      <c r="B362" t="s">
        <v>1501</v>
      </c>
      <c r="C362" s="205">
        <v>95.4</v>
      </c>
      <c r="D362" t="s">
        <v>141</v>
      </c>
      <c r="E362" s="207" t="s">
        <v>31</v>
      </c>
      <c r="F362" t="s">
        <v>32</v>
      </c>
      <c r="G362" s="204" t="s">
        <v>1502</v>
      </c>
      <c r="H362" t="s">
        <v>1503</v>
      </c>
      <c r="I362" s="204" t="s">
        <v>35</v>
      </c>
      <c r="J362" t="s">
        <v>36</v>
      </c>
      <c r="K362" s="209"/>
    </row>
    <row r="363" spans="1:11" ht="13.9" hidden="1">
      <c r="A363" s="204" t="s">
        <v>1504</v>
      </c>
      <c r="B363" t="s">
        <v>1505</v>
      </c>
      <c r="C363" s="205">
        <v>106</v>
      </c>
      <c r="D363" t="s">
        <v>30</v>
      </c>
      <c r="E363" s="207" t="s">
        <v>31</v>
      </c>
      <c r="F363" t="s">
        <v>32</v>
      </c>
      <c r="G363" s="204" t="s">
        <v>1506</v>
      </c>
      <c r="H363" t="s">
        <v>1507</v>
      </c>
      <c r="I363" s="204" t="s">
        <v>35</v>
      </c>
      <c r="J363" t="s">
        <v>36</v>
      </c>
      <c r="K363" s="209"/>
    </row>
    <row r="364" spans="1:11" ht="13.9" hidden="1">
      <c r="A364" s="204" t="s">
        <v>1508</v>
      </c>
      <c r="B364" t="s">
        <v>1509</v>
      </c>
      <c r="C364" s="205">
        <v>424</v>
      </c>
      <c r="D364" t="s">
        <v>30</v>
      </c>
      <c r="E364" s="207" t="s">
        <v>31</v>
      </c>
      <c r="F364" t="s">
        <v>32</v>
      </c>
      <c r="G364" s="204" t="s">
        <v>1510</v>
      </c>
      <c r="H364" t="s">
        <v>1511</v>
      </c>
      <c r="I364" s="204" t="s">
        <v>35</v>
      </c>
      <c r="J364" t="s">
        <v>36</v>
      </c>
      <c r="K364" s="209"/>
    </row>
    <row r="365" spans="1:11" ht="13.9" hidden="1">
      <c r="A365" s="204" t="s">
        <v>1512</v>
      </c>
      <c r="B365" t="s">
        <v>1513</v>
      </c>
      <c r="C365" s="205">
        <v>127.2</v>
      </c>
      <c r="D365" t="s">
        <v>30</v>
      </c>
      <c r="E365" s="207" t="s">
        <v>31</v>
      </c>
      <c r="F365" t="s">
        <v>32</v>
      </c>
      <c r="G365" s="204" t="s">
        <v>1514</v>
      </c>
      <c r="H365" t="s">
        <v>1515</v>
      </c>
      <c r="I365" s="204" t="s">
        <v>35</v>
      </c>
      <c r="J365" t="s">
        <v>36</v>
      </c>
      <c r="K365" s="209"/>
    </row>
    <row r="366" spans="1:11" ht="13.9">
      <c r="A366" s="204" t="s">
        <v>1516</v>
      </c>
      <c r="B366" t="s">
        <v>1517</v>
      </c>
      <c r="C366" s="205">
        <v>1484</v>
      </c>
      <c r="D366" t="s">
        <v>85</v>
      </c>
      <c r="E366" s="207" t="s">
        <v>31</v>
      </c>
      <c r="F366" t="s">
        <v>32</v>
      </c>
      <c r="G366" s="204" t="s">
        <v>1518</v>
      </c>
      <c r="H366" t="s">
        <v>1519</v>
      </c>
      <c r="I366" s="204" t="s">
        <v>35</v>
      </c>
      <c r="J366" t="s">
        <v>36</v>
      </c>
      <c r="K366" s="209"/>
    </row>
    <row r="367" spans="1:11" ht="13.9" hidden="1">
      <c r="A367" s="204" t="s">
        <v>1520</v>
      </c>
      <c r="B367" t="s">
        <v>1521</v>
      </c>
      <c r="C367" s="205">
        <v>75</v>
      </c>
      <c r="D367" t="s">
        <v>39</v>
      </c>
      <c r="E367" s="207" t="s">
        <v>31</v>
      </c>
      <c r="F367" t="s">
        <v>32</v>
      </c>
      <c r="G367" s="204" t="s">
        <v>1522</v>
      </c>
      <c r="H367" t="s">
        <v>1523</v>
      </c>
      <c r="I367" s="204" t="s">
        <v>35</v>
      </c>
      <c r="J367" t="s">
        <v>36</v>
      </c>
      <c r="K367" s="209"/>
    </row>
    <row r="368" spans="1:11" ht="13.9" hidden="1">
      <c r="A368" s="204" t="s">
        <v>1524</v>
      </c>
      <c r="B368" t="s">
        <v>1525</v>
      </c>
      <c r="C368" s="205">
        <v>2120</v>
      </c>
      <c r="D368" t="s">
        <v>95</v>
      </c>
      <c r="E368" s="207" t="s">
        <v>31</v>
      </c>
      <c r="F368" t="s">
        <v>32</v>
      </c>
      <c r="G368" s="204" t="s">
        <v>1526</v>
      </c>
      <c r="H368" t="s">
        <v>1527</v>
      </c>
      <c r="I368" s="204" t="s">
        <v>35</v>
      </c>
      <c r="J368" t="s">
        <v>36</v>
      </c>
      <c r="K368" s="209"/>
    </row>
    <row r="369" spans="1:11" ht="13.9" hidden="1">
      <c r="A369" s="204" t="s">
        <v>1528</v>
      </c>
      <c r="B369" t="s">
        <v>1529</v>
      </c>
      <c r="C369" s="205">
        <v>6.36</v>
      </c>
      <c r="D369" t="s">
        <v>237</v>
      </c>
      <c r="E369" s="207" t="s">
        <v>31</v>
      </c>
      <c r="F369" t="s">
        <v>32</v>
      </c>
      <c r="G369" s="204" t="s">
        <v>1530</v>
      </c>
      <c r="H369" t="s">
        <v>1531</v>
      </c>
      <c r="I369" s="204" t="s">
        <v>35</v>
      </c>
      <c r="J369" t="s">
        <v>36</v>
      </c>
      <c r="K369" s="209"/>
    </row>
    <row r="370" spans="1:11" ht="13.9" hidden="1">
      <c r="A370" s="204" t="s">
        <v>1532</v>
      </c>
      <c r="B370" t="s">
        <v>1533</v>
      </c>
      <c r="C370" s="205">
        <v>265</v>
      </c>
      <c r="D370" t="s">
        <v>30</v>
      </c>
      <c r="E370" s="207" t="s">
        <v>31</v>
      </c>
      <c r="F370" t="s">
        <v>32</v>
      </c>
      <c r="G370" s="204" t="s">
        <v>1534</v>
      </c>
      <c r="H370" t="s">
        <v>1535</v>
      </c>
      <c r="I370" s="204" t="s">
        <v>35</v>
      </c>
      <c r="J370" t="s">
        <v>36</v>
      </c>
      <c r="K370" s="209"/>
    </row>
    <row r="371" spans="1:11" ht="13.9" hidden="1">
      <c r="A371" s="204" t="s">
        <v>1536</v>
      </c>
      <c r="B371" t="s">
        <v>1537</v>
      </c>
      <c r="C371" s="205">
        <v>58.3</v>
      </c>
      <c r="D371" t="s">
        <v>39</v>
      </c>
      <c r="E371" s="207" t="s">
        <v>31</v>
      </c>
      <c r="F371" t="s">
        <v>32</v>
      </c>
      <c r="G371" s="204" t="s">
        <v>1538</v>
      </c>
      <c r="H371" t="s">
        <v>1539</v>
      </c>
      <c r="I371" s="204" t="s">
        <v>35</v>
      </c>
      <c r="J371" t="s">
        <v>36</v>
      </c>
      <c r="K371" s="209"/>
    </row>
    <row r="372" spans="1:11" ht="13.9" hidden="1">
      <c r="A372" s="204" t="s">
        <v>1540</v>
      </c>
      <c r="B372" t="s">
        <v>1541</v>
      </c>
      <c r="C372" s="205">
        <v>116.6</v>
      </c>
      <c r="D372" t="s">
        <v>141</v>
      </c>
      <c r="E372" s="207" t="s">
        <v>31</v>
      </c>
      <c r="F372" t="s">
        <v>32</v>
      </c>
      <c r="G372" s="204" t="s">
        <v>1542</v>
      </c>
      <c r="H372" t="s">
        <v>1543</v>
      </c>
      <c r="I372" s="204" t="s">
        <v>35</v>
      </c>
      <c r="J372" t="s">
        <v>36</v>
      </c>
      <c r="K372" s="209"/>
    </row>
    <row r="373" spans="1:11" ht="13.9">
      <c r="A373" s="204" t="s">
        <v>1544</v>
      </c>
      <c r="B373" t="s">
        <v>1545</v>
      </c>
      <c r="C373" s="205">
        <v>516.66999999999996</v>
      </c>
      <c r="D373" t="s">
        <v>400</v>
      </c>
      <c r="E373" s="207" t="s">
        <v>31</v>
      </c>
      <c r="F373" t="s">
        <v>32</v>
      </c>
      <c r="G373" s="204" t="s">
        <v>1546</v>
      </c>
      <c r="H373" t="s">
        <v>1547</v>
      </c>
      <c r="I373" s="204" t="s">
        <v>35</v>
      </c>
      <c r="J373" t="s">
        <v>36</v>
      </c>
      <c r="K373" s="209"/>
    </row>
    <row r="374" spans="1:11" ht="13.9" hidden="1">
      <c r="A374" s="204" t="s">
        <v>1548</v>
      </c>
      <c r="B374" t="s">
        <v>1549</v>
      </c>
      <c r="C374" s="205">
        <v>424</v>
      </c>
      <c r="D374" t="s">
        <v>30</v>
      </c>
      <c r="E374" s="207" t="s">
        <v>31</v>
      </c>
      <c r="F374" t="s">
        <v>32</v>
      </c>
      <c r="G374" s="204" t="s">
        <v>1550</v>
      </c>
      <c r="H374" t="s">
        <v>1551</v>
      </c>
      <c r="I374" s="204" t="s">
        <v>35</v>
      </c>
      <c r="J374" t="s">
        <v>36</v>
      </c>
      <c r="K374" s="209"/>
    </row>
    <row r="375" spans="1:11" ht="13.9" hidden="1">
      <c r="A375" s="204" t="s">
        <v>1552</v>
      </c>
      <c r="B375" t="s">
        <v>1553</v>
      </c>
      <c r="C375" s="205">
        <v>302.10000000000002</v>
      </c>
      <c r="D375" t="s">
        <v>30</v>
      </c>
      <c r="E375" s="207" t="s">
        <v>31</v>
      </c>
      <c r="F375" t="s">
        <v>32</v>
      </c>
      <c r="G375" s="204" t="s">
        <v>1554</v>
      </c>
      <c r="H375" t="s">
        <v>1555</v>
      </c>
      <c r="I375" s="204" t="s">
        <v>35</v>
      </c>
      <c r="J375" t="s">
        <v>36</v>
      </c>
      <c r="K375" s="209"/>
    </row>
    <row r="376" spans="1:11" ht="13.9" hidden="1">
      <c r="A376" s="204" t="s">
        <v>1556</v>
      </c>
      <c r="B376" t="s">
        <v>1557</v>
      </c>
      <c r="C376" s="205">
        <v>159</v>
      </c>
      <c r="D376" t="s">
        <v>90</v>
      </c>
      <c r="E376" s="207" t="s">
        <v>31</v>
      </c>
      <c r="F376" t="s">
        <v>32</v>
      </c>
      <c r="G376" s="204" t="s">
        <v>1558</v>
      </c>
      <c r="H376" t="s">
        <v>1559</v>
      </c>
      <c r="I376" s="204" t="s">
        <v>35</v>
      </c>
      <c r="J376" t="s">
        <v>36</v>
      </c>
      <c r="K376" s="209"/>
    </row>
    <row r="377" spans="1:11" ht="13.9" hidden="1">
      <c r="A377" s="204" t="s">
        <v>1560</v>
      </c>
      <c r="B377" t="s">
        <v>1561</v>
      </c>
      <c r="C377" s="205">
        <v>159</v>
      </c>
      <c r="D377" t="s">
        <v>90</v>
      </c>
      <c r="E377" s="207" t="s">
        <v>31</v>
      </c>
      <c r="F377" t="s">
        <v>32</v>
      </c>
      <c r="G377" s="204" t="s">
        <v>1562</v>
      </c>
      <c r="H377" t="s">
        <v>1563</v>
      </c>
      <c r="I377" s="204" t="s">
        <v>35</v>
      </c>
      <c r="J377" t="s">
        <v>36</v>
      </c>
      <c r="K377" s="209"/>
    </row>
    <row r="378" spans="1:11" ht="13.9" hidden="1">
      <c r="A378" s="204" t="s">
        <v>1564</v>
      </c>
      <c r="B378" t="s">
        <v>1565</v>
      </c>
      <c r="C378" s="205">
        <v>5733.33</v>
      </c>
      <c r="D378" t="s">
        <v>30</v>
      </c>
      <c r="E378" s="207" t="s">
        <v>31</v>
      </c>
      <c r="F378" t="s">
        <v>32</v>
      </c>
      <c r="G378" s="204" t="s">
        <v>1566</v>
      </c>
      <c r="H378" t="s">
        <v>1567</v>
      </c>
      <c r="I378" s="204" t="s">
        <v>35</v>
      </c>
      <c r="J378" t="s">
        <v>36</v>
      </c>
      <c r="K378" s="209"/>
    </row>
    <row r="379" spans="1:11" ht="13.9" hidden="1">
      <c r="A379" s="204" t="s">
        <v>1568</v>
      </c>
      <c r="B379" t="s">
        <v>1569</v>
      </c>
      <c r="C379" s="205">
        <v>122.58</v>
      </c>
      <c r="D379" t="s">
        <v>54</v>
      </c>
      <c r="E379" s="207" t="s">
        <v>31</v>
      </c>
      <c r="F379" t="s">
        <v>32</v>
      </c>
      <c r="G379" s="204" t="s">
        <v>1570</v>
      </c>
      <c r="H379" t="s">
        <v>1571</v>
      </c>
      <c r="I379" s="204" t="s">
        <v>35</v>
      </c>
      <c r="J379" t="s">
        <v>36</v>
      </c>
      <c r="K379" s="209"/>
    </row>
    <row r="380" spans="1:11" ht="13.9" hidden="1">
      <c r="A380" s="204" t="s">
        <v>1572</v>
      </c>
      <c r="B380" t="s">
        <v>1573</v>
      </c>
      <c r="C380" s="205">
        <v>73.33</v>
      </c>
      <c r="D380" t="s">
        <v>196</v>
      </c>
      <c r="E380" s="207" t="s">
        <v>31</v>
      </c>
      <c r="F380" t="s">
        <v>32</v>
      </c>
      <c r="G380" s="204" t="s">
        <v>1574</v>
      </c>
      <c r="H380" t="s">
        <v>1575</v>
      </c>
      <c r="I380" s="204" t="s">
        <v>35</v>
      </c>
      <c r="J380" t="s">
        <v>36</v>
      </c>
      <c r="K380" s="209"/>
    </row>
    <row r="381" spans="1:11" ht="13.9" hidden="1">
      <c r="A381" s="204" t="s">
        <v>1576</v>
      </c>
      <c r="B381" t="s">
        <v>1577</v>
      </c>
      <c r="C381" s="205">
        <v>106</v>
      </c>
      <c r="D381" t="s">
        <v>196</v>
      </c>
      <c r="E381" s="207" t="s">
        <v>31</v>
      </c>
      <c r="F381" t="s">
        <v>32</v>
      </c>
      <c r="G381" s="204" t="s">
        <v>1578</v>
      </c>
      <c r="H381" t="s">
        <v>1579</v>
      </c>
      <c r="I381" s="204" t="s">
        <v>35</v>
      </c>
      <c r="J381" t="s">
        <v>36</v>
      </c>
      <c r="K381" s="209"/>
    </row>
    <row r="382" spans="1:11" ht="13.9" hidden="1">
      <c r="A382" s="204" t="s">
        <v>1580</v>
      </c>
      <c r="B382" t="s">
        <v>1581</v>
      </c>
      <c r="C382" s="205">
        <v>127.2</v>
      </c>
      <c r="D382" t="s">
        <v>39</v>
      </c>
      <c r="E382" s="207" t="s">
        <v>31</v>
      </c>
      <c r="F382" t="s">
        <v>32</v>
      </c>
      <c r="G382" s="204" t="s">
        <v>1582</v>
      </c>
      <c r="H382" t="s">
        <v>1583</v>
      </c>
      <c r="I382" s="204" t="s">
        <v>35</v>
      </c>
      <c r="J382" t="s">
        <v>36</v>
      </c>
      <c r="K382" s="209"/>
    </row>
    <row r="383" spans="1:11" ht="13.9" hidden="1">
      <c r="A383" s="204" t="s">
        <v>1584</v>
      </c>
      <c r="B383" t="s">
        <v>1585</v>
      </c>
      <c r="C383" s="205">
        <v>95.4</v>
      </c>
      <c r="D383" t="s">
        <v>90</v>
      </c>
      <c r="E383" s="207" t="s">
        <v>31</v>
      </c>
      <c r="F383" t="s">
        <v>32</v>
      </c>
      <c r="G383" s="204" t="s">
        <v>1586</v>
      </c>
      <c r="H383" t="s">
        <v>1587</v>
      </c>
      <c r="I383" s="204" t="s">
        <v>35</v>
      </c>
      <c r="J383" t="s">
        <v>36</v>
      </c>
      <c r="K383" s="209"/>
    </row>
    <row r="384" spans="1:11" ht="13.9" hidden="1">
      <c r="A384" s="204" t="s">
        <v>1588</v>
      </c>
      <c r="B384" t="s">
        <v>1589</v>
      </c>
      <c r="C384" s="205">
        <v>530</v>
      </c>
      <c r="D384" t="s">
        <v>39</v>
      </c>
      <c r="E384" s="207" t="s">
        <v>31</v>
      </c>
      <c r="F384" t="s">
        <v>32</v>
      </c>
      <c r="G384" s="204" t="s">
        <v>1590</v>
      </c>
      <c r="H384" t="s">
        <v>1591</v>
      </c>
      <c r="I384" s="204" t="s">
        <v>35</v>
      </c>
      <c r="J384" t="s">
        <v>36</v>
      </c>
      <c r="K384" s="209"/>
    </row>
    <row r="385" spans="1:11" ht="13.9" hidden="1">
      <c r="A385" s="204" t="s">
        <v>1592</v>
      </c>
      <c r="B385" t="s">
        <v>1593</v>
      </c>
      <c r="C385" s="205">
        <v>63</v>
      </c>
      <c r="D385" t="s">
        <v>39</v>
      </c>
      <c r="E385" s="207" t="s">
        <v>31</v>
      </c>
      <c r="F385" t="s">
        <v>32</v>
      </c>
      <c r="G385" s="204" t="s">
        <v>1594</v>
      </c>
      <c r="H385" t="s">
        <v>1595</v>
      </c>
      <c r="I385" s="204" t="s">
        <v>35</v>
      </c>
      <c r="J385" t="s">
        <v>36</v>
      </c>
      <c r="K385" s="209"/>
    </row>
    <row r="386" spans="1:11" ht="13.9" hidden="1">
      <c r="A386" s="204" t="s">
        <v>1596</v>
      </c>
      <c r="B386" t="s">
        <v>1597</v>
      </c>
      <c r="C386" s="205">
        <v>212</v>
      </c>
      <c r="D386" t="s">
        <v>237</v>
      </c>
      <c r="E386" s="207" t="s">
        <v>31</v>
      </c>
      <c r="F386" t="s">
        <v>32</v>
      </c>
      <c r="G386" s="204" t="s">
        <v>1598</v>
      </c>
      <c r="H386" t="s">
        <v>1599</v>
      </c>
      <c r="I386" s="204" t="s">
        <v>35</v>
      </c>
      <c r="J386" t="s">
        <v>36</v>
      </c>
      <c r="K386" s="209"/>
    </row>
    <row r="387" spans="1:11" ht="13.9" hidden="1">
      <c r="A387" s="204" t="s">
        <v>1600</v>
      </c>
      <c r="B387" t="s">
        <v>1601</v>
      </c>
      <c r="C387" s="205">
        <v>63</v>
      </c>
      <c r="D387" t="s">
        <v>39</v>
      </c>
      <c r="E387" s="207" t="s">
        <v>31</v>
      </c>
      <c r="F387" t="s">
        <v>32</v>
      </c>
      <c r="G387" s="204" t="s">
        <v>1602</v>
      </c>
      <c r="H387" t="s">
        <v>1603</v>
      </c>
      <c r="I387" s="204" t="s">
        <v>35</v>
      </c>
      <c r="J387" t="s">
        <v>36</v>
      </c>
      <c r="K387" s="209"/>
    </row>
    <row r="388" spans="1:11" ht="13.9" hidden="1">
      <c r="A388" s="204" t="s">
        <v>1604</v>
      </c>
      <c r="B388" t="s">
        <v>1605</v>
      </c>
      <c r="C388" s="205">
        <v>3180</v>
      </c>
      <c r="D388" t="s">
        <v>30</v>
      </c>
      <c r="E388" s="207" t="s">
        <v>31</v>
      </c>
      <c r="F388" t="s">
        <v>32</v>
      </c>
      <c r="G388" s="204" t="s">
        <v>1606</v>
      </c>
      <c r="H388" t="s">
        <v>1607</v>
      </c>
      <c r="I388" s="204" t="s">
        <v>35</v>
      </c>
      <c r="J388" t="s">
        <v>36</v>
      </c>
      <c r="K388" s="209"/>
    </row>
    <row r="389" spans="1:11" ht="13.9" hidden="1">
      <c r="A389" s="204" t="s">
        <v>1608</v>
      </c>
      <c r="B389" t="s">
        <v>1609</v>
      </c>
      <c r="C389" s="205">
        <v>148.4</v>
      </c>
      <c r="D389" t="s">
        <v>54</v>
      </c>
      <c r="E389" s="207" t="s">
        <v>31</v>
      </c>
      <c r="F389" t="s">
        <v>32</v>
      </c>
      <c r="G389" s="204" t="s">
        <v>1610</v>
      </c>
      <c r="H389" t="s">
        <v>1611</v>
      </c>
      <c r="I389" s="204" t="s">
        <v>35</v>
      </c>
      <c r="J389" t="s">
        <v>36</v>
      </c>
      <c r="K389" s="209"/>
    </row>
    <row r="390" spans="1:11" ht="13.9" hidden="1">
      <c r="A390" s="204" t="s">
        <v>1612</v>
      </c>
      <c r="B390" t="s">
        <v>1613</v>
      </c>
      <c r="C390" s="205">
        <v>1.6</v>
      </c>
      <c r="D390" t="s">
        <v>196</v>
      </c>
      <c r="E390" s="207" t="s">
        <v>31</v>
      </c>
      <c r="F390" t="s">
        <v>32</v>
      </c>
      <c r="G390" s="204" t="s">
        <v>1614</v>
      </c>
      <c r="H390" t="s">
        <v>1615</v>
      </c>
      <c r="I390" s="204" t="s">
        <v>35</v>
      </c>
      <c r="J390" t="s">
        <v>36</v>
      </c>
      <c r="K390" s="209"/>
    </row>
    <row r="391" spans="1:11" ht="13.9" hidden="1">
      <c r="A391" s="204" t="s">
        <v>1616</v>
      </c>
      <c r="B391" t="s">
        <v>1617</v>
      </c>
      <c r="C391" s="205">
        <v>97.33</v>
      </c>
      <c r="D391" t="s">
        <v>54</v>
      </c>
      <c r="E391" s="207" t="s">
        <v>31</v>
      </c>
      <c r="F391" t="s">
        <v>32</v>
      </c>
      <c r="G391" s="204" t="s">
        <v>1618</v>
      </c>
      <c r="H391" t="s">
        <v>1619</v>
      </c>
      <c r="I391" s="204" t="s">
        <v>35</v>
      </c>
      <c r="J391" t="s">
        <v>36</v>
      </c>
      <c r="K391" s="209"/>
    </row>
    <row r="392" spans="1:11" ht="13.9" hidden="1">
      <c r="A392" s="204" t="s">
        <v>1620</v>
      </c>
      <c r="B392" t="s">
        <v>1621</v>
      </c>
      <c r="C392" s="205">
        <v>89.04</v>
      </c>
      <c r="D392" t="s">
        <v>39</v>
      </c>
      <c r="E392" s="207" t="s">
        <v>31</v>
      </c>
      <c r="F392" t="s">
        <v>32</v>
      </c>
      <c r="G392" s="204" t="s">
        <v>1622</v>
      </c>
      <c r="H392" t="s">
        <v>1623</v>
      </c>
      <c r="I392" s="204" t="s">
        <v>35</v>
      </c>
      <c r="J392" t="s">
        <v>36</v>
      </c>
      <c r="K392" s="209"/>
    </row>
    <row r="393" spans="1:11" ht="13.9" hidden="1">
      <c r="A393" s="204" t="s">
        <v>1624</v>
      </c>
      <c r="B393" t="s">
        <v>1625</v>
      </c>
      <c r="C393" s="205">
        <v>51.67</v>
      </c>
      <c r="D393" t="s">
        <v>39</v>
      </c>
      <c r="E393" s="207" t="s">
        <v>31</v>
      </c>
      <c r="F393" t="s">
        <v>32</v>
      </c>
      <c r="G393" s="204" t="s">
        <v>1626</v>
      </c>
      <c r="H393" t="s">
        <v>1627</v>
      </c>
      <c r="I393" s="204" t="s">
        <v>35</v>
      </c>
      <c r="J393" t="s">
        <v>36</v>
      </c>
      <c r="K393" s="209"/>
    </row>
    <row r="394" spans="1:11" ht="13.9" hidden="1">
      <c r="A394" s="204" t="s">
        <v>1628</v>
      </c>
      <c r="B394" t="s">
        <v>1629</v>
      </c>
      <c r="C394" s="205">
        <v>477</v>
      </c>
      <c r="D394" t="s">
        <v>30</v>
      </c>
      <c r="E394" s="207" t="s">
        <v>31</v>
      </c>
      <c r="F394" t="s">
        <v>32</v>
      </c>
      <c r="G394" s="204" t="s">
        <v>1630</v>
      </c>
      <c r="H394" t="s">
        <v>1631</v>
      </c>
      <c r="I394" s="204" t="s">
        <v>35</v>
      </c>
      <c r="J394" t="s">
        <v>36</v>
      </c>
      <c r="K394" s="209"/>
    </row>
    <row r="395" spans="1:11" ht="13.9" hidden="1">
      <c r="A395" s="204" t="s">
        <v>1632</v>
      </c>
      <c r="B395" t="s">
        <v>1633</v>
      </c>
      <c r="C395" s="205">
        <v>296</v>
      </c>
      <c r="D395" t="s">
        <v>30</v>
      </c>
      <c r="E395" s="207" t="s">
        <v>31</v>
      </c>
      <c r="F395" t="s">
        <v>32</v>
      </c>
      <c r="G395" s="204" t="s">
        <v>1634</v>
      </c>
      <c r="H395" t="s">
        <v>1635</v>
      </c>
      <c r="I395" s="204" t="s">
        <v>35</v>
      </c>
      <c r="J395" t="s">
        <v>36</v>
      </c>
      <c r="K395" s="209"/>
    </row>
    <row r="396" spans="1:11" ht="13.9" hidden="1">
      <c r="A396" s="204" t="s">
        <v>1636</v>
      </c>
      <c r="B396" t="s">
        <v>1637</v>
      </c>
      <c r="C396" s="205">
        <v>47</v>
      </c>
      <c r="D396" t="s">
        <v>54</v>
      </c>
      <c r="E396" s="207" t="s">
        <v>31</v>
      </c>
      <c r="F396" t="s">
        <v>32</v>
      </c>
      <c r="G396" s="204" t="s">
        <v>1638</v>
      </c>
      <c r="H396" t="s">
        <v>1639</v>
      </c>
      <c r="I396" s="204" t="s">
        <v>35</v>
      </c>
      <c r="J396" t="s">
        <v>36</v>
      </c>
      <c r="K396" s="209"/>
    </row>
    <row r="397" spans="1:11" ht="13.9" hidden="1">
      <c r="A397" s="204" t="s">
        <v>1640</v>
      </c>
      <c r="B397" t="s">
        <v>1641</v>
      </c>
      <c r="C397" s="205">
        <v>5300</v>
      </c>
      <c r="D397" t="s">
        <v>30</v>
      </c>
      <c r="E397" s="207" t="s">
        <v>31</v>
      </c>
      <c r="F397" t="s">
        <v>32</v>
      </c>
      <c r="G397" s="204" t="s">
        <v>1642</v>
      </c>
      <c r="H397" t="s">
        <v>1643</v>
      </c>
      <c r="I397" s="204" t="s">
        <v>35</v>
      </c>
      <c r="J397" t="s">
        <v>36</v>
      </c>
      <c r="K397" s="209"/>
    </row>
    <row r="398" spans="1:11" ht="13.9" hidden="1">
      <c r="A398" s="204" t="s">
        <v>1644</v>
      </c>
      <c r="B398" t="s">
        <v>1645</v>
      </c>
      <c r="C398" s="205">
        <v>53</v>
      </c>
      <c r="D398" t="s">
        <v>196</v>
      </c>
      <c r="E398" s="207" t="s">
        <v>31</v>
      </c>
      <c r="F398" t="s">
        <v>32</v>
      </c>
      <c r="G398" s="204" t="s">
        <v>1646</v>
      </c>
      <c r="H398" t="s">
        <v>1647</v>
      </c>
      <c r="I398" s="204" t="s">
        <v>35</v>
      </c>
      <c r="J398" t="s">
        <v>36</v>
      </c>
      <c r="K398" s="209"/>
    </row>
    <row r="399" spans="1:11" ht="13.9" hidden="1">
      <c r="A399" s="204" t="s">
        <v>1648</v>
      </c>
      <c r="B399" t="s">
        <v>1649</v>
      </c>
      <c r="C399" s="205">
        <v>1590</v>
      </c>
      <c r="D399" t="s">
        <v>30</v>
      </c>
      <c r="E399" s="207" t="s">
        <v>31</v>
      </c>
      <c r="F399" t="s">
        <v>32</v>
      </c>
      <c r="G399" s="204" t="s">
        <v>1650</v>
      </c>
      <c r="H399" t="s">
        <v>1651</v>
      </c>
      <c r="I399" s="204" t="s">
        <v>35</v>
      </c>
      <c r="J399" t="s">
        <v>36</v>
      </c>
      <c r="K399" s="209"/>
    </row>
    <row r="400" spans="1:11" ht="13.9" hidden="1">
      <c r="A400" s="204" t="s">
        <v>1652</v>
      </c>
      <c r="B400" t="s">
        <v>1653</v>
      </c>
      <c r="C400" s="205">
        <v>127.2</v>
      </c>
      <c r="D400" t="s">
        <v>30</v>
      </c>
      <c r="E400" s="207" t="s">
        <v>31</v>
      </c>
      <c r="F400" t="s">
        <v>32</v>
      </c>
      <c r="G400" s="204" t="s">
        <v>1654</v>
      </c>
      <c r="H400" t="s">
        <v>1655</v>
      </c>
      <c r="I400" s="204" t="s">
        <v>35</v>
      </c>
      <c r="J400" t="s">
        <v>36</v>
      </c>
      <c r="K400" s="209"/>
    </row>
    <row r="401" spans="1:11" ht="13.9" hidden="1">
      <c r="A401" s="204" t="s">
        <v>1656</v>
      </c>
      <c r="B401" t="s">
        <v>1657</v>
      </c>
      <c r="C401" s="205">
        <v>206.7</v>
      </c>
      <c r="D401" t="s">
        <v>90</v>
      </c>
      <c r="E401" s="207" t="s">
        <v>31</v>
      </c>
      <c r="F401" t="s">
        <v>32</v>
      </c>
      <c r="G401" s="204" t="s">
        <v>1658</v>
      </c>
      <c r="H401" t="s">
        <v>1659</v>
      </c>
      <c r="I401" s="204" t="s">
        <v>35</v>
      </c>
      <c r="J401" t="s">
        <v>36</v>
      </c>
      <c r="K401" s="209"/>
    </row>
    <row r="402" spans="1:11" ht="13.9" hidden="1">
      <c r="A402" s="204" t="s">
        <v>1660</v>
      </c>
      <c r="B402" t="s">
        <v>1661</v>
      </c>
      <c r="C402" s="205">
        <v>91.88</v>
      </c>
      <c r="D402" t="s">
        <v>39</v>
      </c>
      <c r="E402" s="207" t="s">
        <v>31</v>
      </c>
      <c r="F402" t="s">
        <v>32</v>
      </c>
      <c r="G402" s="204" t="s">
        <v>1662</v>
      </c>
      <c r="H402" t="s">
        <v>1663</v>
      </c>
      <c r="I402" s="204" t="s">
        <v>35</v>
      </c>
      <c r="J402" t="s">
        <v>36</v>
      </c>
      <c r="K402" s="209"/>
    </row>
    <row r="403" spans="1:11" ht="13.9" hidden="1">
      <c r="A403" s="204" t="s">
        <v>1664</v>
      </c>
      <c r="B403" t="s">
        <v>1665</v>
      </c>
      <c r="C403" s="205">
        <v>161.12</v>
      </c>
      <c r="D403" t="s">
        <v>30</v>
      </c>
      <c r="E403" s="207" t="s">
        <v>31</v>
      </c>
      <c r="F403" t="s">
        <v>32</v>
      </c>
      <c r="G403" s="204" t="s">
        <v>1666</v>
      </c>
      <c r="H403" t="s">
        <v>1667</v>
      </c>
      <c r="I403" s="204" t="s">
        <v>35</v>
      </c>
      <c r="J403" t="s">
        <v>36</v>
      </c>
      <c r="K403" s="209"/>
    </row>
    <row r="404" spans="1:11" ht="13.9" hidden="1">
      <c r="A404" s="204" t="s">
        <v>1668</v>
      </c>
      <c r="B404" t="s">
        <v>1669</v>
      </c>
      <c r="C404" s="205">
        <v>212</v>
      </c>
      <c r="D404" t="s">
        <v>30</v>
      </c>
      <c r="E404" s="207" t="s">
        <v>31</v>
      </c>
      <c r="F404" t="s">
        <v>32</v>
      </c>
      <c r="G404" s="204" t="s">
        <v>1670</v>
      </c>
      <c r="H404" t="s">
        <v>1671</v>
      </c>
      <c r="I404" s="204" t="s">
        <v>35</v>
      </c>
      <c r="J404" t="s">
        <v>36</v>
      </c>
      <c r="K404" s="209"/>
    </row>
    <row r="405" spans="1:11" ht="13.9" hidden="1">
      <c r="A405" s="204" t="s">
        <v>1672</v>
      </c>
      <c r="B405" t="s">
        <v>1673</v>
      </c>
      <c r="C405" s="205">
        <v>848</v>
      </c>
      <c r="D405" t="s">
        <v>85</v>
      </c>
      <c r="E405" s="207" t="s">
        <v>31</v>
      </c>
      <c r="F405" t="s">
        <v>32</v>
      </c>
      <c r="G405" s="204" t="s">
        <v>1674</v>
      </c>
      <c r="H405" t="s">
        <v>1675</v>
      </c>
      <c r="I405" s="204" t="s">
        <v>35</v>
      </c>
      <c r="J405" t="s">
        <v>36</v>
      </c>
      <c r="K405" s="209"/>
    </row>
    <row r="406" spans="1:11" ht="13.9" hidden="1">
      <c r="A406" s="204" t="s">
        <v>1676</v>
      </c>
      <c r="B406" t="s">
        <v>1677</v>
      </c>
      <c r="C406" s="205">
        <v>424</v>
      </c>
      <c r="D406" t="s">
        <v>90</v>
      </c>
      <c r="E406" s="207" t="s">
        <v>31</v>
      </c>
      <c r="F406" t="s">
        <v>32</v>
      </c>
      <c r="G406" s="204" t="s">
        <v>1678</v>
      </c>
      <c r="H406" t="s">
        <v>1679</v>
      </c>
      <c r="I406" s="204" t="s">
        <v>35</v>
      </c>
      <c r="J406" t="s">
        <v>36</v>
      </c>
      <c r="K406" s="209"/>
    </row>
    <row r="407" spans="1:11" ht="13.9" hidden="1">
      <c r="A407" s="204" t="s">
        <v>1680</v>
      </c>
      <c r="B407" t="s">
        <v>1681</v>
      </c>
      <c r="C407" s="205">
        <v>433.33</v>
      </c>
      <c r="D407" t="s">
        <v>39</v>
      </c>
      <c r="E407" s="207" t="s">
        <v>31</v>
      </c>
      <c r="F407" t="s">
        <v>32</v>
      </c>
      <c r="G407" s="204" t="s">
        <v>1682</v>
      </c>
      <c r="H407" t="s">
        <v>1683</v>
      </c>
      <c r="I407" s="204" t="s">
        <v>35</v>
      </c>
      <c r="J407" t="s">
        <v>36</v>
      </c>
      <c r="K407" s="209"/>
    </row>
    <row r="408" spans="1:11" ht="13.9" hidden="1">
      <c r="A408" s="204" t="s">
        <v>1684</v>
      </c>
      <c r="B408" t="s">
        <v>1685</v>
      </c>
      <c r="C408" s="205">
        <v>402.8</v>
      </c>
      <c r="D408" t="s">
        <v>44</v>
      </c>
      <c r="E408" s="207" t="s">
        <v>31</v>
      </c>
      <c r="F408" t="s">
        <v>32</v>
      </c>
      <c r="G408" s="204" t="s">
        <v>1686</v>
      </c>
      <c r="H408" t="s">
        <v>1687</v>
      </c>
      <c r="I408" s="204" t="s">
        <v>35</v>
      </c>
      <c r="J408" t="s">
        <v>36</v>
      </c>
      <c r="K408" s="209"/>
    </row>
    <row r="409" spans="1:11" ht="13.9" hidden="1">
      <c r="A409" s="204" t="s">
        <v>1688</v>
      </c>
      <c r="B409" t="s">
        <v>1689</v>
      </c>
      <c r="C409" s="205">
        <v>466.67</v>
      </c>
      <c r="D409" t="s">
        <v>30</v>
      </c>
      <c r="E409" s="207" t="s">
        <v>31</v>
      </c>
      <c r="F409" t="s">
        <v>32</v>
      </c>
      <c r="G409" s="204" t="s">
        <v>1690</v>
      </c>
      <c r="H409" t="s">
        <v>1691</v>
      </c>
      <c r="I409" s="204" t="s">
        <v>35</v>
      </c>
      <c r="J409" t="s">
        <v>36</v>
      </c>
      <c r="K409" s="209"/>
    </row>
    <row r="410" spans="1:11" ht="13.9">
      <c r="A410" s="204" t="s">
        <v>1692</v>
      </c>
      <c r="B410" t="s">
        <v>1693</v>
      </c>
      <c r="C410" s="205">
        <v>0.1</v>
      </c>
      <c r="D410" t="s">
        <v>49</v>
      </c>
      <c r="E410" s="207" t="s">
        <v>31</v>
      </c>
      <c r="F410" t="s">
        <v>32</v>
      </c>
      <c r="G410" s="204" t="s">
        <v>1694</v>
      </c>
      <c r="H410" t="s">
        <v>1695</v>
      </c>
      <c r="I410" s="204" t="s">
        <v>35</v>
      </c>
      <c r="J410" t="s">
        <v>36</v>
      </c>
      <c r="K410" s="209"/>
    </row>
    <row r="411" spans="1:11" ht="13.9" hidden="1">
      <c r="A411" s="204" t="s">
        <v>1696</v>
      </c>
      <c r="B411" t="s">
        <v>1697</v>
      </c>
      <c r="C411" s="205">
        <v>174.9</v>
      </c>
      <c r="D411" t="s">
        <v>95</v>
      </c>
      <c r="E411" s="207" t="s">
        <v>31</v>
      </c>
      <c r="F411" t="s">
        <v>32</v>
      </c>
      <c r="G411" s="204" t="s">
        <v>1698</v>
      </c>
      <c r="H411" t="s">
        <v>1699</v>
      </c>
      <c r="I411" s="204" t="s">
        <v>35</v>
      </c>
      <c r="J411" t="s">
        <v>36</v>
      </c>
      <c r="K411" s="209"/>
    </row>
    <row r="412" spans="1:11" ht="13.9" hidden="1">
      <c r="A412" s="204" t="s">
        <v>1700</v>
      </c>
      <c r="B412" t="s">
        <v>1701</v>
      </c>
      <c r="C412" s="205">
        <v>240.42</v>
      </c>
      <c r="D412" t="s">
        <v>39</v>
      </c>
      <c r="E412" s="207" t="s">
        <v>31</v>
      </c>
      <c r="F412" t="s">
        <v>32</v>
      </c>
      <c r="G412" s="204" t="s">
        <v>1702</v>
      </c>
      <c r="H412" t="s">
        <v>1703</v>
      </c>
      <c r="I412" s="204" t="s">
        <v>35</v>
      </c>
      <c r="J412" t="s">
        <v>36</v>
      </c>
      <c r="K412" s="209"/>
    </row>
    <row r="413" spans="1:11" ht="13.9" hidden="1">
      <c r="A413" s="204" t="s">
        <v>1704</v>
      </c>
      <c r="B413" t="s">
        <v>1705</v>
      </c>
      <c r="C413" s="205">
        <v>31</v>
      </c>
      <c r="D413" t="s">
        <v>54</v>
      </c>
      <c r="E413" s="207" t="s">
        <v>31</v>
      </c>
      <c r="F413" t="s">
        <v>32</v>
      </c>
      <c r="G413" s="204" t="s">
        <v>1706</v>
      </c>
      <c r="H413" t="s">
        <v>1707</v>
      </c>
      <c r="I413" s="204" t="s">
        <v>35</v>
      </c>
      <c r="J413" t="s">
        <v>36</v>
      </c>
      <c r="K413" s="209"/>
    </row>
    <row r="414" spans="1:11" ht="13.9" hidden="1">
      <c r="A414" s="204" t="s">
        <v>1708</v>
      </c>
      <c r="B414" t="s">
        <v>1709</v>
      </c>
      <c r="C414" s="205">
        <v>125</v>
      </c>
      <c r="D414" t="s">
        <v>39</v>
      </c>
      <c r="E414" s="207" t="s">
        <v>31</v>
      </c>
      <c r="F414" t="s">
        <v>32</v>
      </c>
      <c r="G414" s="204" t="s">
        <v>1710</v>
      </c>
      <c r="H414" t="s">
        <v>1711</v>
      </c>
      <c r="I414" s="204" t="s">
        <v>35</v>
      </c>
      <c r="J414" t="s">
        <v>36</v>
      </c>
      <c r="K414" s="209"/>
    </row>
    <row r="415" spans="1:11" ht="13.9" hidden="1">
      <c r="A415" s="204" t="s">
        <v>1712</v>
      </c>
      <c r="B415" t="s">
        <v>1713</v>
      </c>
      <c r="C415" s="205">
        <v>137.80000000000001</v>
      </c>
      <c r="D415" t="s">
        <v>1714</v>
      </c>
      <c r="E415" s="207" t="s">
        <v>31</v>
      </c>
      <c r="F415" t="s">
        <v>32</v>
      </c>
      <c r="G415" s="204" t="s">
        <v>1715</v>
      </c>
      <c r="H415" t="s">
        <v>1716</v>
      </c>
      <c r="I415" s="204" t="s">
        <v>35</v>
      </c>
      <c r="J415" t="s">
        <v>36</v>
      </c>
      <c r="K415" s="209"/>
    </row>
    <row r="416" spans="1:11" ht="13.9" hidden="1">
      <c r="A416" s="204" t="s">
        <v>1717</v>
      </c>
      <c r="B416" t="s">
        <v>1718</v>
      </c>
      <c r="C416" s="205">
        <v>636</v>
      </c>
      <c r="D416" t="s">
        <v>30</v>
      </c>
      <c r="E416" s="207" t="s">
        <v>31</v>
      </c>
      <c r="F416" t="s">
        <v>32</v>
      </c>
      <c r="G416" s="204" t="s">
        <v>1719</v>
      </c>
      <c r="H416" t="s">
        <v>1720</v>
      </c>
      <c r="I416" s="204" t="s">
        <v>35</v>
      </c>
      <c r="J416" t="s">
        <v>36</v>
      </c>
      <c r="K416" s="209"/>
    </row>
    <row r="417" spans="1:11" ht="13.9" hidden="1">
      <c r="A417" s="204" t="s">
        <v>1721</v>
      </c>
      <c r="B417" t="s">
        <v>1722</v>
      </c>
      <c r="C417" s="205">
        <v>0.95</v>
      </c>
      <c r="D417" t="s">
        <v>196</v>
      </c>
      <c r="E417" s="207" t="s">
        <v>31</v>
      </c>
      <c r="F417" t="s">
        <v>32</v>
      </c>
      <c r="G417" s="204" t="s">
        <v>1723</v>
      </c>
      <c r="H417" t="s">
        <v>1724</v>
      </c>
      <c r="I417" s="204" t="s">
        <v>35</v>
      </c>
      <c r="J417" t="s">
        <v>36</v>
      </c>
      <c r="K417" s="209"/>
    </row>
    <row r="418" spans="1:11" ht="13.9" hidden="1">
      <c r="A418" s="204" t="s">
        <v>1725</v>
      </c>
      <c r="B418" t="s">
        <v>1726</v>
      </c>
      <c r="C418" s="205">
        <v>530</v>
      </c>
      <c r="D418" t="s">
        <v>39</v>
      </c>
      <c r="E418" s="207" t="s">
        <v>31</v>
      </c>
      <c r="F418" t="s">
        <v>32</v>
      </c>
      <c r="G418" s="204" t="s">
        <v>1727</v>
      </c>
      <c r="H418" t="s">
        <v>1728</v>
      </c>
      <c r="I418" s="204" t="s">
        <v>35</v>
      </c>
      <c r="J418" t="s">
        <v>36</v>
      </c>
      <c r="K418" s="209"/>
    </row>
    <row r="419" spans="1:11" ht="13.9" hidden="1">
      <c r="A419" s="204" t="s">
        <v>1729</v>
      </c>
      <c r="B419" t="s">
        <v>1730</v>
      </c>
      <c r="C419" s="205">
        <v>1272</v>
      </c>
      <c r="D419" t="s">
        <v>237</v>
      </c>
      <c r="E419" s="207" t="s">
        <v>31</v>
      </c>
      <c r="F419" t="s">
        <v>32</v>
      </c>
      <c r="G419" s="204" t="s">
        <v>1731</v>
      </c>
      <c r="H419" t="s">
        <v>1732</v>
      </c>
      <c r="I419" s="204" t="s">
        <v>35</v>
      </c>
      <c r="J419" t="s">
        <v>36</v>
      </c>
      <c r="K419" s="209"/>
    </row>
    <row r="420" spans="1:11" ht="13.9" hidden="1">
      <c r="A420" s="204" t="s">
        <v>1733</v>
      </c>
      <c r="B420" t="s">
        <v>1734</v>
      </c>
      <c r="C420" s="205">
        <v>1272</v>
      </c>
      <c r="D420" t="s">
        <v>163</v>
      </c>
      <c r="E420" s="207" t="s">
        <v>31</v>
      </c>
      <c r="F420" t="s">
        <v>32</v>
      </c>
      <c r="G420" s="204" t="s">
        <v>1735</v>
      </c>
      <c r="H420" t="s">
        <v>1736</v>
      </c>
      <c r="I420" s="204" t="s">
        <v>35</v>
      </c>
      <c r="J420" t="s">
        <v>36</v>
      </c>
      <c r="K420" s="209"/>
    </row>
    <row r="421" spans="1:11" ht="13.9" hidden="1">
      <c r="A421" s="204" t="s">
        <v>1737</v>
      </c>
      <c r="B421" t="s">
        <v>1738</v>
      </c>
      <c r="C421" s="205">
        <v>106</v>
      </c>
      <c r="D421" t="s">
        <v>54</v>
      </c>
      <c r="E421" s="207" t="s">
        <v>31</v>
      </c>
      <c r="F421" t="s">
        <v>32</v>
      </c>
      <c r="G421" s="204" t="s">
        <v>1739</v>
      </c>
      <c r="H421" t="s">
        <v>1740</v>
      </c>
      <c r="I421" s="204" t="s">
        <v>35</v>
      </c>
      <c r="J421" t="s">
        <v>36</v>
      </c>
      <c r="K421" s="209"/>
    </row>
    <row r="422" spans="1:11" ht="13.9" hidden="1">
      <c r="A422" s="204" t="s">
        <v>1741</v>
      </c>
      <c r="B422" t="s">
        <v>1742</v>
      </c>
      <c r="C422" s="205">
        <v>1272</v>
      </c>
      <c r="D422" t="s">
        <v>30</v>
      </c>
      <c r="E422" s="207" t="s">
        <v>31</v>
      </c>
      <c r="F422" t="s">
        <v>32</v>
      </c>
      <c r="G422" s="204" t="s">
        <v>1743</v>
      </c>
      <c r="H422" t="s">
        <v>1744</v>
      </c>
      <c r="I422" s="204" t="s">
        <v>35</v>
      </c>
      <c r="J422" t="s">
        <v>36</v>
      </c>
      <c r="K422" s="209"/>
    </row>
    <row r="423" spans="1:11" ht="13.9" hidden="1">
      <c r="A423" s="204" t="s">
        <v>1745</v>
      </c>
      <c r="B423" t="s">
        <v>1746</v>
      </c>
      <c r="C423" s="205">
        <v>50.88</v>
      </c>
      <c r="D423" t="s">
        <v>30</v>
      </c>
      <c r="E423" s="207" t="s">
        <v>31</v>
      </c>
      <c r="F423" t="s">
        <v>32</v>
      </c>
      <c r="G423" s="204" t="s">
        <v>1747</v>
      </c>
      <c r="H423" t="s">
        <v>1748</v>
      </c>
      <c r="I423" s="204" t="s">
        <v>35</v>
      </c>
      <c r="J423" t="s">
        <v>36</v>
      </c>
      <c r="K423" s="209"/>
    </row>
    <row r="424" spans="1:11" ht="13.9" hidden="1">
      <c r="A424" s="204" t="s">
        <v>1749</v>
      </c>
      <c r="B424" t="s">
        <v>1750</v>
      </c>
      <c r="C424" s="205">
        <v>159</v>
      </c>
      <c r="D424" t="s">
        <v>44</v>
      </c>
      <c r="E424" s="207" t="s">
        <v>31</v>
      </c>
      <c r="F424" t="s">
        <v>32</v>
      </c>
      <c r="G424" s="204" t="s">
        <v>1751</v>
      </c>
      <c r="H424" t="s">
        <v>1752</v>
      </c>
      <c r="I424" s="204" t="s">
        <v>35</v>
      </c>
      <c r="J424" t="s">
        <v>36</v>
      </c>
      <c r="K424" s="209"/>
    </row>
    <row r="425" spans="1:11" ht="13.9">
      <c r="A425" s="204" t="s">
        <v>1753</v>
      </c>
      <c r="B425" t="s">
        <v>1754</v>
      </c>
      <c r="C425" s="205">
        <v>750</v>
      </c>
      <c r="D425" t="s">
        <v>400</v>
      </c>
      <c r="E425" s="207" t="s">
        <v>31</v>
      </c>
      <c r="F425" t="s">
        <v>32</v>
      </c>
      <c r="G425" s="204" t="s">
        <v>1755</v>
      </c>
      <c r="H425" t="s">
        <v>1756</v>
      </c>
      <c r="I425" s="204" t="s">
        <v>35</v>
      </c>
      <c r="J425" t="s">
        <v>36</v>
      </c>
      <c r="K425" s="209"/>
    </row>
    <row r="426" spans="1:11" ht="13.9" hidden="1">
      <c r="A426" s="204" t="s">
        <v>1757</v>
      </c>
      <c r="B426" t="s">
        <v>1758</v>
      </c>
      <c r="C426" s="205">
        <v>56</v>
      </c>
      <c r="D426" t="s">
        <v>39</v>
      </c>
      <c r="E426" s="207" t="s">
        <v>31</v>
      </c>
      <c r="F426" t="s">
        <v>32</v>
      </c>
      <c r="G426" s="204" t="s">
        <v>1759</v>
      </c>
      <c r="H426" t="s">
        <v>1760</v>
      </c>
      <c r="I426" s="204" t="s">
        <v>35</v>
      </c>
      <c r="J426" t="s">
        <v>36</v>
      </c>
      <c r="K426" s="209"/>
    </row>
    <row r="427" spans="1:11" ht="13.9" hidden="1">
      <c r="A427" s="204" t="s">
        <v>1761</v>
      </c>
      <c r="B427" t="s">
        <v>1762</v>
      </c>
      <c r="C427" s="205">
        <v>106</v>
      </c>
      <c r="D427" t="s">
        <v>90</v>
      </c>
      <c r="E427" s="207" t="s">
        <v>31</v>
      </c>
      <c r="F427" t="s">
        <v>32</v>
      </c>
      <c r="G427" s="204" t="s">
        <v>1763</v>
      </c>
      <c r="H427" t="s">
        <v>1764</v>
      </c>
      <c r="I427" s="204" t="s">
        <v>35</v>
      </c>
      <c r="J427" t="s">
        <v>36</v>
      </c>
      <c r="K427" s="209"/>
    </row>
    <row r="428" spans="1:11" ht="13.9" hidden="1">
      <c r="A428" s="204" t="s">
        <v>1765</v>
      </c>
      <c r="B428" t="s">
        <v>1766</v>
      </c>
      <c r="C428" s="205">
        <v>636</v>
      </c>
      <c r="D428" t="s">
        <v>359</v>
      </c>
      <c r="E428" s="207" t="s">
        <v>31</v>
      </c>
      <c r="F428" t="s">
        <v>32</v>
      </c>
      <c r="G428" s="204" t="s">
        <v>1767</v>
      </c>
      <c r="H428" t="s">
        <v>1768</v>
      </c>
      <c r="I428" s="204" t="s">
        <v>35</v>
      </c>
      <c r="J428" t="s">
        <v>36</v>
      </c>
      <c r="K428" s="209"/>
    </row>
    <row r="429" spans="1:11" ht="13.9" hidden="1">
      <c r="A429" s="204" t="s">
        <v>1769</v>
      </c>
      <c r="B429" t="s">
        <v>1770</v>
      </c>
      <c r="C429" s="205">
        <v>2756</v>
      </c>
      <c r="D429" t="s">
        <v>76</v>
      </c>
      <c r="E429" s="207" t="s">
        <v>31</v>
      </c>
      <c r="F429" t="s">
        <v>32</v>
      </c>
      <c r="G429" s="204" t="s">
        <v>1771</v>
      </c>
      <c r="H429" t="s">
        <v>1772</v>
      </c>
      <c r="I429" s="204" t="s">
        <v>35</v>
      </c>
      <c r="J429" t="s">
        <v>36</v>
      </c>
      <c r="K429" s="209"/>
    </row>
    <row r="430" spans="1:11" ht="13.9" hidden="1">
      <c r="A430" s="204" t="s">
        <v>1773</v>
      </c>
      <c r="B430" t="s">
        <v>1774</v>
      </c>
      <c r="C430" s="205">
        <v>493.33</v>
      </c>
      <c r="D430" t="s">
        <v>30</v>
      </c>
      <c r="E430" s="207" t="s">
        <v>31</v>
      </c>
      <c r="F430" t="s">
        <v>32</v>
      </c>
      <c r="G430" s="204" t="s">
        <v>1775</v>
      </c>
      <c r="H430" t="s">
        <v>1776</v>
      </c>
      <c r="I430" s="204" t="s">
        <v>35</v>
      </c>
      <c r="J430" t="s">
        <v>36</v>
      </c>
      <c r="K430" s="209"/>
    </row>
    <row r="431" spans="1:11" ht="13.9" hidden="1">
      <c r="A431" s="204" t="s">
        <v>1777</v>
      </c>
      <c r="B431" t="s">
        <v>1778</v>
      </c>
      <c r="C431" s="205">
        <v>636</v>
      </c>
      <c r="D431" t="s">
        <v>30</v>
      </c>
      <c r="E431" s="207" t="s">
        <v>31</v>
      </c>
      <c r="F431" t="s">
        <v>32</v>
      </c>
      <c r="G431" s="204" t="s">
        <v>1779</v>
      </c>
      <c r="H431" t="s">
        <v>1780</v>
      </c>
      <c r="I431" s="204" t="s">
        <v>35</v>
      </c>
      <c r="J431" t="s">
        <v>36</v>
      </c>
      <c r="K431" s="209"/>
    </row>
    <row r="432" spans="1:11" ht="13.9" hidden="1">
      <c r="A432" s="204" t="s">
        <v>1781</v>
      </c>
      <c r="B432" t="s">
        <v>1782</v>
      </c>
      <c r="C432" s="205">
        <v>212</v>
      </c>
      <c r="D432" t="s">
        <v>30</v>
      </c>
      <c r="E432" s="207" t="s">
        <v>31</v>
      </c>
      <c r="F432" t="s">
        <v>32</v>
      </c>
      <c r="G432" s="204" t="s">
        <v>1783</v>
      </c>
      <c r="H432" t="s">
        <v>1784</v>
      </c>
      <c r="I432" s="204" t="s">
        <v>35</v>
      </c>
      <c r="J432" t="s">
        <v>36</v>
      </c>
      <c r="K432" s="209"/>
    </row>
    <row r="433" spans="1:11" ht="13.9" hidden="1">
      <c r="A433" s="204" t="s">
        <v>1785</v>
      </c>
      <c r="B433" t="s">
        <v>1786</v>
      </c>
      <c r="C433" s="205">
        <v>126.67</v>
      </c>
      <c r="D433" t="s">
        <v>39</v>
      </c>
      <c r="E433" s="207" t="s">
        <v>31</v>
      </c>
      <c r="F433" t="s">
        <v>32</v>
      </c>
      <c r="G433" s="204" t="s">
        <v>1787</v>
      </c>
      <c r="H433" t="s">
        <v>1788</v>
      </c>
      <c r="I433" s="204" t="s">
        <v>35</v>
      </c>
      <c r="J433" t="s">
        <v>36</v>
      </c>
      <c r="K433" s="209"/>
    </row>
    <row r="434" spans="1:11" ht="13.9" hidden="1">
      <c r="A434" s="204" t="s">
        <v>1789</v>
      </c>
      <c r="B434" t="s">
        <v>1790</v>
      </c>
      <c r="C434" s="205">
        <v>410</v>
      </c>
      <c r="D434" t="s">
        <v>39</v>
      </c>
      <c r="E434" s="207" t="s">
        <v>31</v>
      </c>
      <c r="F434" t="s">
        <v>32</v>
      </c>
      <c r="G434" s="204" t="s">
        <v>1791</v>
      </c>
      <c r="H434" t="s">
        <v>1792</v>
      </c>
      <c r="I434" s="204" t="s">
        <v>35</v>
      </c>
      <c r="J434" t="s">
        <v>36</v>
      </c>
      <c r="K434" s="209"/>
    </row>
    <row r="435" spans="1:11" ht="13.9" hidden="1">
      <c r="A435" s="204" t="s">
        <v>1793</v>
      </c>
      <c r="B435" t="s">
        <v>1794</v>
      </c>
      <c r="C435" s="205">
        <v>4028</v>
      </c>
      <c r="D435" t="s">
        <v>1355</v>
      </c>
      <c r="E435" s="207" t="s">
        <v>31</v>
      </c>
      <c r="F435" t="s">
        <v>32</v>
      </c>
      <c r="G435" s="204" t="s">
        <v>1795</v>
      </c>
      <c r="H435" t="s">
        <v>1796</v>
      </c>
      <c r="I435" s="204" t="s">
        <v>35</v>
      </c>
      <c r="J435" t="s">
        <v>36</v>
      </c>
      <c r="K435" s="209"/>
    </row>
    <row r="436" spans="1:11" ht="13.9" hidden="1">
      <c r="A436" s="204" t="s">
        <v>1797</v>
      </c>
      <c r="B436" t="s">
        <v>1798</v>
      </c>
      <c r="C436" s="205">
        <v>498.2</v>
      </c>
      <c r="D436" t="s">
        <v>30</v>
      </c>
      <c r="E436" s="207" t="s">
        <v>31</v>
      </c>
      <c r="F436" t="s">
        <v>32</v>
      </c>
      <c r="G436" s="204" t="s">
        <v>1799</v>
      </c>
      <c r="H436" t="s">
        <v>1800</v>
      </c>
      <c r="I436" s="204" t="s">
        <v>35</v>
      </c>
      <c r="J436" t="s">
        <v>36</v>
      </c>
      <c r="K436" s="209"/>
    </row>
    <row r="437" spans="1:11" ht="13.9" hidden="1">
      <c r="A437" s="204" t="s">
        <v>1801</v>
      </c>
      <c r="B437" t="s">
        <v>1802</v>
      </c>
      <c r="C437" s="205">
        <v>1533.33</v>
      </c>
      <c r="D437" t="s">
        <v>76</v>
      </c>
      <c r="E437" s="207" t="s">
        <v>31</v>
      </c>
      <c r="F437" t="s">
        <v>32</v>
      </c>
      <c r="G437" s="204" t="s">
        <v>1803</v>
      </c>
      <c r="H437" t="s">
        <v>1804</v>
      </c>
      <c r="I437" s="204" t="s">
        <v>35</v>
      </c>
      <c r="J437" t="s">
        <v>36</v>
      </c>
      <c r="K437" s="209"/>
    </row>
    <row r="438" spans="1:11" ht="13.9" hidden="1">
      <c r="A438" s="204" t="s">
        <v>1805</v>
      </c>
      <c r="B438" t="s">
        <v>1806</v>
      </c>
      <c r="C438" s="205">
        <v>530</v>
      </c>
      <c r="D438" t="s">
        <v>30</v>
      </c>
      <c r="E438" s="207" t="s">
        <v>31</v>
      </c>
      <c r="F438" t="s">
        <v>32</v>
      </c>
      <c r="G438" s="204" t="s">
        <v>1807</v>
      </c>
      <c r="H438" t="s">
        <v>1808</v>
      </c>
      <c r="I438" s="204" t="s">
        <v>35</v>
      </c>
      <c r="J438" t="s">
        <v>36</v>
      </c>
      <c r="K438" s="209"/>
    </row>
    <row r="439" spans="1:11" ht="13.9" hidden="1">
      <c r="A439" s="204" t="s">
        <v>1809</v>
      </c>
      <c r="B439" t="s">
        <v>1810</v>
      </c>
      <c r="C439" s="205">
        <v>1060</v>
      </c>
      <c r="D439" t="s">
        <v>85</v>
      </c>
      <c r="E439" s="207" t="s">
        <v>31</v>
      </c>
      <c r="F439" t="s">
        <v>32</v>
      </c>
      <c r="G439" s="204" t="s">
        <v>1811</v>
      </c>
      <c r="H439" t="s">
        <v>1812</v>
      </c>
      <c r="I439" s="204" t="s">
        <v>35</v>
      </c>
      <c r="J439" t="s">
        <v>36</v>
      </c>
      <c r="K439" s="209"/>
    </row>
    <row r="440" spans="1:11" ht="13.9" hidden="1">
      <c r="A440" s="204" t="s">
        <v>1813</v>
      </c>
      <c r="B440" t="s">
        <v>1814</v>
      </c>
      <c r="C440" s="205">
        <v>103.88</v>
      </c>
      <c r="D440" t="s">
        <v>44</v>
      </c>
      <c r="E440" s="207" t="s">
        <v>31</v>
      </c>
      <c r="F440" t="s">
        <v>32</v>
      </c>
      <c r="G440" s="204" t="s">
        <v>1815</v>
      </c>
      <c r="H440" t="s">
        <v>1816</v>
      </c>
      <c r="I440" s="204" t="s">
        <v>35</v>
      </c>
      <c r="J440" t="s">
        <v>36</v>
      </c>
      <c r="K440" s="209"/>
    </row>
    <row r="441" spans="1:11" ht="13.9" hidden="1">
      <c r="A441" s="204" t="s">
        <v>1817</v>
      </c>
      <c r="B441" t="s">
        <v>1818</v>
      </c>
      <c r="C441" s="205">
        <v>95.4</v>
      </c>
      <c r="D441" t="s">
        <v>958</v>
      </c>
      <c r="E441" s="207" t="s">
        <v>31</v>
      </c>
      <c r="F441" t="s">
        <v>32</v>
      </c>
      <c r="G441" s="204" t="s">
        <v>1819</v>
      </c>
      <c r="H441" t="s">
        <v>1820</v>
      </c>
      <c r="I441" s="204" t="s">
        <v>35</v>
      </c>
      <c r="J441" t="s">
        <v>36</v>
      </c>
      <c r="K441" s="209"/>
    </row>
    <row r="442" spans="1:11" ht="13.9" hidden="1">
      <c r="A442" s="204" t="s">
        <v>1821</v>
      </c>
      <c r="B442" t="s">
        <v>1822</v>
      </c>
      <c r="C442" s="205">
        <v>73.33</v>
      </c>
      <c r="D442" t="s">
        <v>39</v>
      </c>
      <c r="E442" s="207" t="s">
        <v>31</v>
      </c>
      <c r="F442" t="s">
        <v>32</v>
      </c>
      <c r="G442" s="204" t="s">
        <v>1823</v>
      </c>
      <c r="H442" t="s">
        <v>1824</v>
      </c>
      <c r="I442" s="204" t="s">
        <v>35</v>
      </c>
      <c r="J442" t="s">
        <v>36</v>
      </c>
      <c r="K442" s="209"/>
    </row>
    <row r="443" spans="1:11" ht="13.9" hidden="1">
      <c r="A443" s="204" t="s">
        <v>1825</v>
      </c>
      <c r="B443" t="s">
        <v>1826</v>
      </c>
      <c r="C443" s="205">
        <v>4.5</v>
      </c>
      <c r="D443" t="s">
        <v>237</v>
      </c>
      <c r="E443" s="207" t="s">
        <v>31</v>
      </c>
      <c r="F443" t="s">
        <v>32</v>
      </c>
      <c r="G443" s="204" t="s">
        <v>1827</v>
      </c>
      <c r="H443" t="s">
        <v>1828</v>
      </c>
      <c r="I443" s="204" t="s">
        <v>35</v>
      </c>
      <c r="J443" t="s">
        <v>36</v>
      </c>
      <c r="K443" s="209"/>
    </row>
    <row r="444" spans="1:11" ht="13.9" hidden="1">
      <c r="A444" s="204" t="s">
        <v>1829</v>
      </c>
      <c r="B444" t="s">
        <v>1830</v>
      </c>
      <c r="C444" s="205">
        <v>742</v>
      </c>
      <c r="D444" t="s">
        <v>39</v>
      </c>
      <c r="E444" s="207" t="s">
        <v>31</v>
      </c>
      <c r="F444" t="s">
        <v>32</v>
      </c>
      <c r="G444" s="204" t="s">
        <v>1831</v>
      </c>
      <c r="H444" t="s">
        <v>1832</v>
      </c>
      <c r="I444" s="204" t="s">
        <v>35</v>
      </c>
      <c r="J444" t="s">
        <v>36</v>
      </c>
      <c r="K444" s="209"/>
    </row>
    <row r="445" spans="1:11" ht="13.9" hidden="1">
      <c r="A445" s="204" t="s">
        <v>1833</v>
      </c>
      <c r="B445" t="s">
        <v>1834</v>
      </c>
      <c r="C445" s="205">
        <v>126.67</v>
      </c>
      <c r="D445" t="s">
        <v>90</v>
      </c>
      <c r="E445" s="207" t="s">
        <v>31</v>
      </c>
      <c r="F445" t="s">
        <v>32</v>
      </c>
      <c r="G445" s="204" t="s">
        <v>1835</v>
      </c>
      <c r="H445" t="s">
        <v>1836</v>
      </c>
      <c r="I445" s="204" t="s">
        <v>35</v>
      </c>
      <c r="J445" t="s">
        <v>36</v>
      </c>
      <c r="K445" s="209"/>
    </row>
    <row r="446" spans="1:11" ht="13.9" hidden="1">
      <c r="A446" s="204" t="s">
        <v>1837</v>
      </c>
      <c r="B446" t="s">
        <v>1838</v>
      </c>
      <c r="C446" s="205">
        <v>25</v>
      </c>
      <c r="D446" t="s">
        <v>196</v>
      </c>
      <c r="E446" s="207" t="s">
        <v>31</v>
      </c>
      <c r="F446" t="s">
        <v>32</v>
      </c>
      <c r="G446" s="204" t="s">
        <v>1839</v>
      </c>
      <c r="H446" t="s">
        <v>1840</v>
      </c>
      <c r="I446" s="204" t="s">
        <v>35</v>
      </c>
      <c r="J446" t="s">
        <v>36</v>
      </c>
      <c r="K446" s="209"/>
    </row>
    <row r="447" spans="1:11" ht="13.9" hidden="1">
      <c r="A447" s="204" t="s">
        <v>1841</v>
      </c>
      <c r="B447" t="s">
        <v>1842</v>
      </c>
      <c r="C447" s="205">
        <v>318</v>
      </c>
      <c r="D447" t="s">
        <v>359</v>
      </c>
      <c r="E447" s="207" t="s">
        <v>31</v>
      </c>
      <c r="F447" t="s">
        <v>32</v>
      </c>
      <c r="G447" s="204" t="s">
        <v>1843</v>
      </c>
      <c r="H447" t="s">
        <v>1844</v>
      </c>
      <c r="I447" s="204" t="s">
        <v>35</v>
      </c>
      <c r="J447" t="s">
        <v>36</v>
      </c>
      <c r="K447" s="209"/>
    </row>
    <row r="448" spans="1:11" ht="13.9" hidden="1">
      <c r="A448" s="204" t="s">
        <v>1845</v>
      </c>
      <c r="B448" t="s">
        <v>1846</v>
      </c>
      <c r="C448" s="205">
        <v>37</v>
      </c>
      <c r="D448" t="s">
        <v>39</v>
      </c>
      <c r="E448" s="207" t="s">
        <v>31</v>
      </c>
      <c r="F448" t="s">
        <v>32</v>
      </c>
      <c r="G448" s="204" t="s">
        <v>1847</v>
      </c>
      <c r="H448" t="s">
        <v>1848</v>
      </c>
      <c r="I448" s="204" t="s">
        <v>35</v>
      </c>
      <c r="J448" t="s">
        <v>36</v>
      </c>
      <c r="K448" s="209"/>
    </row>
    <row r="449" spans="1:11" ht="13.9" hidden="1">
      <c r="A449" s="204" t="s">
        <v>1849</v>
      </c>
      <c r="B449" t="s">
        <v>1850</v>
      </c>
      <c r="C449" s="205">
        <v>2120</v>
      </c>
      <c r="D449" t="s">
        <v>85</v>
      </c>
      <c r="E449" s="207" t="s">
        <v>31</v>
      </c>
      <c r="F449" t="s">
        <v>32</v>
      </c>
      <c r="G449" s="204" t="s">
        <v>1851</v>
      </c>
      <c r="H449" t="s">
        <v>1852</v>
      </c>
      <c r="I449" s="204" t="s">
        <v>35</v>
      </c>
      <c r="J449" t="s">
        <v>36</v>
      </c>
      <c r="K449" s="209"/>
    </row>
    <row r="450" spans="1:11" ht="13.9" hidden="1">
      <c r="A450" s="204" t="s">
        <v>1853</v>
      </c>
      <c r="B450" t="s">
        <v>1854</v>
      </c>
      <c r="C450" s="205">
        <v>689</v>
      </c>
      <c r="D450" t="s">
        <v>30</v>
      </c>
      <c r="E450" s="207" t="s">
        <v>31</v>
      </c>
      <c r="F450" t="s">
        <v>32</v>
      </c>
      <c r="G450" s="204" t="s">
        <v>1855</v>
      </c>
      <c r="H450" t="s">
        <v>1856</v>
      </c>
      <c r="I450" s="204" t="s">
        <v>35</v>
      </c>
      <c r="J450" t="s">
        <v>36</v>
      </c>
      <c r="K450" s="209"/>
    </row>
    <row r="451" spans="1:11" ht="13.9" hidden="1">
      <c r="A451" s="204" t="s">
        <v>1857</v>
      </c>
      <c r="B451" t="s">
        <v>1858</v>
      </c>
      <c r="C451" s="205">
        <v>162.41</v>
      </c>
      <c r="D451" t="s">
        <v>54</v>
      </c>
      <c r="E451" s="207" t="s">
        <v>31</v>
      </c>
      <c r="F451" t="s">
        <v>32</v>
      </c>
      <c r="G451" s="204" t="s">
        <v>1859</v>
      </c>
      <c r="H451" t="s">
        <v>1860</v>
      </c>
      <c r="I451" s="204" t="s">
        <v>35</v>
      </c>
      <c r="J451" t="s">
        <v>36</v>
      </c>
      <c r="K451" s="209"/>
    </row>
    <row r="452" spans="1:11" ht="13.9" hidden="1">
      <c r="A452" s="204" t="s">
        <v>1861</v>
      </c>
      <c r="B452" t="s">
        <v>1862</v>
      </c>
      <c r="C452" s="205">
        <v>10.6</v>
      </c>
      <c r="D452" t="s">
        <v>39</v>
      </c>
      <c r="E452" s="207" t="s">
        <v>31</v>
      </c>
      <c r="F452" t="s">
        <v>32</v>
      </c>
      <c r="G452" s="204" t="s">
        <v>1863</v>
      </c>
      <c r="H452" t="s">
        <v>1864</v>
      </c>
      <c r="I452" s="204" t="s">
        <v>35</v>
      </c>
      <c r="J452" t="s">
        <v>36</v>
      </c>
      <c r="K452" s="209"/>
    </row>
    <row r="453" spans="1:11" ht="13.9" hidden="1">
      <c r="A453" s="204" t="s">
        <v>1865</v>
      </c>
      <c r="B453" t="s">
        <v>1866</v>
      </c>
      <c r="C453" s="205">
        <v>10.6</v>
      </c>
      <c r="D453" t="s">
        <v>141</v>
      </c>
      <c r="E453" s="207" t="s">
        <v>31</v>
      </c>
      <c r="F453" t="s">
        <v>32</v>
      </c>
      <c r="G453" s="204" t="s">
        <v>1867</v>
      </c>
      <c r="H453" t="s">
        <v>1868</v>
      </c>
      <c r="I453" s="204" t="s">
        <v>35</v>
      </c>
      <c r="J453" t="s">
        <v>36</v>
      </c>
      <c r="K453" s="209"/>
    </row>
    <row r="454" spans="1:11" ht="13.9" hidden="1">
      <c r="A454" s="204" t="s">
        <v>1869</v>
      </c>
      <c r="B454" t="s">
        <v>1870</v>
      </c>
      <c r="C454" s="205">
        <v>2433.33</v>
      </c>
      <c r="D454" t="s">
        <v>141</v>
      </c>
      <c r="E454" s="207" t="s">
        <v>31</v>
      </c>
      <c r="F454" t="s">
        <v>32</v>
      </c>
      <c r="G454" s="204" t="s">
        <v>1871</v>
      </c>
      <c r="H454" t="s">
        <v>1872</v>
      </c>
      <c r="I454" s="204" t="s">
        <v>35</v>
      </c>
      <c r="J454" t="s">
        <v>36</v>
      </c>
      <c r="K454" s="209"/>
    </row>
    <row r="455" spans="1:11" ht="13.9" hidden="1">
      <c r="A455" s="204" t="s">
        <v>1873</v>
      </c>
      <c r="B455" t="s">
        <v>1874</v>
      </c>
      <c r="C455" s="205">
        <v>185.5</v>
      </c>
      <c r="D455" t="s">
        <v>44</v>
      </c>
      <c r="E455" s="207" t="s">
        <v>31</v>
      </c>
      <c r="F455" t="s">
        <v>32</v>
      </c>
      <c r="G455" s="204" t="s">
        <v>1875</v>
      </c>
      <c r="H455" t="s">
        <v>1876</v>
      </c>
      <c r="I455" s="204" t="s">
        <v>35</v>
      </c>
      <c r="J455" t="s">
        <v>36</v>
      </c>
      <c r="K455" s="209"/>
    </row>
    <row r="456" spans="1:11" ht="13.9" hidden="1">
      <c r="A456" s="204" t="s">
        <v>1877</v>
      </c>
      <c r="B456" t="s">
        <v>1878</v>
      </c>
      <c r="C456" s="205">
        <v>699.6</v>
      </c>
      <c r="D456" t="s">
        <v>30</v>
      </c>
      <c r="E456" s="207" t="s">
        <v>31</v>
      </c>
      <c r="F456" t="s">
        <v>32</v>
      </c>
      <c r="G456" s="204" t="s">
        <v>1879</v>
      </c>
      <c r="H456" t="s">
        <v>1880</v>
      </c>
      <c r="I456" s="204" t="s">
        <v>35</v>
      </c>
      <c r="J456" t="s">
        <v>36</v>
      </c>
      <c r="K456" s="209"/>
    </row>
    <row r="457" spans="1:11" ht="13.9" hidden="1">
      <c r="A457" s="204" t="s">
        <v>1881</v>
      </c>
      <c r="B457" t="s">
        <v>1882</v>
      </c>
      <c r="C457" s="205">
        <v>8480</v>
      </c>
      <c r="D457" t="s">
        <v>30</v>
      </c>
      <c r="E457" s="207" t="s">
        <v>31</v>
      </c>
      <c r="F457" t="s">
        <v>32</v>
      </c>
      <c r="G457" s="204" t="s">
        <v>1883</v>
      </c>
      <c r="H457" t="s">
        <v>1884</v>
      </c>
      <c r="I457" s="204" t="s">
        <v>35</v>
      </c>
      <c r="J457" t="s">
        <v>36</v>
      </c>
      <c r="K457" s="209"/>
    </row>
    <row r="458" spans="1:11" ht="13.9" hidden="1">
      <c r="A458" s="204" t="s">
        <v>1885</v>
      </c>
      <c r="B458" t="s">
        <v>1886</v>
      </c>
      <c r="C458" s="205">
        <v>10</v>
      </c>
      <c r="D458" t="s">
        <v>100</v>
      </c>
      <c r="E458" s="207" t="s">
        <v>31</v>
      </c>
      <c r="F458" t="s">
        <v>32</v>
      </c>
      <c r="G458" s="204" t="s">
        <v>1887</v>
      </c>
      <c r="H458" t="s">
        <v>1888</v>
      </c>
      <c r="I458" s="204" t="s">
        <v>35</v>
      </c>
      <c r="J458" t="s">
        <v>36</v>
      </c>
      <c r="K458" s="209"/>
    </row>
    <row r="459" spans="1:11" ht="13.9" hidden="1">
      <c r="A459" s="204" t="s">
        <v>1889</v>
      </c>
      <c r="B459" t="s">
        <v>1890</v>
      </c>
      <c r="C459" s="205">
        <v>508.8</v>
      </c>
      <c r="D459" t="s">
        <v>30</v>
      </c>
      <c r="E459" s="207" t="s">
        <v>31</v>
      </c>
      <c r="F459" t="s">
        <v>32</v>
      </c>
      <c r="G459" s="204" t="s">
        <v>1891</v>
      </c>
      <c r="H459" t="s">
        <v>1892</v>
      </c>
      <c r="I459" s="204" t="s">
        <v>35</v>
      </c>
      <c r="J459" t="s">
        <v>36</v>
      </c>
      <c r="K459" s="209"/>
    </row>
    <row r="460" spans="1:11" ht="13.9" hidden="1">
      <c r="A460" s="204" t="s">
        <v>1893</v>
      </c>
      <c r="B460" t="s">
        <v>1894</v>
      </c>
      <c r="C460" s="205">
        <v>702</v>
      </c>
      <c r="D460" t="s">
        <v>237</v>
      </c>
      <c r="E460" s="207" t="s">
        <v>31</v>
      </c>
      <c r="F460" t="s">
        <v>32</v>
      </c>
      <c r="G460" s="204" t="s">
        <v>1895</v>
      </c>
      <c r="H460" t="s">
        <v>1896</v>
      </c>
      <c r="I460" s="204" t="s">
        <v>35</v>
      </c>
      <c r="J460" t="s">
        <v>36</v>
      </c>
      <c r="K460" s="209"/>
    </row>
    <row r="461" spans="1:11" ht="13.9" hidden="1">
      <c r="A461" s="204" t="s">
        <v>1897</v>
      </c>
      <c r="B461" t="s">
        <v>1898</v>
      </c>
      <c r="C461" s="205">
        <v>6000</v>
      </c>
      <c r="D461" t="s">
        <v>30</v>
      </c>
      <c r="E461" s="207" t="s">
        <v>31</v>
      </c>
      <c r="F461" t="s">
        <v>32</v>
      </c>
      <c r="G461" s="204" t="s">
        <v>1899</v>
      </c>
      <c r="H461" t="s">
        <v>1900</v>
      </c>
      <c r="I461" s="204" t="s">
        <v>35</v>
      </c>
      <c r="J461" t="s">
        <v>36</v>
      </c>
      <c r="K461" s="209"/>
    </row>
    <row r="462" spans="1:11" ht="13.9" hidden="1">
      <c r="A462" s="204" t="s">
        <v>1901</v>
      </c>
      <c r="B462" t="s">
        <v>1902</v>
      </c>
      <c r="C462" s="205">
        <v>350</v>
      </c>
      <c r="D462" t="s">
        <v>39</v>
      </c>
      <c r="E462" s="207" t="s">
        <v>31</v>
      </c>
      <c r="F462" t="s">
        <v>32</v>
      </c>
      <c r="G462" s="204" t="s">
        <v>1903</v>
      </c>
      <c r="H462" t="s">
        <v>1904</v>
      </c>
      <c r="I462" s="204" t="s">
        <v>35</v>
      </c>
      <c r="J462" t="s">
        <v>36</v>
      </c>
      <c r="K462" s="209"/>
    </row>
    <row r="463" spans="1:11" ht="13.9" hidden="1">
      <c r="A463" s="204" t="s">
        <v>1905</v>
      </c>
      <c r="B463" t="s">
        <v>1906</v>
      </c>
      <c r="C463" s="205">
        <v>2833.33</v>
      </c>
      <c r="D463" t="s">
        <v>30</v>
      </c>
      <c r="E463" s="207" t="s">
        <v>31</v>
      </c>
      <c r="F463" t="s">
        <v>32</v>
      </c>
      <c r="G463" s="204" t="s">
        <v>1907</v>
      </c>
      <c r="H463" t="s">
        <v>1908</v>
      </c>
      <c r="I463" s="204" t="s">
        <v>35</v>
      </c>
      <c r="J463" t="s">
        <v>36</v>
      </c>
      <c r="K463" s="209"/>
    </row>
    <row r="464" spans="1:11" ht="13.9" hidden="1">
      <c r="A464" s="204" t="s">
        <v>1909</v>
      </c>
      <c r="B464" t="s">
        <v>1910</v>
      </c>
      <c r="C464" s="205">
        <v>1.22</v>
      </c>
      <c r="D464" t="s">
        <v>196</v>
      </c>
      <c r="E464" s="207" t="s">
        <v>31</v>
      </c>
      <c r="F464" t="s">
        <v>32</v>
      </c>
      <c r="G464" s="204" t="s">
        <v>1911</v>
      </c>
      <c r="H464" t="s">
        <v>1912</v>
      </c>
      <c r="I464" s="204" t="s">
        <v>35</v>
      </c>
      <c r="J464" t="s">
        <v>36</v>
      </c>
      <c r="K464" s="209"/>
    </row>
    <row r="465" spans="1:11" ht="13.9" hidden="1">
      <c r="A465" s="204" t="s">
        <v>1913</v>
      </c>
      <c r="B465" t="s">
        <v>1914</v>
      </c>
      <c r="C465" s="205">
        <v>1600</v>
      </c>
      <c r="D465" t="s">
        <v>76</v>
      </c>
      <c r="E465" s="207" t="s">
        <v>31</v>
      </c>
      <c r="F465" t="s">
        <v>32</v>
      </c>
      <c r="G465" s="204" t="s">
        <v>1915</v>
      </c>
      <c r="H465" t="s">
        <v>1916</v>
      </c>
      <c r="I465" s="204" t="s">
        <v>35</v>
      </c>
      <c r="J465" t="s">
        <v>36</v>
      </c>
      <c r="K465" s="209"/>
    </row>
    <row r="466" spans="1:11" ht="13.9" hidden="1">
      <c r="A466" s="204" t="s">
        <v>1917</v>
      </c>
      <c r="B466" t="s">
        <v>1918</v>
      </c>
      <c r="C466" s="205">
        <v>65</v>
      </c>
      <c r="D466" t="s">
        <v>39</v>
      </c>
      <c r="E466" s="207" t="s">
        <v>31</v>
      </c>
      <c r="F466" t="s">
        <v>32</v>
      </c>
      <c r="G466" s="204" t="s">
        <v>1919</v>
      </c>
      <c r="H466" t="s">
        <v>1920</v>
      </c>
      <c r="I466" s="204" t="s">
        <v>35</v>
      </c>
      <c r="J466" t="s">
        <v>36</v>
      </c>
      <c r="K466" s="209"/>
    </row>
    <row r="467" spans="1:11" ht="13.9" hidden="1">
      <c r="A467" s="204" t="s">
        <v>1921</v>
      </c>
      <c r="B467" t="s">
        <v>1922</v>
      </c>
      <c r="C467" s="205">
        <v>212</v>
      </c>
      <c r="D467" t="s">
        <v>30</v>
      </c>
      <c r="E467" s="207" t="s">
        <v>31</v>
      </c>
      <c r="F467" t="s">
        <v>32</v>
      </c>
      <c r="G467" s="204" t="s">
        <v>1923</v>
      </c>
      <c r="H467" t="s">
        <v>1924</v>
      </c>
      <c r="I467" s="204" t="s">
        <v>35</v>
      </c>
      <c r="J467" t="s">
        <v>36</v>
      </c>
      <c r="K467" s="209"/>
    </row>
    <row r="468" spans="1:11" ht="13.9" hidden="1">
      <c r="A468" s="204" t="s">
        <v>1925</v>
      </c>
      <c r="B468" t="s">
        <v>1926</v>
      </c>
      <c r="C468" s="205">
        <v>1.5</v>
      </c>
      <c r="D468" t="s">
        <v>196</v>
      </c>
      <c r="E468" s="207" t="s">
        <v>31</v>
      </c>
      <c r="F468" t="s">
        <v>32</v>
      </c>
      <c r="G468" s="204" t="s">
        <v>1927</v>
      </c>
      <c r="H468" t="s">
        <v>1928</v>
      </c>
      <c r="I468" s="204" t="s">
        <v>35</v>
      </c>
      <c r="J468" t="s">
        <v>36</v>
      </c>
      <c r="K468" s="209"/>
    </row>
    <row r="469" spans="1:11" ht="13.9" hidden="1">
      <c r="A469" s="204" t="s">
        <v>1929</v>
      </c>
      <c r="B469" t="s">
        <v>1930</v>
      </c>
      <c r="C469" s="205">
        <v>80</v>
      </c>
      <c r="D469" t="s">
        <v>39</v>
      </c>
      <c r="E469" s="207" t="s">
        <v>31</v>
      </c>
      <c r="F469" t="s">
        <v>32</v>
      </c>
      <c r="G469" s="204" t="s">
        <v>1931</v>
      </c>
      <c r="H469" t="s">
        <v>1932</v>
      </c>
      <c r="I469" s="204" t="s">
        <v>35</v>
      </c>
      <c r="J469" t="s">
        <v>36</v>
      </c>
      <c r="K469" s="209"/>
    </row>
    <row r="470" spans="1:11" ht="13.9" hidden="1">
      <c r="A470" s="204" t="s">
        <v>1933</v>
      </c>
      <c r="B470" t="s">
        <v>1934</v>
      </c>
      <c r="C470" s="205">
        <v>530</v>
      </c>
      <c r="D470" t="s">
        <v>30</v>
      </c>
      <c r="E470" s="207" t="s">
        <v>31</v>
      </c>
      <c r="F470" t="s">
        <v>32</v>
      </c>
      <c r="G470" s="204" t="s">
        <v>1935</v>
      </c>
      <c r="H470" t="s">
        <v>1936</v>
      </c>
      <c r="I470" s="204" t="s">
        <v>35</v>
      </c>
      <c r="J470" t="s">
        <v>36</v>
      </c>
      <c r="K470" s="209"/>
    </row>
    <row r="471" spans="1:11" ht="13.9">
      <c r="A471" s="204" t="s">
        <v>1937</v>
      </c>
      <c r="B471" t="s">
        <v>1938</v>
      </c>
      <c r="C471" s="205">
        <v>2066.67</v>
      </c>
      <c r="D471" t="s">
        <v>85</v>
      </c>
      <c r="E471" s="207" t="s">
        <v>31</v>
      </c>
      <c r="F471" t="s">
        <v>32</v>
      </c>
      <c r="G471" s="204" t="s">
        <v>1939</v>
      </c>
      <c r="H471" t="s">
        <v>1940</v>
      </c>
      <c r="I471" s="204" t="s">
        <v>35</v>
      </c>
      <c r="J471" t="s">
        <v>36</v>
      </c>
      <c r="K471" s="209"/>
    </row>
    <row r="472" spans="1:11" ht="13.9" hidden="1">
      <c r="A472" s="204" t="s">
        <v>1941</v>
      </c>
      <c r="B472" t="s">
        <v>1942</v>
      </c>
      <c r="C472" s="205">
        <v>174.9</v>
      </c>
      <c r="D472" t="s">
        <v>95</v>
      </c>
      <c r="E472" s="207" t="s">
        <v>31</v>
      </c>
      <c r="F472" t="s">
        <v>32</v>
      </c>
      <c r="G472" s="204" t="s">
        <v>1943</v>
      </c>
      <c r="H472" t="s">
        <v>1944</v>
      </c>
      <c r="I472" s="204" t="s">
        <v>35</v>
      </c>
      <c r="J472" t="s">
        <v>36</v>
      </c>
      <c r="K472" s="209"/>
    </row>
    <row r="473" spans="1:11" ht="13.9" hidden="1">
      <c r="A473" s="204" t="s">
        <v>1945</v>
      </c>
      <c r="B473" t="s">
        <v>1946</v>
      </c>
      <c r="C473" s="205">
        <v>496.67</v>
      </c>
      <c r="D473" t="s">
        <v>196</v>
      </c>
      <c r="E473" s="207" t="s">
        <v>31</v>
      </c>
      <c r="F473" t="s">
        <v>32</v>
      </c>
      <c r="G473" s="204" t="s">
        <v>1947</v>
      </c>
      <c r="H473" t="s">
        <v>1948</v>
      </c>
      <c r="I473" s="204" t="s">
        <v>35</v>
      </c>
      <c r="J473" t="s">
        <v>36</v>
      </c>
      <c r="K473" s="209"/>
    </row>
    <row r="474" spans="1:11" ht="13.9" hidden="1">
      <c r="A474" s="204" t="s">
        <v>1949</v>
      </c>
      <c r="B474" t="s">
        <v>1950</v>
      </c>
      <c r="C474" s="205">
        <v>848</v>
      </c>
      <c r="D474" t="s">
        <v>141</v>
      </c>
      <c r="E474" s="207" t="s">
        <v>31</v>
      </c>
      <c r="F474" t="s">
        <v>32</v>
      </c>
      <c r="G474" s="204" t="s">
        <v>1951</v>
      </c>
      <c r="H474" t="s">
        <v>1952</v>
      </c>
      <c r="I474" s="204" t="s">
        <v>35</v>
      </c>
      <c r="J474" t="s">
        <v>36</v>
      </c>
      <c r="K474" s="209"/>
    </row>
    <row r="475" spans="1:11" ht="13.9" hidden="1">
      <c r="A475" s="204" t="s">
        <v>1953</v>
      </c>
      <c r="B475" t="s">
        <v>1954</v>
      </c>
      <c r="C475" s="205">
        <v>742</v>
      </c>
      <c r="D475" t="s">
        <v>90</v>
      </c>
      <c r="E475" s="207" t="s">
        <v>31</v>
      </c>
      <c r="F475" t="s">
        <v>32</v>
      </c>
      <c r="G475" s="204" t="s">
        <v>1955</v>
      </c>
      <c r="H475" t="s">
        <v>1956</v>
      </c>
      <c r="I475" s="204" t="s">
        <v>35</v>
      </c>
      <c r="J475" t="s">
        <v>36</v>
      </c>
      <c r="K475" s="209"/>
    </row>
    <row r="476" spans="1:11" ht="13.9" hidden="1">
      <c r="A476" s="204" t="s">
        <v>1957</v>
      </c>
      <c r="B476" t="s">
        <v>1958</v>
      </c>
      <c r="C476" s="205">
        <v>318</v>
      </c>
      <c r="D476" t="s">
        <v>44</v>
      </c>
      <c r="E476" s="207" t="s">
        <v>31</v>
      </c>
      <c r="F476" t="s">
        <v>32</v>
      </c>
      <c r="G476" s="204" t="s">
        <v>1959</v>
      </c>
      <c r="H476" t="s">
        <v>1960</v>
      </c>
      <c r="I476" s="204" t="s">
        <v>35</v>
      </c>
      <c r="J476" t="s">
        <v>36</v>
      </c>
      <c r="K476" s="209"/>
    </row>
    <row r="477" spans="1:11" ht="13.9" hidden="1">
      <c r="A477" s="204" t="s">
        <v>1961</v>
      </c>
      <c r="B477" t="s">
        <v>1962</v>
      </c>
      <c r="C477" s="205">
        <v>310.19</v>
      </c>
      <c r="D477" t="s">
        <v>39</v>
      </c>
      <c r="E477" s="207" t="s">
        <v>31</v>
      </c>
      <c r="F477" t="s">
        <v>32</v>
      </c>
      <c r="G477" s="204" t="s">
        <v>1963</v>
      </c>
      <c r="H477" t="s">
        <v>1964</v>
      </c>
      <c r="I477" s="204" t="s">
        <v>35</v>
      </c>
      <c r="J477" t="s">
        <v>36</v>
      </c>
      <c r="K477" s="209"/>
    </row>
    <row r="478" spans="1:11" ht="13.9">
      <c r="A478" s="204" t="s">
        <v>1965</v>
      </c>
      <c r="B478" t="s">
        <v>1966</v>
      </c>
      <c r="C478" s="205">
        <v>1500</v>
      </c>
      <c r="D478" t="s">
        <v>85</v>
      </c>
      <c r="E478" s="207" t="s">
        <v>31</v>
      </c>
      <c r="F478" t="s">
        <v>32</v>
      </c>
      <c r="G478" s="204" t="s">
        <v>1967</v>
      </c>
      <c r="H478" t="s">
        <v>1968</v>
      </c>
      <c r="I478" s="204" t="s">
        <v>35</v>
      </c>
      <c r="J478" t="s">
        <v>36</v>
      </c>
      <c r="K478" s="209"/>
    </row>
    <row r="479" spans="1:11" ht="13.9" hidden="1">
      <c r="A479" s="204" t="s">
        <v>1969</v>
      </c>
      <c r="B479" t="s">
        <v>1970</v>
      </c>
      <c r="C479" s="205">
        <v>43.33</v>
      </c>
      <c r="D479" t="s">
        <v>196</v>
      </c>
      <c r="E479" s="207" t="s">
        <v>31</v>
      </c>
      <c r="F479" t="s">
        <v>32</v>
      </c>
      <c r="G479" s="204" t="s">
        <v>1971</v>
      </c>
      <c r="H479" t="s">
        <v>1972</v>
      </c>
      <c r="I479" s="204" t="s">
        <v>35</v>
      </c>
      <c r="J479" t="s">
        <v>36</v>
      </c>
      <c r="K479" s="209"/>
    </row>
    <row r="480" spans="1:11" ht="13.9" hidden="1">
      <c r="A480" s="204" t="s">
        <v>1973</v>
      </c>
      <c r="B480" t="s">
        <v>1974</v>
      </c>
      <c r="C480" s="205">
        <v>2900</v>
      </c>
      <c r="D480" t="s">
        <v>1975</v>
      </c>
      <c r="E480" s="207" t="s">
        <v>31</v>
      </c>
      <c r="F480" t="s">
        <v>32</v>
      </c>
      <c r="G480" s="204" t="s">
        <v>1976</v>
      </c>
      <c r="H480" t="s">
        <v>1977</v>
      </c>
      <c r="I480" s="204" t="s">
        <v>35</v>
      </c>
      <c r="J480" t="s">
        <v>36</v>
      </c>
      <c r="K480" s="209"/>
    </row>
    <row r="481" spans="1:11" ht="13.9" hidden="1">
      <c r="A481" s="204" t="s">
        <v>1978</v>
      </c>
      <c r="B481" t="s">
        <v>1979</v>
      </c>
      <c r="C481" s="205">
        <v>159</v>
      </c>
      <c r="D481" t="s">
        <v>90</v>
      </c>
      <c r="E481" s="207" t="s">
        <v>31</v>
      </c>
      <c r="F481" t="s">
        <v>32</v>
      </c>
      <c r="G481" s="204" t="s">
        <v>1980</v>
      </c>
      <c r="H481" t="s">
        <v>1981</v>
      </c>
      <c r="I481" s="204" t="s">
        <v>35</v>
      </c>
      <c r="J481" t="s">
        <v>36</v>
      </c>
      <c r="K481" s="209"/>
    </row>
    <row r="482" spans="1:11" ht="13.9" hidden="1">
      <c r="A482" s="204" t="s">
        <v>1982</v>
      </c>
      <c r="B482" t="s">
        <v>1983</v>
      </c>
      <c r="C482" s="205">
        <v>318</v>
      </c>
      <c r="D482" t="s">
        <v>39</v>
      </c>
      <c r="E482" s="207" t="s">
        <v>31</v>
      </c>
      <c r="F482" t="s">
        <v>32</v>
      </c>
      <c r="G482" s="204" t="s">
        <v>1984</v>
      </c>
      <c r="H482" t="s">
        <v>1985</v>
      </c>
      <c r="I482" s="204" t="s">
        <v>35</v>
      </c>
      <c r="J482" t="s">
        <v>36</v>
      </c>
      <c r="K482" s="209"/>
    </row>
    <row r="483" spans="1:11" ht="13.9" hidden="1">
      <c r="A483" s="204" t="s">
        <v>1986</v>
      </c>
      <c r="B483" t="s">
        <v>1987</v>
      </c>
      <c r="C483" s="205">
        <v>63.6</v>
      </c>
      <c r="D483" t="s">
        <v>39</v>
      </c>
      <c r="E483" s="207" t="s">
        <v>31</v>
      </c>
      <c r="F483" t="s">
        <v>32</v>
      </c>
      <c r="G483" s="204" t="s">
        <v>1988</v>
      </c>
      <c r="H483" t="s">
        <v>1989</v>
      </c>
      <c r="I483" s="204" t="s">
        <v>35</v>
      </c>
      <c r="J483" t="s">
        <v>36</v>
      </c>
      <c r="K483" s="209"/>
    </row>
    <row r="484" spans="1:11" ht="13.9" hidden="1">
      <c r="A484" s="204" t="s">
        <v>1990</v>
      </c>
      <c r="B484" t="s">
        <v>1991</v>
      </c>
      <c r="C484" s="205">
        <v>120</v>
      </c>
      <c r="D484" t="s">
        <v>39</v>
      </c>
      <c r="E484" s="207" t="s">
        <v>31</v>
      </c>
      <c r="F484" t="s">
        <v>32</v>
      </c>
      <c r="G484" s="204" t="s">
        <v>1992</v>
      </c>
      <c r="H484" t="s">
        <v>1993</v>
      </c>
      <c r="I484" s="204" t="s">
        <v>35</v>
      </c>
      <c r="J484" t="s">
        <v>36</v>
      </c>
      <c r="K484" s="209"/>
    </row>
    <row r="485" spans="1:11" ht="13.9" hidden="1">
      <c r="A485" s="204" t="s">
        <v>1994</v>
      </c>
      <c r="B485" t="s">
        <v>1995</v>
      </c>
      <c r="C485" s="205">
        <v>1908</v>
      </c>
      <c r="D485" t="s">
        <v>95</v>
      </c>
      <c r="E485" s="207" t="s">
        <v>31</v>
      </c>
      <c r="F485" t="s">
        <v>32</v>
      </c>
      <c r="G485" s="204" t="s">
        <v>1996</v>
      </c>
      <c r="H485" t="s">
        <v>1997</v>
      </c>
      <c r="I485" s="204" t="s">
        <v>35</v>
      </c>
      <c r="J485" t="s">
        <v>36</v>
      </c>
      <c r="K485" s="209"/>
    </row>
    <row r="486" spans="1:11" ht="13.9" hidden="1">
      <c r="A486" s="204" t="s">
        <v>1998</v>
      </c>
      <c r="B486" t="s">
        <v>1999</v>
      </c>
      <c r="C486" s="205">
        <v>890.4</v>
      </c>
      <c r="D486" t="s">
        <v>30</v>
      </c>
      <c r="E486" s="207" t="s">
        <v>31</v>
      </c>
      <c r="F486" t="s">
        <v>32</v>
      </c>
      <c r="G486" s="204" t="s">
        <v>2000</v>
      </c>
      <c r="H486" t="s">
        <v>2001</v>
      </c>
      <c r="I486" s="204" t="s">
        <v>35</v>
      </c>
      <c r="J486" t="s">
        <v>36</v>
      </c>
      <c r="K486" s="209"/>
    </row>
    <row r="487" spans="1:11" ht="13.9" hidden="1">
      <c r="A487" s="204" t="s">
        <v>2002</v>
      </c>
      <c r="B487" t="s">
        <v>2003</v>
      </c>
      <c r="C487" s="205">
        <v>371</v>
      </c>
      <c r="D487" t="s">
        <v>237</v>
      </c>
      <c r="E487" s="207" t="s">
        <v>31</v>
      </c>
      <c r="F487" t="s">
        <v>32</v>
      </c>
      <c r="G487" s="204" t="s">
        <v>2004</v>
      </c>
      <c r="H487" t="s">
        <v>2005</v>
      </c>
      <c r="I487" s="204" t="s">
        <v>35</v>
      </c>
      <c r="J487" t="s">
        <v>36</v>
      </c>
      <c r="K487" s="209"/>
    </row>
    <row r="488" spans="1:11" ht="13.9" hidden="1">
      <c r="A488" s="204" t="s">
        <v>2006</v>
      </c>
      <c r="B488" t="s">
        <v>2007</v>
      </c>
      <c r="C488" s="205">
        <v>1933.33</v>
      </c>
      <c r="D488" t="s">
        <v>141</v>
      </c>
      <c r="E488" s="207" t="s">
        <v>31</v>
      </c>
      <c r="F488" t="s">
        <v>32</v>
      </c>
      <c r="G488" s="204" t="s">
        <v>2008</v>
      </c>
      <c r="H488" t="s">
        <v>2009</v>
      </c>
      <c r="I488" s="204" t="s">
        <v>35</v>
      </c>
      <c r="J488" t="s">
        <v>36</v>
      </c>
      <c r="K488" s="209"/>
    </row>
    <row r="489" spans="1:11" ht="13.9" hidden="1">
      <c r="A489" s="204" t="s">
        <v>2010</v>
      </c>
      <c r="B489" t="s">
        <v>2011</v>
      </c>
      <c r="C489" s="205">
        <v>31.8</v>
      </c>
      <c r="D489" t="s">
        <v>90</v>
      </c>
      <c r="E489" s="207" t="s">
        <v>31</v>
      </c>
      <c r="F489" t="s">
        <v>32</v>
      </c>
      <c r="G489" s="204" t="s">
        <v>2012</v>
      </c>
      <c r="H489" t="s">
        <v>2013</v>
      </c>
      <c r="I489" s="204" t="s">
        <v>35</v>
      </c>
      <c r="J489" t="s">
        <v>36</v>
      </c>
      <c r="K489" s="209"/>
    </row>
    <row r="490" spans="1:11" ht="13.9" hidden="1">
      <c r="A490" s="204" t="s">
        <v>2014</v>
      </c>
      <c r="B490" t="s">
        <v>2015</v>
      </c>
      <c r="C490" s="205">
        <v>86.67</v>
      </c>
      <c r="D490" t="s">
        <v>196</v>
      </c>
      <c r="E490" s="207" t="s">
        <v>31</v>
      </c>
      <c r="F490" t="s">
        <v>32</v>
      </c>
      <c r="G490" s="204" t="s">
        <v>2016</v>
      </c>
      <c r="H490" t="s">
        <v>2017</v>
      </c>
      <c r="I490" s="204" t="s">
        <v>35</v>
      </c>
      <c r="J490" t="s">
        <v>36</v>
      </c>
      <c r="K490" s="209"/>
    </row>
    <row r="491" spans="1:11" ht="13.9" hidden="1">
      <c r="A491" s="204" t="s">
        <v>2018</v>
      </c>
      <c r="B491" t="s">
        <v>2019</v>
      </c>
      <c r="C491" s="205">
        <v>153.33000000000001</v>
      </c>
      <c r="D491" t="s">
        <v>196</v>
      </c>
      <c r="E491" s="207" t="s">
        <v>31</v>
      </c>
      <c r="F491" t="s">
        <v>32</v>
      </c>
      <c r="G491" s="204" t="s">
        <v>2020</v>
      </c>
      <c r="H491" t="s">
        <v>2021</v>
      </c>
      <c r="I491" s="204" t="s">
        <v>35</v>
      </c>
      <c r="J491" t="s">
        <v>36</v>
      </c>
      <c r="K491" s="209"/>
    </row>
    <row r="492" spans="1:11" ht="13.9" hidden="1">
      <c r="A492" s="204" t="s">
        <v>2022</v>
      </c>
      <c r="B492" t="s">
        <v>2023</v>
      </c>
      <c r="C492" s="205">
        <v>254.4</v>
      </c>
      <c r="D492" t="s">
        <v>90</v>
      </c>
      <c r="E492" s="207" t="s">
        <v>31</v>
      </c>
      <c r="F492" t="s">
        <v>32</v>
      </c>
      <c r="G492" s="204" t="s">
        <v>2024</v>
      </c>
      <c r="H492" t="s">
        <v>2025</v>
      </c>
      <c r="I492" s="204" t="s">
        <v>35</v>
      </c>
      <c r="J492" t="s">
        <v>36</v>
      </c>
      <c r="K492" s="209"/>
    </row>
    <row r="493" spans="1:11" ht="13.9" hidden="1">
      <c r="A493" s="204" t="s">
        <v>2026</v>
      </c>
      <c r="B493" t="s">
        <v>2027</v>
      </c>
      <c r="C493" s="205">
        <v>79.5</v>
      </c>
      <c r="D493" t="s">
        <v>141</v>
      </c>
      <c r="E493" s="207" t="s">
        <v>31</v>
      </c>
      <c r="F493" t="s">
        <v>32</v>
      </c>
      <c r="G493" s="204" t="s">
        <v>2028</v>
      </c>
      <c r="H493" t="s">
        <v>2029</v>
      </c>
      <c r="I493" s="204" t="s">
        <v>35</v>
      </c>
      <c r="J493" t="s">
        <v>36</v>
      </c>
      <c r="K493" s="209"/>
    </row>
    <row r="494" spans="1:11" ht="13.9" hidden="1">
      <c r="A494" s="204" t="s">
        <v>2030</v>
      </c>
      <c r="B494" t="s">
        <v>2031</v>
      </c>
      <c r="C494" s="205">
        <v>2650</v>
      </c>
      <c r="D494" t="s">
        <v>141</v>
      </c>
      <c r="E494" s="207" t="s">
        <v>31</v>
      </c>
      <c r="F494" t="s">
        <v>32</v>
      </c>
      <c r="G494" s="204" t="s">
        <v>2032</v>
      </c>
      <c r="H494" t="s">
        <v>2033</v>
      </c>
      <c r="I494" s="204" t="s">
        <v>35</v>
      </c>
      <c r="J494" t="s">
        <v>36</v>
      </c>
      <c r="K494" s="209"/>
    </row>
    <row r="495" spans="1:11" ht="13.9" hidden="1">
      <c r="A495" s="204" t="s">
        <v>2034</v>
      </c>
      <c r="B495" t="s">
        <v>2035</v>
      </c>
      <c r="C495" s="205">
        <v>106</v>
      </c>
      <c r="D495" t="s">
        <v>39</v>
      </c>
      <c r="E495" s="207" t="s">
        <v>31</v>
      </c>
      <c r="F495" t="s">
        <v>32</v>
      </c>
      <c r="G495" s="204" t="s">
        <v>2036</v>
      </c>
      <c r="H495" t="s">
        <v>2037</v>
      </c>
      <c r="I495" s="204" t="s">
        <v>35</v>
      </c>
      <c r="J495" t="s">
        <v>36</v>
      </c>
      <c r="K495" s="209"/>
    </row>
    <row r="496" spans="1:11" ht="13.9" hidden="1">
      <c r="A496" s="204" t="s">
        <v>2038</v>
      </c>
      <c r="B496" t="s">
        <v>2039</v>
      </c>
      <c r="C496" s="205">
        <v>183.33</v>
      </c>
      <c r="D496" t="s">
        <v>44</v>
      </c>
      <c r="E496" s="207" t="s">
        <v>31</v>
      </c>
      <c r="F496" t="s">
        <v>32</v>
      </c>
      <c r="G496" s="204" t="s">
        <v>2040</v>
      </c>
      <c r="H496" t="s">
        <v>2041</v>
      </c>
      <c r="I496" s="204" t="s">
        <v>35</v>
      </c>
      <c r="J496" t="s">
        <v>36</v>
      </c>
      <c r="K496" s="209"/>
    </row>
    <row r="497" spans="1:11" ht="13.9">
      <c r="A497" s="204" t="s">
        <v>2042</v>
      </c>
      <c r="B497" t="s">
        <v>2043</v>
      </c>
      <c r="C497" s="205">
        <v>1484</v>
      </c>
      <c r="D497" t="s">
        <v>400</v>
      </c>
      <c r="E497" s="207" t="s">
        <v>31</v>
      </c>
      <c r="F497" t="s">
        <v>32</v>
      </c>
      <c r="G497" s="204" t="s">
        <v>2044</v>
      </c>
      <c r="H497" t="s">
        <v>2045</v>
      </c>
      <c r="I497" s="204" t="s">
        <v>35</v>
      </c>
      <c r="J497" t="s">
        <v>36</v>
      </c>
      <c r="K497" s="209"/>
    </row>
    <row r="498" spans="1:11" ht="13.9" hidden="1">
      <c r="A498" s="204" t="s">
        <v>2046</v>
      </c>
      <c r="B498" t="s">
        <v>2047</v>
      </c>
      <c r="C498" s="205">
        <v>446.26</v>
      </c>
      <c r="D498" t="s">
        <v>163</v>
      </c>
      <c r="E498" s="207" t="s">
        <v>31</v>
      </c>
      <c r="F498" t="s">
        <v>32</v>
      </c>
      <c r="G498" s="204" t="s">
        <v>2048</v>
      </c>
      <c r="H498" t="s">
        <v>2049</v>
      </c>
      <c r="I498" s="204" t="s">
        <v>35</v>
      </c>
      <c r="J498" t="s">
        <v>36</v>
      </c>
      <c r="K498" s="209"/>
    </row>
    <row r="499" spans="1:11" ht="13.9" hidden="1">
      <c r="A499" s="204" t="s">
        <v>2050</v>
      </c>
      <c r="B499" t="s">
        <v>2051</v>
      </c>
      <c r="C499" s="205">
        <v>2300</v>
      </c>
      <c r="D499" t="s">
        <v>76</v>
      </c>
      <c r="E499" s="207" t="s">
        <v>31</v>
      </c>
      <c r="F499" t="s">
        <v>32</v>
      </c>
      <c r="G499" s="204" t="s">
        <v>2052</v>
      </c>
      <c r="H499" t="s">
        <v>2053</v>
      </c>
      <c r="I499" s="204" t="s">
        <v>35</v>
      </c>
      <c r="J499" t="s">
        <v>36</v>
      </c>
      <c r="K499" s="209"/>
    </row>
    <row r="500" spans="1:11" ht="13.9" hidden="1">
      <c r="A500" s="204" t="s">
        <v>2054</v>
      </c>
      <c r="B500" t="s">
        <v>2055</v>
      </c>
      <c r="C500" s="205">
        <v>486.67</v>
      </c>
      <c r="D500" t="s">
        <v>76</v>
      </c>
      <c r="E500" s="207" t="s">
        <v>31</v>
      </c>
      <c r="F500" t="s">
        <v>32</v>
      </c>
      <c r="G500" s="204" t="s">
        <v>2056</v>
      </c>
      <c r="H500" t="s">
        <v>2057</v>
      </c>
      <c r="I500" s="204" t="s">
        <v>35</v>
      </c>
      <c r="J500" t="s">
        <v>36</v>
      </c>
      <c r="K500" s="209"/>
    </row>
    <row r="501" spans="1:11" ht="13.9" hidden="1">
      <c r="A501" s="204" t="s">
        <v>2058</v>
      </c>
      <c r="B501" t="s">
        <v>2059</v>
      </c>
      <c r="C501" s="205">
        <v>371</v>
      </c>
      <c r="D501" t="s">
        <v>39</v>
      </c>
      <c r="E501" s="207" t="s">
        <v>31</v>
      </c>
      <c r="F501" t="s">
        <v>32</v>
      </c>
      <c r="G501" s="204" t="s">
        <v>2060</v>
      </c>
      <c r="H501" t="s">
        <v>2061</v>
      </c>
      <c r="I501" s="204" t="s">
        <v>35</v>
      </c>
      <c r="J501" t="s">
        <v>36</v>
      </c>
      <c r="K501" s="209"/>
    </row>
    <row r="502" spans="1:11" ht="13.9" hidden="1">
      <c r="A502" s="204" t="s">
        <v>2062</v>
      </c>
      <c r="B502" t="s">
        <v>2063</v>
      </c>
      <c r="C502" s="205">
        <v>15.9</v>
      </c>
      <c r="D502" t="s">
        <v>39</v>
      </c>
      <c r="E502" s="207" t="s">
        <v>31</v>
      </c>
      <c r="F502" t="s">
        <v>32</v>
      </c>
      <c r="G502" s="204" t="s">
        <v>2064</v>
      </c>
      <c r="H502" t="s">
        <v>2065</v>
      </c>
      <c r="I502" s="204" t="s">
        <v>35</v>
      </c>
      <c r="J502" t="s">
        <v>36</v>
      </c>
      <c r="K502" s="209"/>
    </row>
    <row r="503" spans="1:11" ht="13.9" hidden="1">
      <c r="A503" s="204" t="s">
        <v>2066</v>
      </c>
      <c r="B503" t="s">
        <v>2067</v>
      </c>
      <c r="C503" s="205">
        <v>212</v>
      </c>
      <c r="D503" t="s">
        <v>30</v>
      </c>
      <c r="E503" s="207" t="s">
        <v>31</v>
      </c>
      <c r="F503" t="s">
        <v>32</v>
      </c>
      <c r="G503" s="204" t="s">
        <v>2068</v>
      </c>
      <c r="H503" t="s">
        <v>2069</v>
      </c>
      <c r="I503" s="204" t="s">
        <v>35</v>
      </c>
      <c r="J503" t="s">
        <v>36</v>
      </c>
      <c r="K503" s="209"/>
    </row>
    <row r="504" spans="1:11" ht="13.9" hidden="1">
      <c r="A504" s="204" t="s">
        <v>2070</v>
      </c>
      <c r="B504" t="s">
        <v>2071</v>
      </c>
      <c r="C504" s="205">
        <v>400</v>
      </c>
      <c r="D504" t="s">
        <v>30</v>
      </c>
      <c r="E504" s="207" t="s">
        <v>31</v>
      </c>
      <c r="F504" t="s">
        <v>32</v>
      </c>
      <c r="G504" s="204" t="s">
        <v>2072</v>
      </c>
      <c r="H504" t="s">
        <v>2073</v>
      </c>
      <c r="I504" s="204" t="s">
        <v>35</v>
      </c>
      <c r="J504" t="s">
        <v>36</v>
      </c>
      <c r="K504" s="209"/>
    </row>
    <row r="505" spans="1:11" ht="13.9" hidden="1">
      <c r="A505" s="204" t="s">
        <v>2074</v>
      </c>
      <c r="B505" t="s">
        <v>2075</v>
      </c>
      <c r="C505" s="205">
        <v>6000</v>
      </c>
      <c r="D505" t="s">
        <v>1355</v>
      </c>
      <c r="E505" s="207" t="s">
        <v>31</v>
      </c>
      <c r="F505" t="s">
        <v>32</v>
      </c>
      <c r="G505" s="204" t="s">
        <v>2076</v>
      </c>
      <c r="H505" t="s">
        <v>2077</v>
      </c>
      <c r="I505" s="204" t="s">
        <v>35</v>
      </c>
      <c r="J505" t="s">
        <v>36</v>
      </c>
      <c r="K505" s="209"/>
    </row>
    <row r="506" spans="1:11" ht="13.9" hidden="1">
      <c r="A506" s="204" t="s">
        <v>2078</v>
      </c>
      <c r="B506" t="s">
        <v>2079</v>
      </c>
      <c r="C506" s="205">
        <v>169.6</v>
      </c>
      <c r="D506" t="s">
        <v>44</v>
      </c>
      <c r="E506" s="207" t="s">
        <v>31</v>
      </c>
      <c r="F506" t="s">
        <v>32</v>
      </c>
      <c r="G506" s="204" t="s">
        <v>2080</v>
      </c>
      <c r="H506" t="s">
        <v>2081</v>
      </c>
      <c r="I506" s="204" t="s">
        <v>35</v>
      </c>
      <c r="J506" t="s">
        <v>36</v>
      </c>
      <c r="K506" s="209"/>
    </row>
    <row r="507" spans="1:11" ht="13.9" hidden="1">
      <c r="A507" s="204" t="s">
        <v>2082</v>
      </c>
      <c r="B507" t="s">
        <v>2083</v>
      </c>
      <c r="C507" s="205">
        <v>166.8</v>
      </c>
      <c r="D507" t="s">
        <v>54</v>
      </c>
      <c r="E507" s="207" t="s">
        <v>31</v>
      </c>
      <c r="F507" t="s">
        <v>32</v>
      </c>
      <c r="G507" s="204" t="s">
        <v>2084</v>
      </c>
      <c r="H507" t="s">
        <v>2085</v>
      </c>
      <c r="I507" s="204" t="s">
        <v>35</v>
      </c>
      <c r="J507" t="s">
        <v>36</v>
      </c>
      <c r="K507" s="209"/>
    </row>
    <row r="508" spans="1:11" ht="13.9" hidden="1">
      <c r="A508" s="204" t="s">
        <v>2086</v>
      </c>
      <c r="B508" t="s">
        <v>2087</v>
      </c>
      <c r="C508" s="205">
        <v>53</v>
      </c>
      <c r="D508" t="s">
        <v>90</v>
      </c>
      <c r="E508" s="207" t="s">
        <v>31</v>
      </c>
      <c r="F508" t="s">
        <v>32</v>
      </c>
      <c r="G508" s="204" t="s">
        <v>2088</v>
      </c>
      <c r="H508" t="s">
        <v>2089</v>
      </c>
      <c r="I508" s="204" t="s">
        <v>35</v>
      </c>
      <c r="J508" t="s">
        <v>36</v>
      </c>
      <c r="K508" s="209"/>
    </row>
    <row r="509" spans="1:11" ht="13.9" hidden="1">
      <c r="A509" s="204" t="s">
        <v>2090</v>
      </c>
      <c r="B509" t="s">
        <v>2091</v>
      </c>
      <c r="C509" s="205">
        <v>50.57</v>
      </c>
      <c r="D509" t="s">
        <v>39</v>
      </c>
      <c r="E509" s="207" t="s">
        <v>31</v>
      </c>
      <c r="F509" t="s">
        <v>32</v>
      </c>
      <c r="G509" s="204" t="s">
        <v>2092</v>
      </c>
      <c r="H509" t="s">
        <v>2093</v>
      </c>
      <c r="I509" s="204" t="s">
        <v>35</v>
      </c>
      <c r="J509" t="s">
        <v>36</v>
      </c>
      <c r="K509" s="209"/>
    </row>
    <row r="510" spans="1:11" ht="13.9" hidden="1">
      <c r="A510" s="204" t="s">
        <v>2094</v>
      </c>
      <c r="B510" t="s">
        <v>2095</v>
      </c>
      <c r="C510" s="205">
        <v>1933.33</v>
      </c>
      <c r="D510" t="s">
        <v>141</v>
      </c>
      <c r="E510" s="207" t="s">
        <v>31</v>
      </c>
      <c r="F510" t="s">
        <v>32</v>
      </c>
      <c r="G510" s="204" t="s">
        <v>2096</v>
      </c>
      <c r="H510" t="s">
        <v>2097</v>
      </c>
      <c r="I510" s="204" t="s">
        <v>35</v>
      </c>
      <c r="J510" t="s">
        <v>36</v>
      </c>
      <c r="K510" s="209"/>
    </row>
    <row r="511" spans="1:11" ht="13.9" hidden="1">
      <c r="A511" s="204" t="s">
        <v>2098</v>
      </c>
      <c r="B511" t="s">
        <v>2099</v>
      </c>
      <c r="C511" s="205">
        <v>64.319999999999993</v>
      </c>
      <c r="D511" t="s">
        <v>39</v>
      </c>
      <c r="E511" s="207" t="s">
        <v>31</v>
      </c>
      <c r="F511" t="s">
        <v>32</v>
      </c>
      <c r="G511" s="204" t="s">
        <v>2100</v>
      </c>
      <c r="H511" t="s">
        <v>2101</v>
      </c>
      <c r="I511" s="204" t="s">
        <v>35</v>
      </c>
      <c r="J511" t="s">
        <v>36</v>
      </c>
      <c r="K511" s="209"/>
    </row>
    <row r="512" spans="1:11" ht="13.9" hidden="1">
      <c r="A512" s="204" t="s">
        <v>2102</v>
      </c>
      <c r="B512" t="s">
        <v>2103</v>
      </c>
      <c r="C512" s="205">
        <v>159</v>
      </c>
      <c r="D512" t="s">
        <v>90</v>
      </c>
      <c r="E512" s="207" t="s">
        <v>31</v>
      </c>
      <c r="F512" t="s">
        <v>32</v>
      </c>
      <c r="G512" s="204" t="s">
        <v>2104</v>
      </c>
      <c r="H512" t="s">
        <v>2105</v>
      </c>
      <c r="I512" s="204" t="s">
        <v>35</v>
      </c>
      <c r="J512" t="s">
        <v>36</v>
      </c>
      <c r="K512" s="209"/>
    </row>
    <row r="513" spans="1:11" ht="13.9" hidden="1">
      <c r="A513" s="204" t="s">
        <v>2106</v>
      </c>
      <c r="B513" t="s">
        <v>2107</v>
      </c>
      <c r="C513" s="205">
        <v>222.6</v>
      </c>
      <c r="D513" t="s">
        <v>39</v>
      </c>
      <c r="E513" s="207" t="s">
        <v>31</v>
      </c>
      <c r="F513" t="s">
        <v>32</v>
      </c>
      <c r="G513" s="204" t="s">
        <v>2108</v>
      </c>
      <c r="H513" t="s">
        <v>2109</v>
      </c>
      <c r="I513" s="204" t="s">
        <v>35</v>
      </c>
      <c r="J513" t="s">
        <v>36</v>
      </c>
      <c r="K513" s="209"/>
    </row>
    <row r="514" spans="1:11" ht="13.9" hidden="1">
      <c r="A514" s="204" t="s">
        <v>2110</v>
      </c>
      <c r="B514" t="s">
        <v>2111</v>
      </c>
      <c r="C514" s="205">
        <v>614.79999999999995</v>
      </c>
      <c r="D514" t="s">
        <v>39</v>
      </c>
      <c r="E514" s="207" t="s">
        <v>31</v>
      </c>
      <c r="F514" t="s">
        <v>32</v>
      </c>
      <c r="G514" s="204" t="s">
        <v>2112</v>
      </c>
      <c r="H514" t="s">
        <v>2113</v>
      </c>
      <c r="I514" s="204" t="s">
        <v>35</v>
      </c>
      <c r="J514" t="s">
        <v>36</v>
      </c>
      <c r="K514" s="209"/>
    </row>
    <row r="515" spans="1:11" ht="13.9" hidden="1">
      <c r="A515" s="204" t="s">
        <v>2114</v>
      </c>
      <c r="B515" t="s">
        <v>2115</v>
      </c>
      <c r="C515" s="205">
        <v>137.66</v>
      </c>
      <c r="D515" t="s">
        <v>54</v>
      </c>
      <c r="E515" s="207" t="s">
        <v>31</v>
      </c>
      <c r="F515" t="s">
        <v>32</v>
      </c>
      <c r="G515" s="204" t="s">
        <v>2116</v>
      </c>
      <c r="H515" t="s">
        <v>2117</v>
      </c>
      <c r="I515" s="204" t="s">
        <v>35</v>
      </c>
      <c r="J515" t="s">
        <v>36</v>
      </c>
      <c r="K515" s="209"/>
    </row>
    <row r="516" spans="1:11" ht="13.9" hidden="1">
      <c r="A516" s="204" t="s">
        <v>2118</v>
      </c>
      <c r="B516" t="s">
        <v>2119</v>
      </c>
      <c r="C516" s="205">
        <v>416.67</v>
      </c>
      <c r="D516" t="s">
        <v>30</v>
      </c>
      <c r="E516" s="207" t="s">
        <v>31</v>
      </c>
      <c r="F516" t="s">
        <v>32</v>
      </c>
      <c r="G516" s="204" t="s">
        <v>2120</v>
      </c>
      <c r="H516" t="s">
        <v>2121</v>
      </c>
      <c r="I516" s="204" t="s">
        <v>35</v>
      </c>
      <c r="J516" t="s">
        <v>36</v>
      </c>
      <c r="K516" s="209"/>
    </row>
    <row r="517" spans="1:11" ht="13.9" hidden="1">
      <c r="A517" s="204" t="s">
        <v>2122</v>
      </c>
      <c r="B517" t="s">
        <v>2123</v>
      </c>
      <c r="C517" s="205">
        <v>2650</v>
      </c>
      <c r="D517" t="s">
        <v>141</v>
      </c>
      <c r="E517" s="207" t="s">
        <v>31</v>
      </c>
      <c r="F517" t="s">
        <v>32</v>
      </c>
      <c r="G517" s="204" t="s">
        <v>2124</v>
      </c>
      <c r="H517" t="s">
        <v>2125</v>
      </c>
      <c r="I517" s="204" t="s">
        <v>35</v>
      </c>
      <c r="J517" t="s">
        <v>36</v>
      </c>
      <c r="K517" s="209"/>
    </row>
    <row r="518" spans="1:11" ht="13.9" hidden="1">
      <c r="A518" s="204" t="s">
        <v>2126</v>
      </c>
      <c r="B518" t="s">
        <v>2127</v>
      </c>
      <c r="C518" s="205">
        <v>159</v>
      </c>
      <c r="D518" t="s">
        <v>30</v>
      </c>
      <c r="E518" s="207" t="s">
        <v>31</v>
      </c>
      <c r="F518" t="s">
        <v>32</v>
      </c>
      <c r="G518" s="204" t="s">
        <v>2128</v>
      </c>
      <c r="H518" t="s">
        <v>2129</v>
      </c>
      <c r="I518" s="204" t="s">
        <v>35</v>
      </c>
      <c r="J518" t="s">
        <v>36</v>
      </c>
      <c r="K518" s="209"/>
    </row>
    <row r="519" spans="1:11" ht="13.9" hidden="1">
      <c r="A519" s="204" t="s">
        <v>2130</v>
      </c>
      <c r="B519" t="s">
        <v>2131</v>
      </c>
      <c r="C519" s="205">
        <v>530</v>
      </c>
      <c r="D519" t="s">
        <v>95</v>
      </c>
      <c r="E519" s="207" t="s">
        <v>31</v>
      </c>
      <c r="F519" t="s">
        <v>32</v>
      </c>
      <c r="G519" s="204" t="s">
        <v>2132</v>
      </c>
      <c r="H519" t="s">
        <v>2133</v>
      </c>
      <c r="I519" s="204" t="s">
        <v>35</v>
      </c>
      <c r="J519" t="s">
        <v>36</v>
      </c>
      <c r="K519" s="209"/>
    </row>
    <row r="520" spans="1:11" ht="13.9" hidden="1">
      <c r="A520" s="204" t="s">
        <v>2134</v>
      </c>
      <c r="B520" t="s">
        <v>2135</v>
      </c>
      <c r="C520" s="205">
        <v>493.33</v>
      </c>
      <c r="D520" t="s">
        <v>39</v>
      </c>
      <c r="E520" s="207" t="s">
        <v>31</v>
      </c>
      <c r="F520" t="s">
        <v>32</v>
      </c>
      <c r="G520" s="204" t="s">
        <v>2136</v>
      </c>
      <c r="H520" t="s">
        <v>2137</v>
      </c>
      <c r="I520" s="204" t="s">
        <v>35</v>
      </c>
      <c r="J520" t="s">
        <v>36</v>
      </c>
      <c r="K520" s="209"/>
    </row>
    <row r="521" spans="1:11" ht="13.9" hidden="1">
      <c r="A521" s="204" t="s">
        <v>2138</v>
      </c>
      <c r="B521" t="s">
        <v>2139</v>
      </c>
      <c r="C521" s="205">
        <v>318</v>
      </c>
      <c r="D521" t="s">
        <v>30</v>
      </c>
      <c r="E521" s="207" t="s">
        <v>31</v>
      </c>
      <c r="F521" t="s">
        <v>32</v>
      </c>
      <c r="G521" s="204" t="s">
        <v>2140</v>
      </c>
      <c r="H521" t="s">
        <v>2141</v>
      </c>
      <c r="I521" s="204" t="s">
        <v>35</v>
      </c>
      <c r="J521" t="s">
        <v>36</v>
      </c>
      <c r="K521" s="209"/>
    </row>
    <row r="522" spans="1:11" ht="13.9" hidden="1">
      <c r="A522" s="204" t="s">
        <v>2142</v>
      </c>
      <c r="B522" t="s">
        <v>2143</v>
      </c>
      <c r="C522" s="205">
        <v>275.60000000000002</v>
      </c>
      <c r="D522" t="s">
        <v>141</v>
      </c>
      <c r="E522" s="207" t="s">
        <v>31</v>
      </c>
      <c r="F522" t="s">
        <v>32</v>
      </c>
      <c r="G522" s="204" t="s">
        <v>2144</v>
      </c>
      <c r="H522" t="s">
        <v>2145</v>
      </c>
      <c r="I522" s="204" t="s">
        <v>35</v>
      </c>
      <c r="J522" t="s">
        <v>36</v>
      </c>
      <c r="K522" s="209"/>
    </row>
    <row r="523" spans="1:11" ht="13.9" hidden="1">
      <c r="A523" s="204" t="s">
        <v>2146</v>
      </c>
      <c r="B523" t="s">
        <v>2147</v>
      </c>
      <c r="C523" s="205">
        <v>169.6</v>
      </c>
      <c r="D523" t="s">
        <v>39</v>
      </c>
      <c r="E523" s="207" t="s">
        <v>31</v>
      </c>
      <c r="F523" t="s">
        <v>32</v>
      </c>
      <c r="G523" s="204" t="s">
        <v>2148</v>
      </c>
      <c r="H523" t="s">
        <v>2149</v>
      </c>
      <c r="I523" s="204" t="s">
        <v>35</v>
      </c>
      <c r="J523" t="s">
        <v>36</v>
      </c>
      <c r="K523" s="209"/>
    </row>
    <row r="524" spans="1:11" ht="13.9" hidden="1">
      <c r="A524" s="204" t="s">
        <v>2150</v>
      </c>
      <c r="B524" t="s">
        <v>2151</v>
      </c>
      <c r="C524" s="205">
        <v>93.33</v>
      </c>
      <c r="D524" t="s">
        <v>237</v>
      </c>
      <c r="E524" s="207" t="s">
        <v>31</v>
      </c>
      <c r="F524" t="s">
        <v>32</v>
      </c>
      <c r="G524" s="204" t="s">
        <v>2152</v>
      </c>
      <c r="H524" t="s">
        <v>2153</v>
      </c>
      <c r="I524" s="204" t="s">
        <v>35</v>
      </c>
      <c r="J524" t="s">
        <v>36</v>
      </c>
      <c r="K524" s="209"/>
    </row>
    <row r="525" spans="1:11" ht="13.9" hidden="1">
      <c r="A525" s="204" t="s">
        <v>2154</v>
      </c>
      <c r="B525" t="s">
        <v>2155</v>
      </c>
      <c r="C525" s="205">
        <v>424</v>
      </c>
      <c r="D525" t="s">
        <v>30</v>
      </c>
      <c r="E525" s="207" t="s">
        <v>31</v>
      </c>
      <c r="F525" t="s">
        <v>32</v>
      </c>
      <c r="G525" s="204" t="s">
        <v>2156</v>
      </c>
      <c r="H525" t="s">
        <v>2157</v>
      </c>
      <c r="I525" s="204" t="s">
        <v>35</v>
      </c>
      <c r="J525" t="s">
        <v>36</v>
      </c>
      <c r="K525" s="209"/>
    </row>
    <row r="526" spans="1:11" ht="13.9" hidden="1">
      <c r="A526" s="204" t="s">
        <v>2158</v>
      </c>
      <c r="B526" t="s">
        <v>2159</v>
      </c>
      <c r="C526" s="205">
        <v>750</v>
      </c>
      <c r="D526" t="s">
        <v>39</v>
      </c>
      <c r="E526" s="207" t="s">
        <v>31</v>
      </c>
      <c r="F526" t="s">
        <v>32</v>
      </c>
      <c r="G526" s="204" t="s">
        <v>2160</v>
      </c>
      <c r="H526" t="s">
        <v>2161</v>
      </c>
      <c r="I526" s="204" t="s">
        <v>35</v>
      </c>
      <c r="J526" t="s">
        <v>36</v>
      </c>
      <c r="K526" s="209"/>
    </row>
    <row r="527" spans="1:11" ht="13.9" hidden="1">
      <c r="A527" s="204" t="s">
        <v>2162</v>
      </c>
      <c r="B527" t="s">
        <v>2163</v>
      </c>
      <c r="C527" s="205">
        <v>74.2</v>
      </c>
      <c r="D527" t="s">
        <v>54</v>
      </c>
      <c r="E527" s="207" t="s">
        <v>31</v>
      </c>
      <c r="F527" t="s">
        <v>32</v>
      </c>
      <c r="G527" s="204" t="s">
        <v>2164</v>
      </c>
      <c r="H527" t="s">
        <v>2165</v>
      </c>
      <c r="I527" s="204" t="s">
        <v>35</v>
      </c>
      <c r="J527" t="s">
        <v>36</v>
      </c>
      <c r="K527" s="209"/>
    </row>
    <row r="528" spans="1:11" ht="13.9" hidden="1">
      <c r="A528" s="204" t="s">
        <v>2166</v>
      </c>
      <c r="B528" t="s">
        <v>2167</v>
      </c>
      <c r="C528" s="205">
        <v>107.06</v>
      </c>
      <c r="D528" t="s">
        <v>39</v>
      </c>
      <c r="E528" s="207" t="s">
        <v>31</v>
      </c>
      <c r="F528" t="s">
        <v>32</v>
      </c>
      <c r="G528" s="204" t="s">
        <v>2168</v>
      </c>
      <c r="H528" t="s">
        <v>2169</v>
      </c>
      <c r="I528" s="204" t="s">
        <v>35</v>
      </c>
      <c r="J528" t="s">
        <v>36</v>
      </c>
      <c r="K528" s="209"/>
    </row>
    <row r="529" spans="1:11" ht="13.9" hidden="1">
      <c r="A529" s="204" t="s">
        <v>2170</v>
      </c>
      <c r="B529" t="s">
        <v>2171</v>
      </c>
      <c r="C529" s="205">
        <v>9.5399999999999991</v>
      </c>
      <c r="D529" t="s">
        <v>100</v>
      </c>
      <c r="E529" s="207" t="s">
        <v>31</v>
      </c>
      <c r="F529" t="s">
        <v>32</v>
      </c>
      <c r="G529" s="204" t="s">
        <v>2172</v>
      </c>
      <c r="H529" t="s">
        <v>2173</v>
      </c>
      <c r="I529" s="204" t="s">
        <v>35</v>
      </c>
      <c r="J529" t="s">
        <v>36</v>
      </c>
      <c r="K529" s="209"/>
    </row>
    <row r="530" spans="1:11" ht="13.9" hidden="1">
      <c r="A530" s="204" t="s">
        <v>2174</v>
      </c>
      <c r="B530" t="s">
        <v>2175</v>
      </c>
      <c r="C530" s="205">
        <v>31.8</v>
      </c>
      <c r="D530" t="s">
        <v>554</v>
      </c>
      <c r="E530" s="207" t="s">
        <v>31</v>
      </c>
      <c r="F530" t="s">
        <v>32</v>
      </c>
      <c r="G530" s="204" t="s">
        <v>2176</v>
      </c>
      <c r="H530" t="s">
        <v>2177</v>
      </c>
      <c r="I530" s="204" t="s">
        <v>35</v>
      </c>
      <c r="J530" t="s">
        <v>36</v>
      </c>
      <c r="K530" s="209"/>
    </row>
    <row r="531" spans="1:11" ht="13.9" hidden="1">
      <c r="A531" s="204" t="s">
        <v>2178</v>
      </c>
      <c r="B531" t="s">
        <v>2179</v>
      </c>
      <c r="C531" s="205">
        <v>530</v>
      </c>
      <c r="D531" t="s">
        <v>30</v>
      </c>
      <c r="E531" s="207" t="s">
        <v>31</v>
      </c>
      <c r="F531" t="s">
        <v>32</v>
      </c>
      <c r="G531" s="204" t="s">
        <v>2180</v>
      </c>
      <c r="H531" t="s">
        <v>2181</v>
      </c>
      <c r="I531" s="204" t="s">
        <v>35</v>
      </c>
      <c r="J531" t="s">
        <v>36</v>
      </c>
      <c r="K531" s="209"/>
    </row>
    <row r="532" spans="1:11" ht="13.9" hidden="1">
      <c r="A532" s="204" t="s">
        <v>2182</v>
      </c>
      <c r="B532" t="s">
        <v>2183</v>
      </c>
      <c r="C532" s="205">
        <v>68.900000000000006</v>
      </c>
      <c r="D532" t="s">
        <v>39</v>
      </c>
      <c r="E532" s="207" t="s">
        <v>31</v>
      </c>
      <c r="F532" t="s">
        <v>32</v>
      </c>
      <c r="G532" s="204" t="s">
        <v>2184</v>
      </c>
      <c r="H532" t="s">
        <v>2185</v>
      </c>
      <c r="I532" s="204" t="s">
        <v>35</v>
      </c>
      <c r="J532" t="s">
        <v>36</v>
      </c>
      <c r="K532" s="209"/>
    </row>
    <row r="533" spans="1:11" ht="13.9" hidden="1">
      <c r="A533" s="204" t="s">
        <v>2186</v>
      </c>
      <c r="B533" t="s">
        <v>2187</v>
      </c>
      <c r="C533" s="205">
        <v>848</v>
      </c>
      <c r="D533" t="s">
        <v>30</v>
      </c>
      <c r="E533" s="207" t="s">
        <v>31</v>
      </c>
      <c r="F533" t="s">
        <v>32</v>
      </c>
      <c r="G533" s="204" t="s">
        <v>2188</v>
      </c>
      <c r="H533" t="s">
        <v>2189</v>
      </c>
      <c r="I533" s="204" t="s">
        <v>35</v>
      </c>
      <c r="J533" t="s">
        <v>36</v>
      </c>
      <c r="K533" s="209"/>
    </row>
    <row r="534" spans="1:11" ht="13.9" hidden="1">
      <c r="A534" s="204" t="s">
        <v>2190</v>
      </c>
      <c r="B534" t="s">
        <v>2191</v>
      </c>
      <c r="C534" s="205">
        <v>4770</v>
      </c>
      <c r="D534" t="s">
        <v>95</v>
      </c>
      <c r="E534" s="207" t="s">
        <v>31</v>
      </c>
      <c r="F534" t="s">
        <v>32</v>
      </c>
      <c r="G534" s="204" t="s">
        <v>2192</v>
      </c>
      <c r="H534" t="s">
        <v>2193</v>
      </c>
      <c r="I534" s="204" t="s">
        <v>35</v>
      </c>
      <c r="J534" t="s">
        <v>36</v>
      </c>
      <c r="K534" s="209"/>
    </row>
    <row r="535" spans="1:11" ht="13.9">
      <c r="A535" s="204" t="s">
        <v>2194</v>
      </c>
      <c r="B535" t="s">
        <v>2195</v>
      </c>
      <c r="C535" s="205">
        <v>260</v>
      </c>
      <c r="D535" t="s">
        <v>2196</v>
      </c>
      <c r="E535" s="207" t="s">
        <v>31</v>
      </c>
      <c r="F535" t="s">
        <v>32</v>
      </c>
      <c r="G535" s="204" t="s">
        <v>2197</v>
      </c>
      <c r="H535" t="s">
        <v>2198</v>
      </c>
      <c r="I535" s="204" t="s">
        <v>35</v>
      </c>
      <c r="J535" t="s">
        <v>36</v>
      </c>
      <c r="K535" s="209"/>
    </row>
    <row r="536" spans="1:11" ht="13.9" hidden="1">
      <c r="A536" s="204" t="s">
        <v>2199</v>
      </c>
      <c r="B536" t="s">
        <v>2200</v>
      </c>
      <c r="C536" s="205">
        <v>318</v>
      </c>
      <c r="D536" t="s">
        <v>95</v>
      </c>
      <c r="E536" s="207" t="s">
        <v>31</v>
      </c>
      <c r="F536" t="s">
        <v>32</v>
      </c>
      <c r="G536" s="204" t="s">
        <v>2201</v>
      </c>
      <c r="H536" t="s">
        <v>2202</v>
      </c>
      <c r="I536" s="204" t="s">
        <v>35</v>
      </c>
      <c r="J536" t="s">
        <v>36</v>
      </c>
      <c r="K536" s="209"/>
    </row>
    <row r="537" spans="1:11" ht="13.9" hidden="1">
      <c r="A537" s="204" t="s">
        <v>2203</v>
      </c>
      <c r="B537" t="s">
        <v>2204</v>
      </c>
      <c r="C537" s="205">
        <v>0.06</v>
      </c>
      <c r="D537" t="s">
        <v>49</v>
      </c>
      <c r="E537" s="207" t="s">
        <v>31</v>
      </c>
      <c r="F537" t="s">
        <v>32</v>
      </c>
      <c r="G537" s="204" t="s">
        <v>2205</v>
      </c>
      <c r="H537" t="s">
        <v>2206</v>
      </c>
      <c r="I537" s="204" t="s">
        <v>35</v>
      </c>
      <c r="J537" t="s">
        <v>36</v>
      </c>
      <c r="K537" s="209"/>
    </row>
    <row r="538" spans="1:11" ht="13.9" hidden="1">
      <c r="A538" s="204" t="s">
        <v>2207</v>
      </c>
      <c r="B538" t="s">
        <v>2208</v>
      </c>
      <c r="C538" s="205">
        <v>212</v>
      </c>
      <c r="D538" t="s">
        <v>30</v>
      </c>
      <c r="E538" s="207" t="s">
        <v>31</v>
      </c>
      <c r="F538" t="s">
        <v>32</v>
      </c>
      <c r="G538" s="204" t="s">
        <v>2209</v>
      </c>
      <c r="H538" t="s">
        <v>2210</v>
      </c>
      <c r="I538" s="204" t="s">
        <v>35</v>
      </c>
      <c r="J538" t="s">
        <v>36</v>
      </c>
      <c r="K538" s="209"/>
    </row>
    <row r="539" spans="1:11" ht="13.9" hidden="1">
      <c r="A539" s="204" t="s">
        <v>2211</v>
      </c>
      <c r="B539" t="s">
        <v>2212</v>
      </c>
      <c r="C539" s="205">
        <v>848</v>
      </c>
      <c r="D539" t="s">
        <v>30</v>
      </c>
      <c r="E539" s="207" t="s">
        <v>31</v>
      </c>
      <c r="F539" t="s">
        <v>32</v>
      </c>
      <c r="G539" s="204" t="s">
        <v>2213</v>
      </c>
      <c r="H539" t="s">
        <v>2214</v>
      </c>
      <c r="I539" s="204" t="s">
        <v>35</v>
      </c>
      <c r="J539" t="s">
        <v>36</v>
      </c>
      <c r="K539" s="209"/>
    </row>
    <row r="540" spans="1:11" ht="13.9" hidden="1">
      <c r="A540" s="204" t="s">
        <v>2215</v>
      </c>
      <c r="B540" t="s">
        <v>2216</v>
      </c>
      <c r="C540" s="205">
        <v>127.2</v>
      </c>
      <c r="D540" t="s">
        <v>237</v>
      </c>
      <c r="E540" s="207" t="s">
        <v>31</v>
      </c>
      <c r="F540" t="s">
        <v>32</v>
      </c>
      <c r="G540" s="204" t="s">
        <v>2217</v>
      </c>
      <c r="H540" t="s">
        <v>2218</v>
      </c>
      <c r="I540" s="204" t="s">
        <v>35</v>
      </c>
      <c r="J540" t="s">
        <v>36</v>
      </c>
      <c r="K540" s="209"/>
    </row>
    <row r="541" spans="1:11" ht="13.9">
      <c r="A541" s="204" t="s">
        <v>2219</v>
      </c>
      <c r="B541" t="s">
        <v>2220</v>
      </c>
      <c r="C541" s="205">
        <v>614.79999999999995</v>
      </c>
      <c r="D541" t="s">
        <v>85</v>
      </c>
      <c r="E541" s="207" t="s">
        <v>31</v>
      </c>
      <c r="F541" t="s">
        <v>32</v>
      </c>
      <c r="G541" s="204" t="s">
        <v>2221</v>
      </c>
      <c r="H541" t="s">
        <v>2222</v>
      </c>
      <c r="I541" s="204" t="s">
        <v>35</v>
      </c>
      <c r="J541" t="s">
        <v>36</v>
      </c>
      <c r="K541" s="209"/>
    </row>
    <row r="542" spans="1:11" ht="13.9" hidden="1">
      <c r="A542" s="204" t="s">
        <v>2223</v>
      </c>
      <c r="B542" t="s">
        <v>2224</v>
      </c>
      <c r="C542" s="205">
        <v>1590</v>
      </c>
      <c r="D542" t="s">
        <v>95</v>
      </c>
      <c r="E542" s="207" t="s">
        <v>31</v>
      </c>
      <c r="F542" t="s">
        <v>32</v>
      </c>
      <c r="G542" s="204" t="s">
        <v>2225</v>
      </c>
      <c r="H542" t="s">
        <v>2226</v>
      </c>
      <c r="I542" s="204" t="s">
        <v>35</v>
      </c>
      <c r="J542" t="s">
        <v>36</v>
      </c>
      <c r="K542" s="209"/>
    </row>
    <row r="543" spans="1:11" ht="13.9" hidden="1">
      <c r="A543" s="204" t="s">
        <v>2227</v>
      </c>
      <c r="B543" t="s">
        <v>2228</v>
      </c>
      <c r="C543" s="205">
        <v>53</v>
      </c>
      <c r="D543" t="s">
        <v>39</v>
      </c>
      <c r="E543" s="207" t="s">
        <v>31</v>
      </c>
      <c r="F543" t="s">
        <v>32</v>
      </c>
      <c r="G543" s="204" t="s">
        <v>2229</v>
      </c>
      <c r="H543" t="s">
        <v>2230</v>
      </c>
      <c r="I543" s="204" t="s">
        <v>35</v>
      </c>
      <c r="J543" t="s">
        <v>36</v>
      </c>
      <c r="K543" s="209"/>
    </row>
    <row r="544" spans="1:11" ht="13.9" hidden="1">
      <c r="A544" s="204" t="s">
        <v>2231</v>
      </c>
      <c r="B544" t="s">
        <v>2232</v>
      </c>
      <c r="C544" s="205">
        <v>42.4</v>
      </c>
      <c r="D544" t="s">
        <v>54</v>
      </c>
      <c r="E544" s="207" t="s">
        <v>31</v>
      </c>
      <c r="F544" t="s">
        <v>32</v>
      </c>
      <c r="G544" s="204" t="s">
        <v>2233</v>
      </c>
      <c r="H544" t="s">
        <v>2234</v>
      </c>
      <c r="I544" s="204" t="s">
        <v>35</v>
      </c>
      <c r="J544" t="s">
        <v>36</v>
      </c>
      <c r="K544" s="209"/>
    </row>
    <row r="545" spans="1:11" ht="13.9" hidden="1">
      <c r="A545" s="204" t="s">
        <v>2235</v>
      </c>
      <c r="B545" t="s">
        <v>2236</v>
      </c>
      <c r="C545" s="205">
        <v>7</v>
      </c>
      <c r="D545" t="s">
        <v>100</v>
      </c>
      <c r="E545" s="207" t="s">
        <v>31</v>
      </c>
      <c r="F545" t="s">
        <v>32</v>
      </c>
      <c r="G545" s="204" t="s">
        <v>2237</v>
      </c>
      <c r="H545" t="s">
        <v>2238</v>
      </c>
      <c r="I545" s="204" t="s">
        <v>35</v>
      </c>
      <c r="J545" t="s">
        <v>36</v>
      </c>
      <c r="K545" s="209"/>
    </row>
    <row r="546" spans="1:11" ht="13.9" hidden="1">
      <c r="A546" s="204" t="s">
        <v>2239</v>
      </c>
      <c r="B546" t="s">
        <v>2240</v>
      </c>
      <c r="C546" s="205">
        <v>2650</v>
      </c>
      <c r="D546" t="s">
        <v>141</v>
      </c>
      <c r="E546" s="207" t="s">
        <v>31</v>
      </c>
      <c r="F546" t="s">
        <v>32</v>
      </c>
      <c r="G546" s="204" t="s">
        <v>2241</v>
      </c>
      <c r="H546" t="s">
        <v>2242</v>
      </c>
      <c r="I546" s="204" t="s">
        <v>35</v>
      </c>
      <c r="J546" t="s">
        <v>36</v>
      </c>
      <c r="K546" s="209"/>
    </row>
    <row r="547" spans="1:11" ht="13.9" hidden="1">
      <c r="A547" s="204" t="s">
        <v>2243</v>
      </c>
      <c r="B547" t="s">
        <v>2244</v>
      </c>
      <c r="C547" s="205">
        <v>50.88</v>
      </c>
      <c r="D547" t="s">
        <v>554</v>
      </c>
      <c r="E547" s="207" t="s">
        <v>31</v>
      </c>
      <c r="F547" t="s">
        <v>32</v>
      </c>
      <c r="G547" s="204" t="s">
        <v>2245</v>
      </c>
      <c r="H547" t="s">
        <v>2246</v>
      </c>
      <c r="I547" s="204" t="s">
        <v>35</v>
      </c>
      <c r="J547" t="s">
        <v>36</v>
      </c>
      <c r="K547" s="209"/>
    </row>
    <row r="548" spans="1:11" ht="13.9" hidden="1">
      <c r="A548" s="204" t="s">
        <v>2247</v>
      </c>
      <c r="B548" t="s">
        <v>2248</v>
      </c>
      <c r="C548" s="205">
        <v>1590</v>
      </c>
      <c r="D548" t="s">
        <v>30</v>
      </c>
      <c r="E548" s="207" t="s">
        <v>31</v>
      </c>
      <c r="F548" t="s">
        <v>32</v>
      </c>
      <c r="G548" s="204" t="s">
        <v>2249</v>
      </c>
      <c r="H548" t="s">
        <v>2250</v>
      </c>
      <c r="I548" s="204" t="s">
        <v>35</v>
      </c>
      <c r="J548" t="s">
        <v>36</v>
      </c>
      <c r="K548" s="209"/>
    </row>
    <row r="549" spans="1:11" ht="13.9" hidden="1">
      <c r="A549" s="204" t="s">
        <v>2251</v>
      </c>
      <c r="B549" t="s">
        <v>2252</v>
      </c>
      <c r="C549" s="205">
        <v>64.87</v>
      </c>
      <c r="D549" t="s">
        <v>39</v>
      </c>
      <c r="E549" s="207" t="s">
        <v>31</v>
      </c>
      <c r="F549" t="s">
        <v>32</v>
      </c>
      <c r="G549" s="204" t="s">
        <v>2253</v>
      </c>
      <c r="H549" t="s">
        <v>2254</v>
      </c>
      <c r="I549" s="204" t="s">
        <v>35</v>
      </c>
      <c r="J549" t="s">
        <v>36</v>
      </c>
      <c r="K549" s="209"/>
    </row>
    <row r="550" spans="1:11" ht="13.9" hidden="1">
      <c r="A550" s="204" t="s">
        <v>2255</v>
      </c>
      <c r="B550" t="s">
        <v>2256</v>
      </c>
      <c r="C550" s="205">
        <v>0</v>
      </c>
      <c r="D550" t="s">
        <v>49</v>
      </c>
      <c r="E550" s="207" t="s">
        <v>31</v>
      </c>
      <c r="F550" t="s">
        <v>32</v>
      </c>
      <c r="G550" s="204" t="s">
        <v>2257</v>
      </c>
      <c r="H550" t="s">
        <v>2258</v>
      </c>
      <c r="I550" s="204" t="s">
        <v>35</v>
      </c>
      <c r="J550" t="s">
        <v>36</v>
      </c>
      <c r="K550" s="209"/>
    </row>
    <row r="551" spans="1:11" ht="13.9">
      <c r="A551" s="204"/>
      <c r="B551"/>
      <c r="C551" s="205"/>
      <c r="D551"/>
      <c r="E551" s="207"/>
      <c r="F551"/>
      <c r="G551" s="204"/>
      <c r="H551"/>
      <c r="I551" s="204"/>
      <c r="J551"/>
      <c r="K551" s="209"/>
    </row>
    <row r="552" spans="1:11" ht="13.9">
      <c r="A552" s="204"/>
      <c r="B552"/>
      <c r="C552" s="205"/>
      <c r="D552"/>
      <c r="E552" s="207"/>
      <c r="F552"/>
      <c r="G552" s="204"/>
      <c r="H552"/>
      <c r="I552" s="204"/>
      <c r="J552"/>
      <c r="K552" s="209"/>
    </row>
    <row r="553" spans="1:11" ht="13.9">
      <c r="A553" s="204"/>
      <c r="B553"/>
      <c r="C553" s="205"/>
      <c r="D553"/>
      <c r="E553" s="207"/>
      <c r="F553"/>
      <c r="G553" s="204"/>
      <c r="H553"/>
      <c r="I553" s="204"/>
      <c r="J553"/>
      <c r="K553" s="209"/>
    </row>
    <row r="554" spans="1:11" ht="13.9">
      <c r="A554" s="204"/>
      <c r="B554"/>
      <c r="C554" s="205"/>
      <c r="D554"/>
      <c r="E554" s="207"/>
      <c r="F554"/>
      <c r="G554" s="204"/>
      <c r="H554"/>
      <c r="I554" s="204"/>
      <c r="J554"/>
      <c r="K554" s="209"/>
    </row>
    <row r="555" spans="1:11" ht="13.9">
      <c r="A555" s="204"/>
      <c r="B555"/>
      <c r="C555" s="205"/>
      <c r="D555"/>
      <c r="E555" s="207"/>
      <c r="F555"/>
      <c r="G555" s="204"/>
      <c r="H555"/>
      <c r="I555" s="204"/>
      <c r="J555"/>
      <c r="K555" s="209"/>
    </row>
    <row r="556" spans="1:11" ht="13.9">
      <c r="A556" s="204"/>
      <c r="B556"/>
      <c r="C556" s="205"/>
      <c r="D556"/>
      <c r="E556" s="207"/>
      <c r="F556"/>
      <c r="G556" s="204"/>
      <c r="H556"/>
      <c r="I556" s="204"/>
      <c r="J556"/>
      <c r="K556" s="209"/>
    </row>
    <row r="557" spans="1:11" ht="13.9">
      <c r="A557" s="204"/>
      <c r="B557"/>
      <c r="C557" s="205"/>
      <c r="D557"/>
      <c r="E557" s="207"/>
      <c r="F557"/>
      <c r="G557" s="204"/>
      <c r="H557"/>
      <c r="I557" s="204"/>
      <c r="J557"/>
      <c r="K557" s="209"/>
    </row>
    <row r="558" spans="1:11" ht="13.9">
      <c r="A558" s="204"/>
      <c r="B558"/>
      <c r="C558" s="205"/>
      <c r="D558"/>
      <c r="E558" s="207"/>
      <c r="F558"/>
      <c r="G558" s="204"/>
      <c r="H558"/>
      <c r="I558" s="204"/>
      <c r="J558"/>
      <c r="K558" s="209"/>
    </row>
    <row r="559" spans="1:11" ht="13.9">
      <c r="A559" s="204"/>
      <c r="B559"/>
      <c r="C559" s="205"/>
      <c r="D559"/>
      <c r="E559" s="207"/>
      <c r="F559"/>
      <c r="G559" s="204"/>
      <c r="H559"/>
      <c r="I559" s="204"/>
      <c r="J559"/>
      <c r="K559" s="209"/>
    </row>
    <row r="560" spans="1:11" ht="13.9">
      <c r="A560" s="204"/>
      <c r="B560"/>
      <c r="C560" s="205"/>
      <c r="D560"/>
      <c r="E560" s="207"/>
      <c r="F560"/>
      <c r="G560" s="204"/>
      <c r="H560"/>
      <c r="I560" s="204"/>
      <c r="J560"/>
      <c r="K560" s="209"/>
    </row>
    <row r="561" spans="1:11" ht="13.9">
      <c r="A561" s="204"/>
      <c r="B561"/>
      <c r="C561" s="205"/>
      <c r="D561"/>
      <c r="E561" s="207"/>
      <c r="F561"/>
      <c r="G561" s="204"/>
      <c r="H561"/>
      <c r="I561" s="204"/>
      <c r="J561"/>
      <c r="K561" s="209"/>
    </row>
    <row r="562" spans="1:11" ht="13.9">
      <c r="A562" s="204"/>
      <c r="B562"/>
      <c r="C562" s="205"/>
      <c r="D562"/>
      <c r="E562" s="207"/>
      <c r="F562"/>
      <c r="G562" s="204"/>
      <c r="H562"/>
      <c r="I562" s="204"/>
      <c r="J562"/>
      <c r="K562" s="209"/>
    </row>
    <row r="563" spans="1:11" ht="13.9">
      <c r="A563" s="204"/>
      <c r="B563"/>
      <c r="C563" s="205"/>
      <c r="D563"/>
      <c r="E563" s="207"/>
      <c r="F563"/>
      <c r="G563" s="204"/>
      <c r="H563"/>
      <c r="I563" s="204"/>
      <c r="J563"/>
      <c r="K563" s="209"/>
    </row>
    <row r="564" spans="1:11" ht="13.9">
      <c r="A564" s="204"/>
      <c r="B564"/>
      <c r="C564" s="205"/>
      <c r="D564"/>
      <c r="E564" s="207"/>
      <c r="F564"/>
      <c r="G564" s="204"/>
      <c r="H564"/>
      <c r="I564" s="204"/>
      <c r="J564"/>
      <c r="K564" s="209"/>
    </row>
    <row r="565" spans="1:11" ht="13.9">
      <c r="A565" s="204"/>
      <c r="B565"/>
      <c r="C565" s="205"/>
      <c r="D565"/>
      <c r="E565" s="207"/>
      <c r="F565"/>
      <c r="G565" s="204"/>
      <c r="H565"/>
      <c r="I565" s="204"/>
      <c r="J565"/>
      <c r="K565" s="209"/>
    </row>
    <row r="566" spans="1:11" ht="13.9">
      <c r="A566" s="204"/>
      <c r="B566"/>
      <c r="C566" s="205"/>
      <c r="D566"/>
      <c r="E566" s="207"/>
      <c r="F566"/>
      <c r="G566" s="204"/>
      <c r="H566"/>
      <c r="I566" s="204"/>
      <c r="J566"/>
      <c r="K566" s="209"/>
    </row>
    <row r="567" spans="1:11" ht="13.9">
      <c r="A567" s="204"/>
      <c r="B567"/>
      <c r="C567" s="205"/>
      <c r="D567"/>
      <c r="E567" s="207"/>
      <c r="F567"/>
      <c r="G567" s="204"/>
      <c r="H567"/>
      <c r="I567" s="204"/>
      <c r="J567"/>
      <c r="K567" s="209"/>
    </row>
    <row r="568" spans="1:11" ht="13.9">
      <c r="A568" s="204"/>
      <c r="B568"/>
      <c r="C568" s="205"/>
      <c r="D568"/>
      <c r="E568" s="207"/>
      <c r="F568"/>
      <c r="G568" s="204"/>
      <c r="H568"/>
      <c r="I568" s="204"/>
      <c r="J568"/>
      <c r="K568" s="209"/>
    </row>
    <row r="569" spans="1:11" ht="13.9">
      <c r="A569" s="204"/>
      <c r="B569"/>
      <c r="C569" s="205"/>
      <c r="D569"/>
      <c r="E569" s="207"/>
      <c r="F569"/>
      <c r="G569" s="204"/>
      <c r="H569"/>
      <c r="I569" s="204"/>
      <c r="J569"/>
      <c r="K569" s="209"/>
    </row>
    <row r="570" spans="1:11" ht="13.9">
      <c r="A570" s="204"/>
      <c r="B570"/>
      <c r="C570" s="205"/>
      <c r="D570"/>
      <c r="E570" s="207"/>
      <c r="F570"/>
      <c r="G570" s="204"/>
      <c r="H570"/>
      <c r="I570" s="204"/>
      <c r="J570"/>
      <c r="K570" s="209"/>
    </row>
    <row r="571" spans="1:11" ht="13.9">
      <c r="A571" s="204"/>
      <c r="B571"/>
      <c r="C571" s="205"/>
      <c r="D571"/>
      <c r="E571" s="207"/>
      <c r="F571"/>
      <c r="G571" s="204"/>
      <c r="H571"/>
      <c r="I571" s="204"/>
      <c r="J571"/>
      <c r="K571" s="209"/>
    </row>
    <row r="572" spans="1:11" ht="13.9">
      <c r="A572" s="204"/>
      <c r="B572"/>
      <c r="C572" s="205"/>
      <c r="D572"/>
      <c r="E572" s="207"/>
      <c r="F572"/>
      <c r="G572" s="204"/>
      <c r="H572"/>
      <c r="I572" s="204"/>
      <c r="J572"/>
      <c r="K572" s="209"/>
    </row>
    <row r="573" spans="1:11" ht="13.9">
      <c r="A573" s="204"/>
      <c r="B573"/>
      <c r="C573" s="205"/>
      <c r="D573"/>
      <c r="E573" s="207"/>
      <c r="F573"/>
      <c r="G573" s="204"/>
      <c r="H573"/>
      <c r="I573" s="204"/>
      <c r="J573"/>
      <c r="K573" s="209"/>
    </row>
    <row r="574" spans="1:11" ht="13.9">
      <c r="A574" s="204"/>
      <c r="B574"/>
      <c r="C574" s="205"/>
      <c r="D574"/>
      <c r="E574" s="207"/>
      <c r="F574"/>
      <c r="G574" s="204"/>
      <c r="H574"/>
      <c r="I574" s="204"/>
      <c r="J574"/>
      <c r="K574" s="209"/>
    </row>
    <row r="575" spans="1:11" ht="13.9">
      <c r="A575" s="204"/>
      <c r="B575"/>
      <c r="C575" s="205"/>
      <c r="D575"/>
      <c r="E575" s="207"/>
      <c r="F575"/>
      <c r="G575" s="204"/>
      <c r="H575"/>
      <c r="I575" s="204"/>
      <c r="J575"/>
      <c r="K575" s="209"/>
    </row>
    <row r="576" spans="1:11" ht="13.9">
      <c r="A576" s="204"/>
      <c r="B576"/>
      <c r="C576" s="205"/>
      <c r="D576"/>
      <c r="E576" s="207"/>
      <c r="F576"/>
      <c r="G576" s="204"/>
      <c r="H576"/>
      <c r="I576" s="204"/>
      <c r="J576"/>
      <c r="K576" s="209"/>
    </row>
    <row r="577" spans="1:11" ht="13.9">
      <c r="A577" s="204"/>
      <c r="B577"/>
      <c r="C577" s="205"/>
      <c r="D577"/>
      <c r="E577" s="207"/>
      <c r="F577"/>
      <c r="G577" s="204"/>
      <c r="H577"/>
      <c r="I577" s="204"/>
      <c r="J577"/>
      <c r="K577" s="209"/>
    </row>
    <row r="578" spans="1:11" ht="13.9">
      <c r="A578" s="204"/>
      <c r="B578"/>
      <c r="C578" s="205"/>
      <c r="D578"/>
      <c r="E578" s="207"/>
      <c r="F578"/>
      <c r="G578" s="204"/>
      <c r="H578"/>
      <c r="I578" s="204"/>
      <c r="J578"/>
      <c r="K578" s="209"/>
    </row>
    <row r="579" spans="1:11" ht="13.9">
      <c r="A579" s="204"/>
      <c r="B579"/>
      <c r="C579" s="205"/>
      <c r="D579"/>
      <c r="E579" s="207"/>
      <c r="F579"/>
      <c r="G579" s="204"/>
      <c r="H579"/>
      <c r="I579" s="204"/>
      <c r="J579"/>
      <c r="K579" s="209"/>
    </row>
    <row r="580" spans="1:11" ht="13.9">
      <c r="A580" s="204"/>
      <c r="B580"/>
      <c r="C580" s="205"/>
      <c r="D580"/>
      <c r="E580" s="207"/>
      <c r="F580"/>
      <c r="G580" s="204"/>
      <c r="H580"/>
      <c r="I580" s="204"/>
      <c r="J580"/>
      <c r="K580" s="209"/>
    </row>
    <row r="581" spans="1:11" ht="13.9">
      <c r="A581" s="204"/>
      <c r="B581"/>
      <c r="C581" s="205"/>
      <c r="D581"/>
      <c r="E581" s="207"/>
      <c r="F581"/>
      <c r="G581" s="204"/>
      <c r="H581"/>
      <c r="I581" s="204"/>
      <c r="J581"/>
      <c r="K581" s="209"/>
    </row>
    <row r="582" spans="1:11" ht="13.9">
      <c r="A582" s="204"/>
      <c r="B582"/>
      <c r="C582" s="205"/>
      <c r="D582"/>
      <c r="E582" s="207"/>
      <c r="F582"/>
      <c r="G582" s="204"/>
      <c r="H582"/>
      <c r="I582" s="204"/>
      <c r="J582"/>
      <c r="K582" s="209"/>
    </row>
    <row r="583" spans="1:11" ht="13.9">
      <c r="A583" s="204"/>
      <c r="B583"/>
      <c r="C583" s="205"/>
      <c r="D583"/>
      <c r="E583" s="207"/>
      <c r="F583"/>
      <c r="G583" s="204"/>
      <c r="H583"/>
      <c r="I583" s="204"/>
      <c r="J583"/>
      <c r="K583" s="209"/>
    </row>
    <row r="584" spans="1:11" ht="13.9">
      <c r="A584" s="204"/>
      <c r="B584"/>
      <c r="C584" s="205"/>
      <c r="D584"/>
      <c r="E584" s="207"/>
      <c r="F584"/>
      <c r="G584" s="204"/>
      <c r="H584"/>
      <c r="I584" s="204"/>
      <c r="J584"/>
      <c r="K584" s="209"/>
    </row>
    <row r="585" spans="1:11" ht="13.9">
      <c r="A585" s="204"/>
      <c r="B585"/>
      <c r="C585" s="205"/>
      <c r="D585"/>
      <c r="E585" s="207"/>
      <c r="F585"/>
      <c r="G585" s="204"/>
      <c r="H585"/>
      <c r="I585" s="204"/>
      <c r="J585"/>
      <c r="K585" s="209"/>
    </row>
    <row r="586" spans="1:11" ht="13.9">
      <c r="A586" s="204"/>
      <c r="B586"/>
      <c r="C586" s="205"/>
      <c r="D586"/>
      <c r="E586" s="207"/>
      <c r="F586"/>
      <c r="G586" s="204"/>
      <c r="H586"/>
      <c r="I586" s="204"/>
      <c r="J586"/>
      <c r="K586" s="209"/>
    </row>
    <row r="587" spans="1:11" ht="13.9">
      <c r="A587" s="204"/>
      <c r="B587"/>
      <c r="C587" s="205"/>
      <c r="D587"/>
      <c r="E587" s="207"/>
      <c r="F587"/>
      <c r="G587" s="204"/>
      <c r="H587"/>
      <c r="I587" s="204"/>
      <c r="J587"/>
      <c r="K587" s="209"/>
    </row>
    <row r="588" spans="1:11" ht="13.9">
      <c r="A588" s="204"/>
      <c r="B588"/>
      <c r="C588" s="205"/>
      <c r="D588"/>
      <c r="E588" s="207"/>
      <c r="F588"/>
      <c r="G588" s="204"/>
      <c r="H588"/>
      <c r="I588" s="204"/>
      <c r="J588"/>
      <c r="K588" s="209"/>
    </row>
    <row r="589" spans="1:11" ht="13.9">
      <c r="A589" s="204"/>
      <c r="B589"/>
      <c r="C589" s="205"/>
      <c r="D589"/>
      <c r="E589" s="207"/>
      <c r="F589"/>
      <c r="G589" s="204"/>
      <c r="H589"/>
      <c r="I589" s="204"/>
      <c r="J589"/>
      <c r="K589" s="209"/>
    </row>
    <row r="590" spans="1:11" ht="13.9">
      <c r="A590" s="204"/>
      <c r="B590"/>
      <c r="C590" s="205"/>
      <c r="D590"/>
      <c r="E590" s="207"/>
      <c r="F590"/>
      <c r="G590" s="204"/>
      <c r="H590"/>
      <c r="I590" s="204"/>
      <c r="J590"/>
      <c r="K590" s="209"/>
    </row>
    <row r="591" spans="1:11" ht="13.9">
      <c r="A591" s="204"/>
      <c r="B591"/>
      <c r="C591" s="205"/>
      <c r="D591"/>
      <c r="E591" s="207"/>
      <c r="F591"/>
      <c r="G591" s="204"/>
      <c r="H591"/>
      <c r="I591" s="204"/>
      <c r="J591"/>
      <c r="K591" s="209"/>
    </row>
    <row r="592" spans="1:11" ht="13.9">
      <c r="A592" s="204"/>
      <c r="B592"/>
      <c r="C592" s="205"/>
      <c r="D592"/>
      <c r="E592" s="207"/>
      <c r="F592"/>
      <c r="G592" s="204"/>
      <c r="H592"/>
      <c r="I592" s="204"/>
      <c r="J592"/>
      <c r="K592" s="209"/>
    </row>
    <row r="593" spans="1:11" ht="13.9">
      <c r="A593" s="204"/>
      <c r="B593"/>
      <c r="C593" s="205"/>
      <c r="D593"/>
      <c r="E593" s="207"/>
      <c r="F593"/>
      <c r="G593" s="204"/>
      <c r="H593"/>
      <c r="I593" s="204"/>
      <c r="J593"/>
      <c r="K593" s="209"/>
    </row>
    <row r="594" spans="1:11" ht="13.9">
      <c r="A594" s="204"/>
      <c r="B594"/>
      <c r="C594" s="205"/>
      <c r="D594"/>
      <c r="E594" s="207"/>
      <c r="F594"/>
      <c r="G594" s="204"/>
      <c r="H594"/>
      <c r="I594" s="204"/>
      <c r="J594"/>
      <c r="K594" s="209"/>
    </row>
    <row r="595" spans="1:11" ht="13.9">
      <c r="A595" s="204"/>
      <c r="B595"/>
      <c r="C595" s="205"/>
      <c r="D595"/>
      <c r="E595" s="207"/>
      <c r="F595"/>
      <c r="G595" s="204"/>
      <c r="H595"/>
      <c r="I595" s="204"/>
      <c r="J595"/>
      <c r="K595" s="209"/>
    </row>
    <row r="596" spans="1:11" ht="13.9">
      <c r="A596" s="204"/>
      <c r="B596"/>
      <c r="C596" s="205"/>
      <c r="D596"/>
      <c r="E596" s="207"/>
      <c r="F596"/>
      <c r="G596" s="204"/>
      <c r="H596"/>
      <c r="I596" s="204"/>
      <c r="J596"/>
      <c r="K596" s="209"/>
    </row>
    <row r="597" spans="1:11" ht="13.9">
      <c r="A597" s="204"/>
      <c r="B597"/>
      <c r="C597" s="205"/>
      <c r="D597"/>
      <c r="E597" s="207"/>
      <c r="F597"/>
      <c r="G597" s="204"/>
      <c r="H597"/>
      <c r="I597" s="204"/>
      <c r="J597"/>
      <c r="K597" s="209"/>
    </row>
    <row r="598" spans="1:11" ht="13.9">
      <c r="A598" s="204"/>
      <c r="B598"/>
      <c r="C598" s="205"/>
      <c r="D598"/>
      <c r="E598" s="207"/>
      <c r="F598"/>
      <c r="G598" s="204"/>
      <c r="H598"/>
      <c r="I598" s="204"/>
      <c r="J598"/>
      <c r="K598" s="209"/>
    </row>
    <row r="599" spans="1:11" ht="13.9">
      <c r="A599" s="204"/>
      <c r="B599"/>
      <c r="C599" s="205"/>
      <c r="D599"/>
      <c r="E599" s="207"/>
      <c r="F599"/>
      <c r="G599" s="204"/>
      <c r="H599"/>
      <c r="I599" s="204"/>
      <c r="J599"/>
      <c r="K599" s="209"/>
    </row>
    <row r="600" spans="1:11" ht="13.9">
      <c r="A600" s="204"/>
      <c r="B600"/>
      <c r="C600" s="205"/>
      <c r="D600"/>
      <c r="E600" s="207"/>
      <c r="F600"/>
      <c r="G600" s="204"/>
      <c r="H600"/>
      <c r="I600" s="204"/>
      <c r="J600"/>
      <c r="K600" s="209"/>
    </row>
    <row r="601" spans="1:11" ht="13.9">
      <c r="A601" s="204"/>
      <c r="B601"/>
      <c r="C601" s="205"/>
      <c r="D601"/>
      <c r="E601" s="207"/>
      <c r="F601"/>
      <c r="G601" s="204"/>
      <c r="H601"/>
      <c r="I601" s="204"/>
      <c r="J601"/>
      <c r="K601" s="209"/>
    </row>
    <row r="602" spans="1:11" ht="13.9">
      <c r="A602" s="204"/>
      <c r="B602"/>
      <c r="C602" s="205"/>
      <c r="D602"/>
      <c r="E602" s="207"/>
      <c r="F602"/>
      <c r="G602" s="204"/>
      <c r="H602"/>
      <c r="I602" s="204"/>
      <c r="J602"/>
      <c r="K602" s="209"/>
    </row>
    <row r="603" spans="1:11" ht="13.9">
      <c r="A603" s="204"/>
      <c r="B603"/>
      <c r="C603" s="205"/>
      <c r="D603"/>
      <c r="E603" s="207"/>
      <c r="F603"/>
      <c r="G603" s="204"/>
      <c r="H603"/>
      <c r="I603" s="204"/>
      <c r="J603"/>
      <c r="K603" s="209"/>
    </row>
    <row r="604" spans="1:11" ht="13.9">
      <c r="A604" s="204"/>
      <c r="B604"/>
      <c r="C604" s="205"/>
      <c r="D604"/>
      <c r="E604" s="207"/>
      <c r="F604"/>
      <c r="G604" s="204"/>
      <c r="H604"/>
      <c r="I604" s="204"/>
      <c r="J604"/>
      <c r="K604" s="209"/>
    </row>
    <row r="605" spans="1:11" ht="13.9">
      <c r="A605" s="204"/>
      <c r="B605"/>
      <c r="C605" s="205"/>
      <c r="D605"/>
      <c r="E605" s="207"/>
      <c r="F605"/>
      <c r="G605" s="204"/>
      <c r="H605"/>
      <c r="I605" s="204"/>
      <c r="J605"/>
      <c r="K605" s="209"/>
    </row>
    <row r="606" spans="1:11" ht="13.9">
      <c r="A606" s="204"/>
      <c r="B606"/>
      <c r="C606" s="205"/>
      <c r="D606"/>
      <c r="E606" s="207"/>
      <c r="F606"/>
      <c r="G606" s="204"/>
      <c r="H606"/>
      <c r="I606" s="204"/>
      <c r="J606"/>
      <c r="K606" s="209"/>
    </row>
    <row r="607" spans="1:11" ht="13.9">
      <c r="A607" s="204"/>
      <c r="B607"/>
      <c r="C607" s="205"/>
      <c r="D607"/>
      <c r="E607" s="207"/>
      <c r="F607"/>
      <c r="G607" s="204"/>
      <c r="H607"/>
      <c r="I607" s="204"/>
      <c r="J607"/>
      <c r="K607" s="209"/>
    </row>
    <row r="608" spans="1:11" ht="13.9">
      <c r="A608" s="204"/>
      <c r="B608"/>
      <c r="C608" s="205"/>
      <c r="D608"/>
      <c r="E608" s="207"/>
      <c r="F608"/>
      <c r="G608" s="204"/>
      <c r="H608"/>
      <c r="I608" s="204"/>
      <c r="J608"/>
      <c r="K608" s="209"/>
    </row>
    <row r="609" spans="1:11" ht="13.9">
      <c r="A609" s="204"/>
      <c r="B609"/>
      <c r="C609" s="205"/>
      <c r="D609"/>
      <c r="E609" s="207"/>
      <c r="F609"/>
      <c r="G609" s="204"/>
      <c r="H609"/>
      <c r="I609" s="204"/>
      <c r="J609"/>
      <c r="K609" s="209"/>
    </row>
    <row r="610" spans="1:11" ht="13.9">
      <c r="A610" s="204"/>
      <c r="B610"/>
      <c r="C610" s="205"/>
      <c r="D610"/>
      <c r="E610" s="207"/>
      <c r="F610"/>
      <c r="G610" s="204"/>
      <c r="H610"/>
      <c r="I610" s="204"/>
      <c r="J610"/>
      <c r="K610" s="209"/>
    </row>
    <row r="611" spans="1:11" ht="13.9">
      <c r="A611" s="204"/>
      <c r="B611"/>
      <c r="C611" s="205"/>
      <c r="D611"/>
      <c r="E611" s="207"/>
      <c r="F611"/>
      <c r="G611" s="204"/>
      <c r="H611"/>
      <c r="I611" s="204"/>
      <c r="J611"/>
      <c r="K611" s="209"/>
    </row>
    <row r="612" spans="1:11" ht="13.9">
      <c r="A612" s="204"/>
      <c r="B612"/>
      <c r="C612" s="205"/>
      <c r="D612"/>
      <c r="E612" s="207"/>
      <c r="F612"/>
      <c r="G612" s="204"/>
      <c r="H612"/>
      <c r="I612" s="204"/>
      <c r="J612"/>
      <c r="K612" s="209"/>
    </row>
    <row r="613" spans="1:11" ht="13.9">
      <c r="A613" s="204"/>
      <c r="B613"/>
      <c r="C613" s="205"/>
      <c r="D613"/>
      <c r="E613" s="207"/>
      <c r="F613"/>
      <c r="G613" s="204"/>
      <c r="H613"/>
      <c r="I613" s="204"/>
      <c r="J613"/>
      <c r="K613" s="209"/>
    </row>
    <row r="614" spans="1:11" ht="13.9">
      <c r="A614" s="204"/>
      <c r="B614"/>
      <c r="C614" s="205"/>
      <c r="D614"/>
      <c r="E614" s="207"/>
      <c r="F614"/>
      <c r="G614" s="204"/>
      <c r="H614"/>
      <c r="I614" s="204"/>
      <c r="J614"/>
      <c r="K614" s="209"/>
    </row>
    <row r="615" spans="1:11" ht="13.9">
      <c r="A615" s="204"/>
      <c r="B615"/>
      <c r="C615" s="205"/>
      <c r="D615"/>
      <c r="E615" s="207"/>
      <c r="F615"/>
      <c r="G615" s="204"/>
      <c r="H615"/>
      <c r="I615" s="204"/>
      <c r="J615"/>
      <c r="K615" s="209"/>
    </row>
    <row r="616" spans="1:11" ht="13.9">
      <c r="A616" s="204"/>
      <c r="B616"/>
      <c r="C616" s="205"/>
      <c r="D616"/>
      <c r="E616" s="207"/>
      <c r="F616"/>
      <c r="G616" s="204"/>
      <c r="H616"/>
      <c r="I616" s="204"/>
      <c r="J616"/>
      <c r="K616" s="209"/>
    </row>
    <row r="617" spans="1:11" ht="13.9">
      <c r="A617" s="204"/>
      <c r="B617"/>
      <c r="C617" s="205"/>
      <c r="D617"/>
      <c r="E617" s="207"/>
      <c r="F617"/>
      <c r="G617" s="204"/>
      <c r="H617"/>
      <c r="I617" s="204"/>
      <c r="J617"/>
      <c r="K617" s="209"/>
    </row>
    <row r="618" spans="1:11" ht="13.9">
      <c r="A618" s="204"/>
      <c r="B618"/>
      <c r="C618" s="205"/>
      <c r="D618"/>
      <c r="E618" s="207"/>
      <c r="F618"/>
      <c r="G618" s="204"/>
      <c r="H618"/>
      <c r="I618" s="204"/>
      <c r="J618"/>
      <c r="K618" s="209"/>
    </row>
    <row r="619" spans="1:11" ht="13.9">
      <c r="A619" s="204"/>
      <c r="B619"/>
      <c r="C619" s="205"/>
      <c r="D619"/>
      <c r="E619" s="207"/>
      <c r="F619"/>
      <c r="G619" s="204"/>
      <c r="H619"/>
      <c r="I619" s="204"/>
      <c r="J619"/>
      <c r="K619" s="209"/>
    </row>
    <row r="620" spans="1:11" ht="13.9">
      <c r="A620" s="204"/>
      <c r="B620"/>
      <c r="C620" s="205"/>
      <c r="D620"/>
      <c r="E620" s="207"/>
      <c r="F620"/>
      <c r="G620" s="204"/>
      <c r="H620"/>
      <c r="I620" s="204"/>
      <c r="J620"/>
      <c r="K620" s="209"/>
    </row>
    <row r="621" spans="1:11" ht="13.9">
      <c r="A621" s="204"/>
      <c r="B621"/>
      <c r="C621" s="205"/>
      <c r="D621"/>
      <c r="E621" s="207"/>
      <c r="F621"/>
      <c r="G621" s="204"/>
      <c r="H621"/>
      <c r="I621" s="204"/>
      <c r="J621"/>
      <c r="K621" s="209"/>
    </row>
    <row r="622" spans="1:11" ht="13.9">
      <c r="A622" s="204"/>
      <c r="B622"/>
      <c r="C622" s="205"/>
      <c r="D622"/>
      <c r="E622" s="207"/>
      <c r="F622"/>
      <c r="G622" s="204"/>
      <c r="H622"/>
      <c r="I622" s="204"/>
      <c r="J622"/>
      <c r="K622" s="209"/>
    </row>
    <row r="623" spans="1:11" ht="13.9">
      <c r="A623" s="204"/>
      <c r="B623"/>
      <c r="C623" s="205"/>
      <c r="D623"/>
      <c r="E623" s="207"/>
      <c r="F623"/>
      <c r="G623" s="204"/>
      <c r="H623"/>
      <c r="I623" s="204"/>
      <c r="J623"/>
      <c r="K623" s="209"/>
    </row>
    <row r="624" spans="1:11" ht="13.9">
      <c r="A624" s="204"/>
      <c r="B624"/>
      <c r="C624" s="205"/>
      <c r="D624"/>
      <c r="E624" s="207"/>
      <c r="F624"/>
      <c r="G624" s="204"/>
      <c r="H624"/>
      <c r="I624" s="204"/>
      <c r="J624"/>
      <c r="K624" s="209"/>
    </row>
    <row r="625" spans="1:11" ht="13.9">
      <c r="A625" s="204"/>
      <c r="B625"/>
      <c r="C625" s="205"/>
      <c r="D625"/>
      <c r="E625" s="207"/>
      <c r="F625"/>
      <c r="G625" s="204"/>
      <c r="H625"/>
      <c r="I625" s="204"/>
      <c r="J625"/>
      <c r="K625" s="209"/>
    </row>
    <row r="626" spans="1:11" ht="13.9">
      <c r="A626" s="204"/>
      <c r="B626"/>
      <c r="C626" s="205"/>
      <c r="D626"/>
      <c r="E626" s="207"/>
      <c r="F626"/>
      <c r="G626" s="204"/>
      <c r="H626"/>
      <c r="I626" s="204"/>
      <c r="J626"/>
      <c r="K626" s="209"/>
    </row>
    <row r="627" spans="1:11" ht="13.9">
      <c r="A627" s="204"/>
      <c r="B627"/>
      <c r="C627" s="205"/>
      <c r="D627"/>
      <c r="E627" s="207"/>
      <c r="F627"/>
      <c r="G627" s="204"/>
      <c r="H627"/>
      <c r="I627" s="204"/>
      <c r="J627"/>
      <c r="K627" s="209"/>
    </row>
    <row r="628" spans="1:11" ht="13.9">
      <c r="A628" s="204"/>
      <c r="B628"/>
      <c r="C628" s="205"/>
      <c r="D628"/>
      <c r="E628" s="207"/>
      <c r="F628"/>
      <c r="G628" s="204"/>
      <c r="H628"/>
      <c r="I628" s="204"/>
      <c r="J628"/>
      <c r="K628" s="209"/>
    </row>
    <row r="629" spans="1:11" ht="13.9">
      <c r="A629" s="204"/>
      <c r="B629"/>
      <c r="C629" s="205"/>
      <c r="D629"/>
      <c r="E629" s="207"/>
      <c r="F629"/>
      <c r="G629" s="204"/>
      <c r="H629"/>
      <c r="I629" s="204"/>
      <c r="J629"/>
      <c r="K629" s="209"/>
    </row>
    <row r="630" spans="1:11" ht="13.9">
      <c r="A630" s="204"/>
      <c r="B630"/>
      <c r="C630" s="205"/>
      <c r="D630"/>
      <c r="E630" s="207"/>
      <c r="F630"/>
      <c r="G630" s="204"/>
      <c r="H630"/>
      <c r="I630" s="204"/>
      <c r="J630"/>
      <c r="K630" s="209"/>
    </row>
    <row r="631" spans="1:11" ht="13.9">
      <c r="A631" s="204"/>
      <c r="B631"/>
      <c r="C631" s="205"/>
      <c r="D631"/>
      <c r="E631" s="207"/>
      <c r="F631"/>
      <c r="G631" s="204"/>
      <c r="H631"/>
      <c r="I631" s="204"/>
      <c r="J631"/>
      <c r="K631" s="209"/>
    </row>
    <row r="632" spans="1:11" ht="13.9">
      <c r="A632" s="204"/>
      <c r="B632"/>
      <c r="C632" s="205"/>
      <c r="D632"/>
      <c r="E632" s="207"/>
      <c r="F632"/>
      <c r="G632" s="204"/>
      <c r="H632"/>
      <c r="I632" s="204"/>
      <c r="J632"/>
      <c r="K632" s="209"/>
    </row>
    <row r="633" spans="1:11" ht="13.9">
      <c r="A633" s="204"/>
      <c r="B633"/>
      <c r="C633" s="205"/>
      <c r="D633"/>
      <c r="E633" s="207"/>
      <c r="F633"/>
      <c r="G633" s="204"/>
      <c r="H633"/>
      <c r="I633" s="204"/>
      <c r="J633"/>
      <c r="K633" s="209"/>
    </row>
    <row r="634" spans="1:11" ht="13.9">
      <c r="A634" s="204"/>
      <c r="B634"/>
      <c r="C634" s="205"/>
      <c r="D634"/>
      <c r="E634" s="207"/>
      <c r="F634"/>
      <c r="G634" s="204"/>
      <c r="H634"/>
      <c r="I634" s="204"/>
      <c r="J634"/>
      <c r="K634" s="209"/>
    </row>
    <row r="635" spans="1:11" ht="13.9">
      <c r="A635" s="204"/>
      <c r="B635"/>
      <c r="C635" s="205"/>
      <c r="D635"/>
      <c r="E635" s="207"/>
      <c r="F635"/>
      <c r="G635" s="204"/>
      <c r="H635"/>
      <c r="I635" s="204"/>
      <c r="J635"/>
      <c r="K635" s="209"/>
    </row>
    <row r="636" spans="1:11" ht="13.9">
      <c r="A636" s="204"/>
      <c r="B636"/>
      <c r="C636" s="205"/>
      <c r="D636"/>
      <c r="E636" s="207"/>
      <c r="F636"/>
      <c r="G636" s="204"/>
      <c r="H636"/>
      <c r="I636" s="204"/>
      <c r="J636"/>
      <c r="K636" s="209"/>
    </row>
    <row r="637" spans="1:11" ht="13.9">
      <c r="A637" s="204"/>
      <c r="B637"/>
      <c r="C637" s="205"/>
      <c r="D637"/>
      <c r="E637" s="207"/>
      <c r="F637"/>
      <c r="G637" s="204"/>
      <c r="H637"/>
      <c r="I637" s="204"/>
      <c r="J637"/>
      <c r="K637" s="209"/>
    </row>
    <row r="638" spans="1:11" ht="13.9">
      <c r="A638" s="204"/>
      <c r="B638"/>
      <c r="C638" s="205"/>
      <c r="D638"/>
      <c r="E638" s="207"/>
      <c r="F638"/>
      <c r="G638" s="204"/>
      <c r="H638"/>
      <c r="I638" s="204"/>
      <c r="J638"/>
      <c r="K638" s="209"/>
    </row>
    <row r="639" spans="1:11" ht="13.9">
      <c r="A639" s="204"/>
      <c r="B639"/>
      <c r="C639" s="205"/>
      <c r="D639"/>
      <c r="E639" s="207"/>
      <c r="F639"/>
      <c r="G639" s="204"/>
      <c r="H639"/>
      <c r="I639" s="204"/>
      <c r="J639"/>
      <c r="K639" s="209"/>
    </row>
    <row r="640" spans="1:11" ht="13.9">
      <c r="A640" s="204"/>
      <c r="B640"/>
      <c r="C640" s="205"/>
      <c r="D640"/>
      <c r="E640" s="207"/>
      <c r="F640"/>
      <c r="G640" s="204"/>
      <c r="H640"/>
      <c r="I640" s="204"/>
      <c r="J640"/>
      <c r="K640" s="209"/>
    </row>
    <row r="641" spans="1:11" ht="13.9">
      <c r="A641" s="204"/>
      <c r="B641"/>
      <c r="C641" s="205"/>
      <c r="D641"/>
      <c r="E641" s="207"/>
      <c r="F641"/>
      <c r="G641" s="204"/>
      <c r="H641"/>
      <c r="I641" s="204"/>
      <c r="J641"/>
      <c r="K641" s="209"/>
    </row>
    <row r="642" spans="1:11" ht="13.9">
      <c r="A642" s="204"/>
      <c r="B642"/>
      <c r="C642" s="205"/>
      <c r="D642"/>
      <c r="E642" s="207"/>
      <c r="F642"/>
      <c r="G642" s="204"/>
      <c r="H642"/>
      <c r="I642" s="204"/>
      <c r="J642"/>
      <c r="K642" s="209"/>
    </row>
    <row r="643" spans="1:11" ht="13.9">
      <c r="A643" s="204"/>
      <c r="B643"/>
      <c r="C643" s="205"/>
      <c r="D643"/>
      <c r="E643" s="207"/>
      <c r="F643"/>
      <c r="G643" s="204"/>
      <c r="H643"/>
      <c r="I643" s="204"/>
      <c r="J643"/>
      <c r="K643" s="209"/>
    </row>
    <row r="644" spans="1:11" ht="13.9">
      <c r="A644" s="204"/>
      <c r="B644"/>
      <c r="C644" s="205"/>
      <c r="D644"/>
      <c r="E644" s="207"/>
      <c r="F644"/>
      <c r="G644" s="204"/>
      <c r="H644"/>
      <c r="I644" s="204"/>
      <c r="J644"/>
      <c r="K644" s="209"/>
    </row>
    <row r="645" spans="1:11" ht="13.9">
      <c r="A645" s="204"/>
      <c r="B645"/>
      <c r="C645" s="205"/>
      <c r="D645"/>
      <c r="E645" s="207"/>
      <c r="F645"/>
      <c r="G645" s="204"/>
      <c r="H645"/>
      <c r="I645" s="204"/>
      <c r="J645"/>
      <c r="K645" s="209"/>
    </row>
    <row r="646" spans="1:11" ht="13.9">
      <c r="A646" s="204"/>
      <c r="B646"/>
      <c r="C646" s="205"/>
      <c r="D646"/>
      <c r="E646" s="207"/>
      <c r="F646"/>
      <c r="G646" s="204"/>
      <c r="H646"/>
      <c r="I646" s="204"/>
      <c r="J646"/>
      <c r="K646" s="209"/>
    </row>
    <row r="647" spans="1:11" ht="13.9">
      <c r="A647" s="204"/>
      <c r="B647"/>
      <c r="C647" s="205"/>
      <c r="D647"/>
      <c r="E647" s="207"/>
      <c r="F647"/>
      <c r="G647" s="204"/>
      <c r="H647"/>
      <c r="I647" s="204"/>
      <c r="J647"/>
      <c r="K647" s="209"/>
    </row>
    <row r="648" spans="1:11" ht="13.9">
      <c r="A648" s="204"/>
      <c r="B648"/>
      <c r="C648" s="205"/>
      <c r="D648"/>
      <c r="E648" s="207"/>
      <c r="F648"/>
      <c r="G648" s="204"/>
      <c r="H648"/>
      <c r="I648" s="204"/>
      <c r="J648"/>
      <c r="K648" s="209"/>
    </row>
    <row r="649" spans="1:11" ht="13.9">
      <c r="A649" s="204"/>
      <c r="B649"/>
      <c r="C649" s="205"/>
      <c r="D649"/>
      <c r="E649" s="207"/>
      <c r="F649"/>
      <c r="G649" s="204"/>
      <c r="H649"/>
      <c r="I649" s="204"/>
      <c r="J649"/>
      <c r="K649" s="209"/>
    </row>
    <row r="650" spans="1:11" ht="13.9">
      <c r="A650" s="204"/>
      <c r="B650"/>
      <c r="C650" s="205"/>
      <c r="D650"/>
      <c r="E650" s="207"/>
      <c r="F650"/>
      <c r="G650" s="204"/>
      <c r="H650"/>
      <c r="I650" s="204"/>
      <c r="J650"/>
      <c r="K650" s="209"/>
    </row>
    <row r="651" spans="1:11" ht="13.9">
      <c r="A651" s="204"/>
      <c r="B651"/>
      <c r="C651" s="205"/>
      <c r="D651"/>
      <c r="E651" s="207"/>
      <c r="F651"/>
      <c r="G651" s="204"/>
      <c r="H651"/>
      <c r="I651" s="204"/>
      <c r="J651"/>
      <c r="K651" s="209"/>
    </row>
    <row r="652" spans="1:11" ht="13.9">
      <c r="A652" s="204"/>
      <c r="B652"/>
      <c r="C652" s="205"/>
      <c r="D652"/>
      <c r="E652" s="207"/>
      <c r="F652"/>
      <c r="G652" s="204"/>
      <c r="H652"/>
      <c r="I652" s="204"/>
      <c r="J652"/>
      <c r="K652" s="209"/>
    </row>
    <row r="653" spans="1:11" ht="13.9">
      <c r="A653" s="204"/>
      <c r="B653"/>
      <c r="C653" s="205"/>
      <c r="D653"/>
      <c r="E653" s="207"/>
      <c r="F653"/>
      <c r="G653" s="204"/>
      <c r="H653"/>
      <c r="I653" s="204"/>
      <c r="J653"/>
      <c r="K653" s="209"/>
    </row>
    <row r="654" spans="1:11" ht="13.9">
      <c r="A654" s="204"/>
      <c r="B654"/>
      <c r="C654" s="205"/>
      <c r="D654"/>
      <c r="E654" s="207"/>
      <c r="F654"/>
      <c r="G654" s="204"/>
      <c r="H654"/>
      <c r="I654" s="204"/>
      <c r="J654"/>
      <c r="K654" s="209"/>
    </row>
    <row r="655" spans="1:11" ht="13.9">
      <c r="A655" s="204"/>
      <c r="B655"/>
      <c r="C655" s="205"/>
      <c r="D655"/>
      <c r="E655" s="207"/>
      <c r="F655"/>
      <c r="G655" s="204"/>
      <c r="H655"/>
      <c r="I655" s="204"/>
      <c r="J655"/>
      <c r="K655" s="209"/>
    </row>
    <row r="656" spans="1:11" ht="13.9">
      <c r="A656" s="204"/>
      <c r="B656"/>
      <c r="C656" s="205"/>
      <c r="D656"/>
      <c r="E656" s="207"/>
      <c r="F656"/>
      <c r="G656" s="204"/>
      <c r="H656"/>
      <c r="I656" s="204"/>
      <c r="J656"/>
      <c r="K656" s="209"/>
    </row>
    <row r="657" spans="1:11" ht="13.9">
      <c r="A657" s="204"/>
      <c r="B657"/>
      <c r="C657" s="205"/>
      <c r="D657"/>
      <c r="E657" s="207"/>
      <c r="F657"/>
      <c r="G657" s="204"/>
      <c r="H657"/>
      <c r="I657" s="204"/>
      <c r="J657"/>
      <c r="K657" s="209"/>
    </row>
    <row r="658" spans="1:11" ht="13.9">
      <c r="A658" s="204"/>
      <c r="B658"/>
      <c r="C658" s="205"/>
      <c r="D658"/>
      <c r="E658" s="207"/>
      <c r="F658"/>
      <c r="G658" s="204"/>
      <c r="H658"/>
      <c r="I658" s="204"/>
      <c r="J658"/>
      <c r="K658" s="209"/>
    </row>
    <row r="659" spans="1:11" ht="13.9">
      <c r="A659" s="204"/>
      <c r="B659"/>
      <c r="C659" s="205"/>
      <c r="D659"/>
      <c r="E659" s="207"/>
      <c r="F659"/>
      <c r="G659" s="204"/>
      <c r="H659"/>
      <c r="I659" s="204"/>
      <c r="J659"/>
      <c r="K659" s="209"/>
    </row>
    <row r="660" spans="1:11" ht="13.9">
      <c r="A660" s="204"/>
      <c r="B660"/>
      <c r="C660" s="205"/>
      <c r="D660"/>
      <c r="E660" s="207"/>
      <c r="F660"/>
      <c r="G660" s="204"/>
      <c r="H660"/>
      <c r="I660" s="204"/>
      <c r="J660"/>
      <c r="K660" s="209"/>
    </row>
    <row r="661" spans="1:11" ht="13.9">
      <c r="A661" s="204"/>
      <c r="B661"/>
      <c r="C661" s="205"/>
      <c r="D661"/>
      <c r="E661" s="207"/>
      <c r="F661"/>
      <c r="G661" s="204"/>
      <c r="H661"/>
      <c r="I661" s="204"/>
      <c r="J661"/>
      <c r="K661" s="209"/>
    </row>
    <row r="662" spans="1:11" ht="13.9">
      <c r="A662" s="204"/>
      <c r="B662"/>
      <c r="C662" s="205"/>
      <c r="D662"/>
      <c r="E662" s="207"/>
      <c r="F662"/>
      <c r="G662" s="204"/>
      <c r="H662"/>
      <c r="I662" s="204"/>
      <c r="J662"/>
      <c r="K662" s="209"/>
    </row>
    <row r="663" spans="1:11" ht="13.9">
      <c r="A663" s="204"/>
      <c r="B663"/>
      <c r="C663" s="205"/>
      <c r="D663"/>
      <c r="E663" s="207"/>
      <c r="F663"/>
      <c r="G663" s="204"/>
      <c r="H663"/>
      <c r="I663" s="204"/>
      <c r="J663"/>
      <c r="K663" s="209"/>
    </row>
    <row r="664" spans="1:11" ht="13.9">
      <c r="A664" s="204"/>
      <c r="B664"/>
      <c r="C664" s="205"/>
      <c r="D664"/>
      <c r="E664" s="207"/>
      <c r="F664"/>
      <c r="G664" s="204"/>
      <c r="H664"/>
      <c r="I664" s="204"/>
      <c r="J664"/>
      <c r="K664" s="209"/>
    </row>
    <row r="665" spans="1:11" ht="13.9">
      <c r="A665" s="204"/>
      <c r="B665"/>
      <c r="C665" s="205"/>
      <c r="D665"/>
      <c r="E665" s="207"/>
      <c r="F665"/>
      <c r="G665" s="204"/>
      <c r="H665"/>
      <c r="I665" s="204"/>
      <c r="J665"/>
      <c r="K665" s="209"/>
    </row>
    <row r="666" spans="1:11" ht="13.9">
      <c r="A666" s="204"/>
      <c r="B666"/>
      <c r="C666" s="205"/>
      <c r="D666"/>
      <c r="E666" s="207"/>
      <c r="F666"/>
      <c r="G666" s="204"/>
      <c r="H666"/>
      <c r="I666" s="204"/>
      <c r="J666"/>
      <c r="K666" s="209"/>
    </row>
    <row r="667" spans="1:11" ht="13.9">
      <c r="A667" s="204"/>
      <c r="B667"/>
      <c r="C667" s="205"/>
      <c r="D667"/>
      <c r="E667" s="207"/>
      <c r="F667"/>
      <c r="G667" s="204"/>
      <c r="H667"/>
      <c r="I667" s="204"/>
      <c r="J667"/>
      <c r="K667" s="209"/>
    </row>
    <row r="668" spans="1:11" ht="13.9">
      <c r="A668" s="204"/>
      <c r="B668"/>
      <c r="C668" s="205"/>
      <c r="D668"/>
      <c r="E668" s="207"/>
      <c r="F668"/>
      <c r="G668" s="204"/>
      <c r="H668"/>
      <c r="I668" s="204"/>
      <c r="J668"/>
      <c r="K668" s="209"/>
    </row>
    <row r="669" spans="1:11" ht="13.9">
      <c r="A669" s="204"/>
      <c r="B669"/>
      <c r="C669" s="205"/>
      <c r="D669"/>
      <c r="E669" s="207"/>
      <c r="F669"/>
      <c r="G669" s="204"/>
      <c r="H669"/>
      <c r="I669" s="204"/>
      <c r="J669"/>
      <c r="K669" s="209"/>
    </row>
    <row r="670" spans="1:11" ht="13.9">
      <c r="A670" s="204"/>
      <c r="B670"/>
      <c r="C670" s="205"/>
      <c r="D670"/>
      <c r="E670" s="207"/>
      <c r="F670"/>
      <c r="G670" s="204"/>
      <c r="H670"/>
      <c r="I670" s="204"/>
      <c r="J670"/>
      <c r="K670" s="209"/>
    </row>
    <row r="671" spans="1:11" ht="13.9">
      <c r="A671" s="204"/>
      <c r="B671"/>
      <c r="C671" s="205"/>
      <c r="D671"/>
      <c r="E671" s="207"/>
      <c r="F671"/>
      <c r="G671" s="204"/>
      <c r="H671"/>
      <c r="I671" s="204"/>
      <c r="J671"/>
      <c r="K671" s="209"/>
    </row>
    <row r="672" spans="1:11" ht="13.9">
      <c r="A672" s="204"/>
      <c r="B672"/>
      <c r="C672" s="205"/>
      <c r="D672"/>
      <c r="E672" s="207"/>
      <c r="F672"/>
      <c r="G672" s="204"/>
      <c r="H672"/>
      <c r="I672" s="204"/>
      <c r="J672"/>
      <c r="K672" s="209"/>
    </row>
    <row r="673" spans="1:11" ht="13.9">
      <c r="A673" s="204"/>
      <c r="B673"/>
      <c r="C673" s="205"/>
      <c r="D673"/>
      <c r="E673" s="207"/>
      <c r="F673"/>
      <c r="G673" s="204"/>
      <c r="H673"/>
      <c r="I673" s="204"/>
      <c r="J673"/>
      <c r="K673" s="209"/>
    </row>
    <row r="674" spans="1:11" ht="13.9">
      <c r="A674" s="204"/>
      <c r="B674"/>
      <c r="C674" s="205"/>
      <c r="D674"/>
      <c r="E674" s="207"/>
      <c r="F674"/>
      <c r="G674" s="204"/>
      <c r="H674"/>
      <c r="I674" s="204"/>
      <c r="J674"/>
      <c r="K674" s="209"/>
    </row>
    <row r="675" spans="1:11" ht="13.9">
      <c r="A675" s="204"/>
      <c r="B675"/>
      <c r="C675" s="205"/>
      <c r="D675"/>
      <c r="E675" s="207"/>
      <c r="F675"/>
      <c r="G675" s="204"/>
      <c r="H675"/>
      <c r="I675" s="204"/>
      <c r="J675"/>
      <c r="K675" s="209"/>
    </row>
    <row r="676" spans="1:11" ht="13.9">
      <c r="A676" s="204"/>
      <c r="B676"/>
      <c r="C676" s="205"/>
      <c r="D676"/>
      <c r="E676" s="207"/>
      <c r="F676"/>
      <c r="G676" s="204"/>
      <c r="H676"/>
      <c r="I676" s="204"/>
      <c r="J676"/>
      <c r="K676" s="209"/>
    </row>
    <row r="677" spans="1:11" ht="13.9">
      <c r="A677" s="204"/>
      <c r="B677"/>
      <c r="C677" s="205"/>
      <c r="D677"/>
      <c r="E677" s="207"/>
      <c r="F677"/>
      <c r="G677" s="204"/>
      <c r="H677"/>
      <c r="I677" s="204"/>
      <c r="J677"/>
      <c r="K677" s="209"/>
    </row>
    <row r="678" spans="1:11" ht="13.9">
      <c r="A678" s="204"/>
      <c r="B678"/>
      <c r="C678" s="205"/>
      <c r="D678"/>
      <c r="E678" s="207"/>
      <c r="F678"/>
      <c r="G678" s="204"/>
      <c r="H678"/>
      <c r="I678" s="204"/>
      <c r="J678"/>
      <c r="K678" s="209"/>
    </row>
    <row r="679" spans="1:11" ht="13.9">
      <c r="A679" s="204"/>
      <c r="B679"/>
      <c r="C679" s="205"/>
      <c r="D679"/>
      <c r="E679" s="207"/>
      <c r="F679"/>
      <c r="G679" s="204"/>
      <c r="H679"/>
      <c r="I679" s="204"/>
      <c r="J679"/>
      <c r="K679" s="209"/>
    </row>
    <row r="680" spans="1:11" ht="13.9">
      <c r="A680" s="204"/>
      <c r="B680"/>
      <c r="C680" s="205"/>
      <c r="D680"/>
      <c r="E680" s="207"/>
      <c r="F680"/>
      <c r="G680" s="204"/>
      <c r="H680"/>
      <c r="I680" s="204"/>
      <c r="J680"/>
      <c r="K680" s="209"/>
    </row>
    <row r="681" spans="1:11" ht="13.9">
      <c r="A681" s="204"/>
      <c r="B681"/>
      <c r="C681" s="205"/>
      <c r="D681"/>
      <c r="E681" s="207"/>
      <c r="F681"/>
      <c r="G681" s="204"/>
      <c r="H681"/>
      <c r="I681" s="204"/>
      <c r="J681"/>
      <c r="K681" s="209"/>
    </row>
    <row r="682" spans="1:11" ht="13.9">
      <c r="A682" s="204"/>
      <c r="B682"/>
      <c r="C682" s="205"/>
      <c r="D682"/>
      <c r="E682" s="207"/>
      <c r="F682"/>
      <c r="G682" s="204"/>
      <c r="H682"/>
      <c r="I682" s="204"/>
      <c r="J682"/>
      <c r="K682" s="209"/>
    </row>
    <row r="683" spans="1:11" ht="13.9">
      <c r="A683" s="204"/>
      <c r="B683"/>
      <c r="C683" s="205"/>
      <c r="D683"/>
      <c r="E683" s="207"/>
      <c r="F683"/>
      <c r="G683" s="204"/>
      <c r="H683"/>
      <c r="I683" s="204"/>
      <c r="J683"/>
      <c r="K683" s="209"/>
    </row>
    <row r="684" spans="1:11" ht="13.9">
      <c r="A684" s="204"/>
      <c r="B684"/>
      <c r="C684" s="205"/>
      <c r="D684"/>
      <c r="E684" s="207"/>
      <c r="F684"/>
      <c r="G684" s="204"/>
      <c r="H684"/>
      <c r="I684" s="204"/>
      <c r="J684"/>
      <c r="K684" s="209"/>
    </row>
    <row r="685" spans="1:11" ht="13.9">
      <c r="A685" s="204"/>
      <c r="B685"/>
      <c r="C685" s="205"/>
      <c r="D685"/>
      <c r="E685" s="207"/>
      <c r="F685"/>
      <c r="G685" s="204"/>
      <c r="H685"/>
      <c r="I685" s="204"/>
      <c r="J685"/>
      <c r="K685" s="209"/>
    </row>
    <row r="686" spans="1:11" ht="13.9">
      <c r="A686" s="204"/>
      <c r="B686"/>
      <c r="C686" s="205"/>
      <c r="D686"/>
      <c r="E686" s="207"/>
      <c r="F686"/>
      <c r="G686" s="204"/>
      <c r="H686"/>
      <c r="I686" s="204"/>
      <c r="J686"/>
      <c r="K686" s="209"/>
    </row>
    <row r="687" spans="1:11" ht="13.9">
      <c r="A687" s="204"/>
      <c r="B687"/>
      <c r="C687" s="205"/>
      <c r="D687"/>
      <c r="E687" s="207"/>
      <c r="F687"/>
      <c r="G687" s="204"/>
      <c r="H687"/>
      <c r="I687" s="204"/>
      <c r="J687"/>
      <c r="K687" s="209"/>
    </row>
    <row r="688" spans="1:11" ht="13.9">
      <c r="A688" s="204"/>
      <c r="B688"/>
      <c r="C688" s="205"/>
      <c r="D688"/>
      <c r="E688" s="207"/>
      <c r="F688"/>
      <c r="G688" s="204"/>
      <c r="H688"/>
      <c r="I688" s="204"/>
      <c r="J688"/>
      <c r="K688" s="209"/>
    </row>
    <row r="689" spans="1:11" ht="13.9">
      <c r="A689" s="204"/>
      <c r="B689"/>
      <c r="C689" s="205"/>
      <c r="D689"/>
      <c r="E689" s="207"/>
      <c r="F689"/>
      <c r="G689" s="204"/>
      <c r="H689"/>
      <c r="I689" s="204"/>
      <c r="J689"/>
      <c r="K689" s="209"/>
    </row>
    <row r="690" spans="1:11" ht="13.9">
      <c r="A690" s="204"/>
      <c r="B690"/>
      <c r="C690" s="205"/>
      <c r="D690"/>
      <c r="E690" s="207"/>
      <c r="F690"/>
      <c r="G690" s="204"/>
      <c r="H690"/>
      <c r="I690" s="204"/>
      <c r="J690"/>
      <c r="K690" s="209"/>
    </row>
    <row r="691" spans="1:11" ht="13.9">
      <c r="A691" s="204"/>
      <c r="B691"/>
      <c r="C691" s="205"/>
      <c r="D691"/>
      <c r="E691" s="207"/>
      <c r="F691"/>
      <c r="G691" s="204"/>
      <c r="H691"/>
      <c r="I691" s="204"/>
      <c r="J691"/>
      <c r="K691" s="209"/>
    </row>
    <row r="692" spans="1:11" ht="13.9">
      <c r="A692" s="204"/>
      <c r="B692"/>
      <c r="C692" s="205"/>
      <c r="D692"/>
      <c r="E692" s="207"/>
      <c r="F692"/>
      <c r="G692" s="204"/>
      <c r="H692"/>
      <c r="I692" s="204"/>
      <c r="J692"/>
      <c r="K692" s="209"/>
    </row>
    <row r="693" spans="1:11" ht="13.9">
      <c r="A693" s="204"/>
      <c r="B693"/>
      <c r="C693" s="205"/>
      <c r="D693"/>
      <c r="E693" s="207"/>
      <c r="F693"/>
      <c r="G693" s="204"/>
      <c r="H693"/>
      <c r="I693" s="204"/>
      <c r="J693"/>
      <c r="K693" s="209"/>
    </row>
    <row r="694" spans="1:11" ht="13.9">
      <c r="A694" s="204"/>
      <c r="B694"/>
      <c r="C694" s="205"/>
      <c r="D694"/>
      <c r="E694" s="207"/>
      <c r="F694"/>
      <c r="G694" s="204"/>
      <c r="H694"/>
      <c r="I694" s="204"/>
      <c r="J694"/>
      <c r="K694" s="209"/>
    </row>
    <row r="695" spans="1:11" ht="13.9">
      <c r="A695" s="204"/>
      <c r="B695"/>
      <c r="C695" s="205"/>
      <c r="D695"/>
      <c r="E695" s="207"/>
      <c r="F695"/>
      <c r="G695" s="204"/>
      <c r="H695"/>
      <c r="I695" s="204"/>
      <c r="J695"/>
      <c r="K695" s="209"/>
    </row>
    <row r="696" spans="1:11" ht="13.9">
      <c r="A696" s="204"/>
      <c r="B696"/>
      <c r="C696" s="205"/>
      <c r="D696"/>
      <c r="E696" s="207"/>
      <c r="F696"/>
      <c r="G696" s="204"/>
      <c r="H696"/>
      <c r="I696" s="204"/>
      <c r="J696"/>
      <c r="K696" s="209"/>
    </row>
    <row r="697" spans="1:11" ht="13.9">
      <c r="A697" s="204"/>
      <c r="B697"/>
      <c r="C697" s="205"/>
      <c r="D697"/>
      <c r="E697" s="207"/>
      <c r="F697"/>
      <c r="G697" s="204"/>
      <c r="H697"/>
      <c r="I697" s="204"/>
      <c r="J697"/>
      <c r="K697" s="209"/>
    </row>
    <row r="698" spans="1:11" ht="13.9">
      <c r="A698" s="204"/>
      <c r="B698"/>
      <c r="C698" s="205"/>
      <c r="D698"/>
      <c r="E698" s="207"/>
      <c r="F698"/>
      <c r="G698" s="204"/>
      <c r="H698"/>
      <c r="I698" s="204"/>
      <c r="J698"/>
      <c r="K698" s="209"/>
    </row>
    <row r="699" spans="1:11" ht="13.9">
      <c r="A699" s="204"/>
      <c r="B699"/>
      <c r="C699" s="205"/>
      <c r="D699"/>
      <c r="E699" s="207"/>
      <c r="F699"/>
      <c r="G699" s="204"/>
      <c r="H699"/>
      <c r="I699" s="204"/>
      <c r="J699"/>
      <c r="K699" s="209"/>
    </row>
    <row r="700" spans="1:11" ht="13.9">
      <c r="A700" s="204"/>
      <c r="B700"/>
      <c r="C700" s="205"/>
      <c r="D700"/>
      <c r="E700" s="207"/>
      <c r="F700"/>
      <c r="G700" s="204"/>
      <c r="H700"/>
      <c r="I700" s="204"/>
      <c r="J700"/>
      <c r="K700" s="209"/>
    </row>
    <row r="701" spans="1:11" ht="13.9">
      <c r="A701" s="204"/>
      <c r="B701"/>
      <c r="C701" s="205"/>
      <c r="D701"/>
      <c r="E701" s="207"/>
      <c r="F701"/>
      <c r="G701" s="204"/>
      <c r="H701"/>
      <c r="I701" s="204"/>
      <c r="J701"/>
      <c r="K701" s="209"/>
    </row>
    <row r="702" spans="1:11" ht="13.9">
      <c r="A702" s="204"/>
      <c r="B702"/>
      <c r="C702" s="205"/>
      <c r="D702"/>
      <c r="E702" s="207"/>
      <c r="F702"/>
      <c r="G702" s="204"/>
      <c r="H702"/>
      <c r="I702" s="204"/>
      <c r="J702"/>
      <c r="K702" s="209"/>
    </row>
    <row r="703" spans="1:11" ht="13.9">
      <c r="A703" s="204"/>
      <c r="B703"/>
      <c r="C703" s="205"/>
      <c r="D703"/>
      <c r="E703" s="207"/>
      <c r="F703"/>
      <c r="G703" s="204"/>
      <c r="H703"/>
      <c r="I703" s="204"/>
      <c r="J703"/>
      <c r="K703" s="209"/>
    </row>
    <row r="704" spans="1:11" ht="13.9">
      <c r="A704" s="204"/>
      <c r="B704"/>
      <c r="C704" s="205"/>
      <c r="D704"/>
      <c r="E704" s="207"/>
      <c r="F704"/>
      <c r="G704" s="204"/>
      <c r="H704"/>
      <c r="I704" s="204"/>
      <c r="J704"/>
      <c r="K704" s="209"/>
    </row>
    <row r="705" spans="1:11" ht="13.9">
      <c r="A705" s="204"/>
      <c r="B705"/>
      <c r="C705" s="205"/>
      <c r="D705"/>
      <c r="E705" s="207"/>
      <c r="F705"/>
      <c r="G705" s="204"/>
      <c r="H705"/>
      <c r="I705" s="204"/>
      <c r="J705"/>
      <c r="K705" s="209"/>
    </row>
    <row r="706" spans="1:11" ht="13.9">
      <c r="A706" s="204"/>
      <c r="B706"/>
      <c r="C706" s="205"/>
      <c r="D706"/>
      <c r="E706" s="207"/>
      <c r="F706"/>
      <c r="G706" s="204"/>
      <c r="H706"/>
      <c r="I706" s="204"/>
      <c r="J706"/>
      <c r="K706" s="209"/>
    </row>
    <row r="707" spans="1:11" ht="13.9">
      <c r="A707" s="204"/>
      <c r="B707"/>
      <c r="C707" s="205"/>
      <c r="D707"/>
      <c r="E707" s="207"/>
      <c r="F707"/>
      <c r="G707" s="204"/>
      <c r="H707"/>
      <c r="I707" s="204"/>
      <c r="J707"/>
      <c r="K707" s="209"/>
    </row>
    <row r="708" spans="1:11" ht="13.9">
      <c r="A708" s="204"/>
      <c r="B708"/>
      <c r="C708" s="205"/>
      <c r="D708"/>
      <c r="E708" s="207"/>
      <c r="F708"/>
      <c r="G708" s="204"/>
      <c r="H708"/>
      <c r="I708" s="204"/>
      <c r="J708"/>
      <c r="K708" s="209"/>
    </row>
    <row r="709" spans="1:11" ht="13.9">
      <c r="A709" s="204"/>
      <c r="B709"/>
      <c r="C709" s="205"/>
      <c r="D709"/>
      <c r="E709" s="207"/>
      <c r="F709"/>
      <c r="G709" s="204"/>
      <c r="H709"/>
      <c r="I709" s="204"/>
      <c r="J709"/>
      <c r="K709" s="209"/>
    </row>
    <row r="710" spans="1:11" ht="13.9">
      <c r="A710" s="204"/>
      <c r="B710"/>
      <c r="C710" s="205"/>
      <c r="D710"/>
      <c r="E710" s="207"/>
      <c r="F710"/>
      <c r="G710" s="204"/>
      <c r="H710"/>
      <c r="I710" s="204"/>
      <c r="J710"/>
      <c r="K710" s="209"/>
    </row>
    <row r="711" spans="1:11" ht="13.9">
      <c r="A711" s="204"/>
      <c r="B711"/>
      <c r="C711" s="205"/>
      <c r="D711"/>
      <c r="E711" s="207"/>
      <c r="F711"/>
      <c r="G711" s="204"/>
      <c r="H711"/>
      <c r="I711" s="204"/>
      <c r="J711"/>
      <c r="K711" s="209"/>
    </row>
    <row r="712" spans="1:11" ht="13.9">
      <c r="A712" s="204"/>
      <c r="B712"/>
      <c r="C712" s="205"/>
      <c r="D712"/>
      <c r="E712" s="207"/>
      <c r="F712"/>
      <c r="G712" s="204"/>
      <c r="H712"/>
      <c r="I712" s="204"/>
      <c r="J712"/>
      <c r="K712" s="209"/>
    </row>
    <row r="713" spans="1:11" ht="13.9">
      <c r="A713" s="204"/>
      <c r="B713"/>
      <c r="C713" s="205"/>
      <c r="D713"/>
      <c r="E713" s="207"/>
      <c r="F713"/>
      <c r="G713" s="204"/>
      <c r="H713"/>
      <c r="I713" s="204"/>
      <c r="J713"/>
      <c r="K713" s="209"/>
    </row>
    <row r="714" spans="1:11" ht="13.9">
      <c r="A714" s="204"/>
      <c r="B714"/>
      <c r="C714" s="205"/>
      <c r="D714"/>
      <c r="E714" s="207"/>
      <c r="F714"/>
      <c r="G714" s="204"/>
      <c r="H714"/>
      <c r="I714" s="204"/>
      <c r="J714"/>
      <c r="K714" s="209"/>
    </row>
    <row r="715" spans="1:11" ht="13.9">
      <c r="A715" s="204"/>
      <c r="B715"/>
      <c r="C715" s="205"/>
      <c r="D715"/>
      <c r="E715" s="207"/>
      <c r="F715"/>
      <c r="G715" s="204"/>
      <c r="H715"/>
      <c r="I715" s="204"/>
      <c r="J715"/>
      <c r="K715" s="209"/>
    </row>
    <row r="716" spans="1:11" ht="13.9">
      <c r="A716" s="204"/>
      <c r="B716"/>
      <c r="C716" s="205"/>
      <c r="D716"/>
      <c r="E716" s="207"/>
      <c r="F716"/>
      <c r="G716" s="204"/>
      <c r="H716"/>
      <c r="I716" s="204"/>
      <c r="J716"/>
      <c r="K716" s="209"/>
    </row>
  </sheetData>
  <sheetProtection formatCells="0" insertHyperlinks="0" autoFilter="0"/>
  <autoFilter ref="A1:U550" xr:uid="{00000000-0009-0000-0000-000001000000}">
    <filterColumn colId="1">
      <filters>
        <filter val="第三方人员类-侧拍摄影摄像-摄像-普通数字视频拍摄-人员劳务费及基础拍摄设备。不含住宿、交通、补贴等费用，每天不超过8小时，彩排与活动日价格一致（5年从业经验）"/>
        <filter val="第三方人员类-侧拍摄影摄像-摄像-延时拍摄-人员劳务费及基础拍摄设备。不含住宿、交通、补贴等费用（5年从业经验）"/>
        <filter val="第三方人员类-侧拍摄影摄像-摄影-普通数字摄影-人员劳务费及基础拍摄设备。不含住宿、交通、补贴等费用，每天不超过8小时，彩排与活动日价格一致（5年从业经验）"/>
        <filter val="第三方人员类-侧拍摄影摄像-摄影摄像-航拍-飞手人员及基础设备劳务费。不含住宿、交通、补贴等费用，每天不超过8小时，彩排与活动日价格一致"/>
        <filter val="第三方人员类-侧拍摄影摄像-云摄影-Ai修图+平台使用-AI修图及平台使用，例如VPHOTO"/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侧拍摄影摄像-云摄影-现场修图师-人员劳务，不含住宿、交通、补贴等费用，每天不超过8小时"/>
        <filter val="第三方人员类-搭建人员-搭建人员-搭建人工-人员劳务费，每场不超过8小时"/>
        <filter val="第三方人员类-搭建人员-搭建人员-电工-人员劳务费。不含住宿、交通、补贴等费用，白天8小时/班，夜间4小时/班"/>
        <filter val="第三方人员类-搭建人员-搭建人员-美工-人员劳务费。不含住宿、交通、补贴等费用，白天8小时/班，夜间4小时/班"/>
        <filter val="第三方人员类-技术人员-灯光音视频技术人员-技师-控台人员-人员劳务费。不含住宿、交通、补贴等费用，每场不超过8小时"/>
        <filter val="第三方人员类-技术人员-灯光音视频技术人员-总监-现场总控-普通级别，人员劳务费。不含住宿、交通、补贴等费用，每场不超过8小时"/>
        <filter val="第三方人员类-技术人员-直播推流技术人员-网络工程师-人员劳务费。不含住宿、交通、补贴等费用，每场不超过8小时，活动当日推流操作及保障"/>
        <filter val="第三方人员类-内容制作-H5-H5模块开发-基于功能需求的定制化模块后端程序开发"/>
        <filter val="第三方人员类-内容制作-H5-H5前端程序开发-前端页面制作，动效实现"/>
        <filter val="第三方人员类-内容制作-H5-H5邀请页面制作-按页面数量计费，有简单交互功能（点击翻页、点击输入信息等），不包含程序"/>
        <filter val="第三方人员类-内容制作-平面制作-Keynote美化-根据设计风格排版，调整宽屏进行美化"/>
        <filter val="第三方人员类-内容制作-平面制作-Keynote设计-需设计icon、图片重新绘制图表等并对其整体风格进行排版美化"/>
        <filter val="第三方人员类-内容制作-平面制作-PPT美化-根据设计风格排版，调整宽屏进行美化"/>
        <filter val="第三方人员类-内容制作-平面制作-PPT设计-需设计icon、图片重新绘制图表等并对其整体风格进行排版美化"/>
        <filter val="第三方人员类-内容制作-视频制作-活动流程相关视频素材包装及剪辑-现有素材+包含简单后期渲染输出，开场3分钟以内，串场1分钟以内"/>
        <filter val="第三方人员类-内容制作-视频制作-活动内容素材整理，精剪-视频素材整理，精修，2分钟以内，超出2分钟按照2分钟计价"/>
        <filter val="第三方人员类-内容制作-视频制作-活动内容素材整理、快速剪辑，粗剪-拍摄结束后2小时内完成快速剪辑，2分钟以内，超出2分钟按照2分钟计价"/>
        <filter val="第三方人员类-运营人员-翻译速记-速记-专业速记证书_x000a_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兼职人员-人员劳务费。不含住宿、交通、补贴等费用，每场不超过8小时_x000a_彩排按每人0.5场收费，含个税"/>
        <filter val="第三方人员类-运营人员-服务人员-礼仪-人员劳务费。不含住宿、交通、补贴等费用，每场不超过8小时_x000a_彩排按每人0.5场收费，含个税"/>
        <filter val="服务费税费-项目服务费-项目服务费-机票、用车、用餐等第三方资源-服务费比例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服务费税费-项目税费-项目税费-机票、用车、用餐等第三方资源-增值税比例"/>
        <filter val="服务费税费-项目税费-项目税费-制作搭建、AVL设备、第三方人员服务费-增值税比例"/>
      </filters>
    </filterColumn>
  </autoFilter>
  <phoneticPr fontId="41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A30" workbookViewId="0">
      <selection activeCell="N62" sqref="N62"/>
    </sheetView>
  </sheetViews>
  <sheetFormatPr defaultColWidth="9" defaultRowHeight="13.9" outlineLevelCol="1"/>
  <cols>
    <col min="1" max="1" width="12.59765625" style="22" customWidth="1"/>
    <col min="2" max="2" width="21.53125" style="23" customWidth="1"/>
    <col min="3" max="3" width="29.1328125" style="23" customWidth="1"/>
    <col min="4" max="4" width="28.53125" style="23" customWidth="1"/>
    <col min="5" max="5" width="21" style="23" customWidth="1"/>
    <col min="6" max="6" width="16.53125" style="22" customWidth="1"/>
    <col min="7" max="7" width="43.3984375" style="22" customWidth="1"/>
    <col min="8" max="8" width="60.3984375" style="24" customWidth="1"/>
    <col min="9" max="9" width="8.59765625" style="22" customWidth="1"/>
    <col min="10" max="10" width="12" style="150" customWidth="1"/>
    <col min="11" max="11" width="12" style="151" customWidth="1" outlineLevel="1"/>
    <col min="12" max="12" width="8.59765625" style="27" customWidth="1"/>
    <col min="13" max="13" width="8.59765625" style="27" customWidth="1" outlineLevel="1"/>
    <col min="14" max="14" width="8.59765625" style="27" customWidth="1"/>
    <col min="15" max="15" width="8.59765625" style="27" customWidth="1" outlineLevel="1"/>
    <col min="16" max="16" width="30.53125" style="152" customWidth="1"/>
    <col min="17" max="17" width="30.53125" style="152" customWidth="1" outlineLevel="1"/>
    <col min="18" max="18" width="30.53125" style="153" customWidth="1"/>
    <col min="19" max="19" width="10.3984375" style="23" customWidth="1"/>
    <col min="20" max="20" width="29.1328125" style="22" customWidth="1"/>
    <col min="21" max="21" width="14.3984375" style="22" customWidth="1"/>
    <col min="22" max="23" width="9" style="22"/>
    <col min="24" max="24" width="9.86328125" style="22" customWidth="1"/>
    <col min="25" max="16384" width="9" style="22"/>
  </cols>
  <sheetData>
    <row r="1" spans="1:24" s="16" customFormat="1" ht="29.25">
      <c r="A1" s="31" t="s">
        <v>2259</v>
      </c>
      <c r="B1" s="31" t="s">
        <v>2260</v>
      </c>
      <c r="C1" s="31" t="s">
        <v>2261</v>
      </c>
      <c r="D1" s="31" t="s">
        <v>2262</v>
      </c>
      <c r="E1" s="40" t="s">
        <v>2263</v>
      </c>
      <c r="F1" s="41" t="s">
        <v>2264</v>
      </c>
      <c r="G1" s="42" t="s">
        <v>2265</v>
      </c>
      <c r="H1" s="31" t="s">
        <v>2266</v>
      </c>
      <c r="I1" s="31" t="s">
        <v>2267</v>
      </c>
      <c r="J1" s="158" t="s">
        <v>2268</v>
      </c>
      <c r="K1" s="159" t="s">
        <v>2269</v>
      </c>
      <c r="L1" s="160" t="s">
        <v>2270</v>
      </c>
      <c r="M1" s="59" t="s">
        <v>2271</v>
      </c>
      <c r="N1" s="160" t="s">
        <v>2272</v>
      </c>
      <c r="O1" s="59" t="s">
        <v>2273</v>
      </c>
      <c r="P1" s="163" t="s">
        <v>2274</v>
      </c>
      <c r="Q1" s="167" t="s">
        <v>2275</v>
      </c>
      <c r="R1" s="168" t="s">
        <v>2276</v>
      </c>
      <c r="S1" s="41" t="s">
        <v>2277</v>
      </c>
      <c r="T1" s="74" t="s">
        <v>2278</v>
      </c>
      <c r="U1" s="75" t="s">
        <v>2279</v>
      </c>
    </row>
    <row r="2" spans="1:24" s="18" customFormat="1">
      <c r="A2" s="154" t="s">
        <v>2280</v>
      </c>
      <c r="B2" s="34" t="s">
        <v>2281</v>
      </c>
      <c r="C2" s="34" t="s">
        <v>2282</v>
      </c>
      <c r="D2" s="34"/>
      <c r="E2" s="45" t="s">
        <v>2283</v>
      </c>
      <c r="F2" s="155"/>
      <c r="G2" s="156" t="str">
        <f>_xlfn.IFNA(IF(VLOOKUP($F2,'3.框架内物料'!$A:$E,2,0)=0,"请勿填写",VLOOKUP($F2,'3.框架内物料'!$A:$E,2,0)),"")</f>
        <v/>
      </c>
      <c r="H2" s="157" t="str">
        <f>_xlfn.IFNA(VLOOKUP($F2,'3.框架内物料'!$A:$E,4,0),"")</f>
        <v/>
      </c>
      <c r="I2" s="156" t="str">
        <f>_xlfn.IFNA(VLOOKUP($F2,'3.框架内物料'!$A:$E,5,0),"")</f>
        <v/>
      </c>
      <c r="J2" s="161" t="str">
        <f>_xlfn.IFNA(VLOOKUP($F2,'3.框架内物料'!$A:$F,6,0),"")</f>
        <v/>
      </c>
      <c r="K2" s="161" t="str">
        <f>_xlfn.IFNA(VLOOKUP($F2,'3.框架内物料'!$A:$F,6,0),"")</f>
        <v/>
      </c>
      <c r="L2" s="54"/>
      <c r="M2" s="54"/>
      <c r="N2" s="54"/>
      <c r="O2" s="54"/>
      <c r="P2" s="164">
        <f>IFERROR(N2*L2*J2,0)</f>
        <v>0</v>
      </c>
      <c r="Q2" s="164">
        <f>IFERROR(K2*M2*O2,0)</f>
        <v>0</v>
      </c>
      <c r="R2" s="169">
        <f>Q2-P2</f>
        <v>0</v>
      </c>
      <c r="S2" s="70">
        <v>0.06</v>
      </c>
      <c r="T2" s="35"/>
      <c r="U2" s="35">
        <v>1</v>
      </c>
    </row>
    <row r="3" spans="1:24" s="18" customFormat="1">
      <c r="A3" s="154" t="s">
        <v>2280</v>
      </c>
      <c r="B3" s="34" t="s">
        <v>2281</v>
      </c>
      <c r="C3" s="34" t="s">
        <v>2282</v>
      </c>
      <c r="D3" s="34"/>
      <c r="E3" s="45" t="s">
        <v>2284</v>
      </c>
      <c r="F3" s="155"/>
      <c r="G3" s="156" t="str">
        <f>_xlfn.IFNA(IF(VLOOKUP($F3,'3.框架内物料'!$A:$E,2,0)=0,"请勿填写",VLOOKUP($F3,'3.框架内物料'!$A:$E,2,0)),"")</f>
        <v/>
      </c>
      <c r="H3" s="157" t="str">
        <f>_xlfn.IFNA(VLOOKUP($F3,'3.框架内物料'!$A:$E,4,0),"")</f>
        <v/>
      </c>
      <c r="I3" s="156" t="str">
        <f>_xlfn.IFNA(VLOOKUP($F3,'3.框架内物料'!$A:$E,5,0),"")</f>
        <v/>
      </c>
      <c r="J3" s="161" t="str">
        <f>_xlfn.IFNA(VLOOKUP($F3,'3.框架内物料'!$A:$F,6,0),"")</f>
        <v/>
      </c>
      <c r="K3" s="161" t="str">
        <f>_xlfn.IFNA(VLOOKUP($F3,'3.框架内物料'!$A:$F,6,0),"")</f>
        <v/>
      </c>
      <c r="L3" s="54"/>
      <c r="M3" s="54"/>
      <c r="N3" s="54"/>
      <c r="O3" s="54"/>
      <c r="P3" s="164">
        <f t="shared" ref="P3:P8" si="0">IFERROR(N3*L3*J3,0)</f>
        <v>0</v>
      </c>
      <c r="Q3" s="164">
        <f t="shared" ref="Q3:Q8" si="1">IFERROR(K3*M3*O3,0)</f>
        <v>0</v>
      </c>
      <c r="R3" s="169">
        <f t="shared" ref="R3:R8" si="2">Q3-P3</f>
        <v>0</v>
      </c>
      <c r="S3" s="70">
        <v>0.06</v>
      </c>
      <c r="T3" s="35"/>
      <c r="U3" s="35">
        <v>2</v>
      </c>
    </row>
    <row r="4" spans="1:24" s="18" customFormat="1" ht="32.1" customHeight="1">
      <c r="A4" s="154" t="s">
        <v>2280</v>
      </c>
      <c r="B4" s="34" t="s">
        <v>2285</v>
      </c>
      <c r="C4" s="34" t="s">
        <v>2286</v>
      </c>
      <c r="D4" s="34"/>
      <c r="E4" s="45" t="s">
        <v>2284</v>
      </c>
      <c r="F4" s="155"/>
      <c r="G4" s="156" t="str">
        <f>_xlfn.IFNA(IF(VLOOKUP($F4,'3.框架内物料'!$A:$E,2,0)=0,"请勿填写",VLOOKUP($F4,'3.框架内物料'!$A:$E,2,0)),"")</f>
        <v/>
      </c>
      <c r="H4" s="157" t="str">
        <f>_xlfn.IFNA(VLOOKUP($F4,'3.框架内物料'!$A:$E,4,0),"")</f>
        <v/>
      </c>
      <c r="I4" s="156" t="str">
        <f>_xlfn.IFNA(VLOOKUP($F4,'3.框架内物料'!$A:$E,5,0),"")</f>
        <v/>
      </c>
      <c r="J4" s="161" t="str">
        <f>_xlfn.IFNA(VLOOKUP($F4,'3.框架内物料'!$A:$F,6,0),"")</f>
        <v/>
      </c>
      <c r="K4" s="161" t="str">
        <f>_xlfn.IFNA(VLOOKUP($F4,'3.框架内物料'!$A:$F,6,0),"")</f>
        <v/>
      </c>
      <c r="L4" s="54"/>
      <c r="M4" s="54"/>
      <c r="N4" s="56"/>
      <c r="O4" s="56"/>
      <c r="P4" s="164">
        <f t="shared" si="0"/>
        <v>0</v>
      </c>
      <c r="Q4" s="164">
        <f t="shared" si="1"/>
        <v>0</v>
      </c>
      <c r="R4" s="169">
        <f t="shared" si="2"/>
        <v>0</v>
      </c>
      <c r="S4" s="70">
        <v>0.06</v>
      </c>
      <c r="T4" s="35"/>
      <c r="U4" s="35">
        <v>4</v>
      </c>
    </row>
    <row r="5" spans="1:24" s="18" customFormat="1" ht="32.1" customHeight="1">
      <c r="A5" s="154" t="s">
        <v>2280</v>
      </c>
      <c r="B5" s="34" t="s">
        <v>2285</v>
      </c>
      <c r="C5" s="34" t="s">
        <v>2287</v>
      </c>
      <c r="D5" s="34"/>
      <c r="E5" s="45" t="s">
        <v>2284</v>
      </c>
      <c r="F5" s="155"/>
      <c r="G5" s="33" t="str">
        <f>_xlfn.IFNA(IF(VLOOKUP($F5,'3.框架内物料'!$A:$E,2,0)=0,"请勿填写",VLOOKUP($F5,'3.框架内物料'!$A:$E,2,0)),"")</f>
        <v/>
      </c>
      <c r="H5" s="43" t="str">
        <f>_xlfn.IFNA(VLOOKUP($F5,'3.框架内物料'!$A:$E,4,0),"")</f>
        <v/>
      </c>
      <c r="I5" s="33" t="str">
        <f>_xlfn.IFNA(VLOOKUP($F5,'3.框架内物料'!$A:$E,5,0),"")</f>
        <v/>
      </c>
      <c r="J5" s="162" t="str">
        <f>_xlfn.IFNA(VLOOKUP($F5,'3.框架内物料'!$A:$F,6,0),"")</f>
        <v/>
      </c>
      <c r="K5" s="162" t="str">
        <f>_xlfn.IFNA(VLOOKUP($F5,'3.框架内物料'!$A:$F,6,0),"")</f>
        <v/>
      </c>
      <c r="L5" s="54"/>
      <c r="M5" s="54"/>
      <c r="N5" s="56"/>
      <c r="O5" s="56"/>
      <c r="P5" s="164">
        <f t="shared" si="0"/>
        <v>0</v>
      </c>
      <c r="Q5" s="164">
        <f t="shared" si="1"/>
        <v>0</v>
      </c>
      <c r="R5" s="169">
        <f t="shared" si="2"/>
        <v>0</v>
      </c>
      <c r="S5" s="70">
        <v>0.06</v>
      </c>
      <c r="T5" s="35"/>
      <c r="U5" s="35">
        <v>5</v>
      </c>
    </row>
    <row r="6" spans="1:24" s="18" customFormat="1" ht="32.1" customHeight="1">
      <c r="A6" s="154" t="s">
        <v>2280</v>
      </c>
      <c r="B6" s="34"/>
      <c r="C6" s="34"/>
      <c r="D6" s="34"/>
      <c r="E6" s="45" t="s">
        <v>2284</v>
      </c>
      <c r="F6" s="155"/>
      <c r="G6" s="156" t="str">
        <f>_xlfn.IFNA(IF(VLOOKUP($F6,'3.框架内物料'!$A:$E,2,0)=0,"请勿填写",VLOOKUP($F6,'3.框架内物料'!$A:$E,2,0)),"")</f>
        <v/>
      </c>
      <c r="H6" s="157" t="str">
        <f>_xlfn.IFNA(VLOOKUP($F6,'3.框架内物料'!$A:$E,4,0),"")</f>
        <v/>
      </c>
      <c r="I6" s="156" t="str">
        <f>_xlfn.IFNA(VLOOKUP($F6,'3.框架内物料'!$A:$E,5,0),"")</f>
        <v/>
      </c>
      <c r="J6" s="161" t="str">
        <f>_xlfn.IFNA(VLOOKUP($F6,'3.框架内物料'!$A:$F,6,0),"")</f>
        <v/>
      </c>
      <c r="K6" s="161" t="str">
        <f>_xlfn.IFNA(VLOOKUP($F6,'3.框架内物料'!$A:$F,6,0),"")</f>
        <v/>
      </c>
      <c r="L6" s="54"/>
      <c r="M6" s="54"/>
      <c r="N6" s="56"/>
      <c r="O6" s="56"/>
      <c r="P6" s="164">
        <f t="shared" si="0"/>
        <v>0</v>
      </c>
      <c r="Q6" s="164">
        <f t="shared" si="1"/>
        <v>0</v>
      </c>
      <c r="R6" s="169">
        <f t="shared" si="2"/>
        <v>0</v>
      </c>
      <c r="S6" s="70">
        <v>0.06</v>
      </c>
      <c r="T6" s="35"/>
      <c r="U6" s="35">
        <v>7</v>
      </c>
    </row>
    <row r="7" spans="1:24" s="18" customFormat="1" ht="32.1" customHeight="1">
      <c r="A7" s="154" t="s">
        <v>2280</v>
      </c>
      <c r="B7" s="34"/>
      <c r="C7" s="34"/>
      <c r="D7" s="45"/>
      <c r="E7" s="45" t="s">
        <v>2284</v>
      </c>
      <c r="F7" s="155"/>
      <c r="G7" s="156" t="str">
        <f>_xlfn.IFNA(IF(VLOOKUP($F7,'3.框架内物料'!$A:$E,2,0)=0,"请勿填写",VLOOKUP($F7,'3.框架内物料'!$A:$E,2,0)),"")</f>
        <v/>
      </c>
      <c r="H7" s="157" t="str">
        <f>_xlfn.IFNA(VLOOKUP($F7,'3.框架内物料'!$A:$E,4,0),"")</f>
        <v/>
      </c>
      <c r="I7" s="156" t="str">
        <f>_xlfn.IFNA(VLOOKUP($F7,'3.框架内物料'!$A:$E,5,0),"")</f>
        <v/>
      </c>
      <c r="J7" s="161" t="str">
        <f>_xlfn.IFNA(VLOOKUP($F7,'3.框架内物料'!$A:$F,6,0),"")</f>
        <v/>
      </c>
      <c r="K7" s="161" t="str">
        <f>_xlfn.IFNA(VLOOKUP($F7,'3.框架内物料'!$A:$F,6,0),"")</f>
        <v/>
      </c>
      <c r="L7" s="54"/>
      <c r="M7" s="54"/>
      <c r="N7" s="56"/>
      <c r="O7" s="56"/>
      <c r="P7" s="164">
        <f t="shared" si="0"/>
        <v>0</v>
      </c>
      <c r="Q7" s="164">
        <f t="shared" si="1"/>
        <v>0</v>
      </c>
      <c r="R7" s="169">
        <f t="shared" si="2"/>
        <v>0</v>
      </c>
      <c r="S7" s="70">
        <v>0.06</v>
      </c>
      <c r="T7" s="35"/>
      <c r="U7" s="35">
        <v>8</v>
      </c>
    </row>
    <row r="8" spans="1:24" s="18" customFormat="1" ht="32.1" customHeight="1">
      <c r="A8" s="154" t="s">
        <v>2280</v>
      </c>
      <c r="B8" s="34"/>
      <c r="C8" s="34"/>
      <c r="D8" s="45"/>
      <c r="E8" s="45" t="s">
        <v>2284</v>
      </c>
      <c r="F8" s="155"/>
      <c r="G8" s="156" t="str">
        <f>_xlfn.IFNA(IF(VLOOKUP($F8,'3.框架内物料'!$A:$E,2,0)=0,"请勿填写",VLOOKUP($F8,'3.框架内物料'!$A:$E,2,0)),"")</f>
        <v/>
      </c>
      <c r="H8" s="157" t="str">
        <f>_xlfn.IFNA(VLOOKUP($F8,'3.框架内物料'!$A:$E,4,0),"")</f>
        <v/>
      </c>
      <c r="I8" s="156" t="str">
        <f>_xlfn.IFNA(VLOOKUP($F8,'3.框架内物料'!$A:$E,5,0),"")</f>
        <v/>
      </c>
      <c r="J8" s="161" t="str">
        <f>_xlfn.IFNA(VLOOKUP($F8,'3.框架内物料'!$A:$F,6,0),"")</f>
        <v/>
      </c>
      <c r="K8" s="161" t="str">
        <f>_xlfn.IFNA(VLOOKUP($F8,'3.框架内物料'!$A:$F,6,0),"")</f>
        <v/>
      </c>
      <c r="L8" s="54"/>
      <c r="M8" s="54"/>
      <c r="N8" s="56"/>
      <c r="O8" s="56"/>
      <c r="P8" s="164">
        <f t="shared" si="0"/>
        <v>0</v>
      </c>
      <c r="Q8" s="164">
        <f t="shared" si="1"/>
        <v>0</v>
      </c>
      <c r="R8" s="169">
        <f t="shared" si="2"/>
        <v>0</v>
      </c>
      <c r="S8" s="70">
        <v>0.06</v>
      </c>
      <c r="T8" s="35"/>
      <c r="U8" s="35">
        <v>10</v>
      </c>
    </row>
    <row r="9" spans="1:24" s="18" customFormat="1" ht="16.899999999999999">
      <c r="A9" s="36"/>
      <c r="B9" s="37"/>
      <c r="C9" s="37"/>
      <c r="D9" s="37"/>
      <c r="E9" s="37"/>
      <c r="F9" s="46"/>
      <c r="G9" s="46"/>
      <c r="H9" s="46"/>
      <c r="I9" s="46"/>
      <c r="J9" s="46"/>
      <c r="K9" s="46"/>
      <c r="L9" s="46"/>
      <c r="M9" s="46"/>
      <c r="N9" s="46"/>
      <c r="O9" s="46"/>
      <c r="P9" s="324" t="s">
        <v>2288</v>
      </c>
      <c r="Q9" s="325"/>
      <c r="R9" s="326"/>
      <c r="S9" s="78"/>
      <c r="T9" s="78"/>
      <c r="U9" s="78"/>
    </row>
    <row r="10" spans="1:24" s="18" customFormat="1" ht="16.899999999999999">
      <c r="A10" s="38"/>
      <c r="B10" s="39"/>
      <c r="C10" s="39"/>
      <c r="D10" s="39"/>
      <c r="E10" s="39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65">
        <f>SUM(P2:P8)</f>
        <v>0</v>
      </c>
      <c r="Q10" s="165">
        <f>SUM(Q2:Q8)</f>
        <v>0</v>
      </c>
      <c r="R10" s="165">
        <f>Q10-P10</f>
        <v>0</v>
      </c>
      <c r="S10" s="38"/>
      <c r="T10" s="48"/>
      <c r="U10" s="79"/>
    </row>
    <row r="11" spans="1:24" s="18" customFormat="1">
      <c r="A11" s="154" t="s">
        <v>2289</v>
      </c>
      <c r="B11" s="34"/>
      <c r="C11" s="34"/>
      <c r="D11" s="34"/>
      <c r="E11" s="34" t="s">
        <v>2284</v>
      </c>
      <c r="F11" s="155"/>
      <c r="G11" s="156" t="str">
        <f>_xlfn.IFNA(IF(VLOOKUP($F11,'3.框架内物料'!$A:$E,2,0)=0,"请勿填写",VLOOKUP($F11,'3.框架内物料'!$A:$E,2,0)),"")</f>
        <v/>
      </c>
      <c r="H11" s="157" t="str">
        <f>_xlfn.IFNA(VLOOKUP($F11,'3.框架内物料'!$A:$E,4,0),"")</f>
        <v/>
      </c>
      <c r="I11" s="156" t="str">
        <f>_xlfn.IFNA(VLOOKUP($F11,'3.框架内物料'!$A:$E,5,0),"")</f>
        <v/>
      </c>
      <c r="J11" s="161" t="str">
        <f>_xlfn.IFNA(VLOOKUP($F11,'3.框架内物料'!$A:$F,6,0),"")</f>
        <v/>
      </c>
      <c r="K11" s="161" t="str">
        <f>_xlfn.IFNA(VLOOKUP($F11,'3.框架内物料'!$A:$F,6,0),"")</f>
        <v/>
      </c>
      <c r="L11" s="54"/>
      <c r="M11" s="54"/>
      <c r="N11" s="54"/>
      <c r="O11" s="54"/>
      <c r="P11" s="164">
        <f t="shared" ref="P11:P68" si="3">IFERROR(N11*L11*J11,0)</f>
        <v>0</v>
      </c>
      <c r="Q11" s="164">
        <f t="shared" ref="Q11:Q68" si="4">IFERROR(K11*M11*O11,0)</f>
        <v>0</v>
      </c>
      <c r="R11" s="169">
        <f t="shared" ref="R11:R68" si="5">Q11-P11</f>
        <v>0</v>
      </c>
      <c r="S11" s="170">
        <v>0.06</v>
      </c>
      <c r="T11" s="171"/>
      <c r="U11" s="171">
        <v>13</v>
      </c>
    </row>
    <row r="12" spans="1:24" s="18" customFormat="1">
      <c r="A12" s="154" t="s">
        <v>2289</v>
      </c>
      <c r="B12" s="34"/>
      <c r="C12" s="34"/>
      <c r="D12" s="45"/>
      <c r="E12" s="45"/>
      <c r="F12" s="155"/>
      <c r="G12" s="156" t="str">
        <f>_xlfn.IFNA(IF(VLOOKUP($F12,'3.框架内物料'!$A:$E,2,0)=0,"请勿填写",VLOOKUP($F12,'3.框架内物料'!$A:$E,2,0)),"")</f>
        <v/>
      </c>
      <c r="H12" s="157" t="str">
        <f>_xlfn.IFNA(VLOOKUP($F12,'3.框架内物料'!$A:$E,4,0),"")</f>
        <v/>
      </c>
      <c r="I12" s="156" t="str">
        <f>_xlfn.IFNA(VLOOKUP($F12,'3.框架内物料'!$A:$E,5,0),"")</f>
        <v/>
      </c>
      <c r="J12" s="161" t="str">
        <f>_xlfn.IFNA(VLOOKUP($F12,'3.框架内物料'!$A:$F,6,0),"")</f>
        <v/>
      </c>
      <c r="K12" s="161" t="str">
        <f>_xlfn.IFNA(VLOOKUP($F12,'3.框架内物料'!$A:$F,6,0),"")</f>
        <v/>
      </c>
      <c r="L12" s="54"/>
      <c r="M12" s="54"/>
      <c r="N12" s="56"/>
      <c r="O12" s="56"/>
      <c r="P12" s="164">
        <f t="shared" si="3"/>
        <v>0</v>
      </c>
      <c r="Q12" s="164">
        <f t="shared" si="4"/>
        <v>0</v>
      </c>
      <c r="R12" s="169">
        <f t="shared" si="5"/>
        <v>0</v>
      </c>
      <c r="S12" s="70">
        <v>0.06</v>
      </c>
      <c r="T12" s="35"/>
      <c r="U12" s="35">
        <v>14</v>
      </c>
    </row>
    <row r="13" spans="1:24" s="18" customFormat="1">
      <c r="A13" s="154" t="s">
        <v>2289</v>
      </c>
      <c r="B13" s="34"/>
      <c r="C13" s="34"/>
      <c r="D13" s="45"/>
      <c r="E13" s="45"/>
      <c r="F13" s="155"/>
      <c r="G13" s="156" t="str">
        <f>_xlfn.IFNA(IF(VLOOKUP($F13,'3.框架内物料'!$A:$E,2,0)=0,"请勿填写",VLOOKUP($F13,'3.框架内物料'!$A:$E,2,0)),"")</f>
        <v/>
      </c>
      <c r="H13" s="157" t="str">
        <f>_xlfn.IFNA(VLOOKUP($F13,'3.框架内物料'!$A:$E,4,0),"")</f>
        <v/>
      </c>
      <c r="I13" s="156" t="str">
        <f>_xlfn.IFNA(VLOOKUP($F13,'3.框架内物料'!$A:$E,5,0),"")</f>
        <v/>
      </c>
      <c r="J13" s="161" t="str">
        <f>_xlfn.IFNA(VLOOKUP($F13,'3.框架内物料'!$A:$F,6,0),"")</f>
        <v/>
      </c>
      <c r="K13" s="161" t="str">
        <f>_xlfn.IFNA(VLOOKUP($F13,'3.框架内物料'!$A:$F,6,0),"")</f>
        <v/>
      </c>
      <c r="L13" s="54"/>
      <c r="M13" s="54"/>
      <c r="N13" s="56"/>
      <c r="O13" s="56"/>
      <c r="P13" s="164">
        <f t="shared" si="3"/>
        <v>0</v>
      </c>
      <c r="Q13" s="164">
        <f t="shared" si="4"/>
        <v>0</v>
      </c>
      <c r="R13" s="169">
        <f t="shared" si="5"/>
        <v>0</v>
      </c>
      <c r="S13" s="70">
        <v>0.06</v>
      </c>
      <c r="T13" s="35"/>
      <c r="U13" s="35">
        <v>16</v>
      </c>
    </row>
    <row r="14" spans="1:24" s="19" customFormat="1">
      <c r="A14" s="154" t="s">
        <v>2289</v>
      </c>
      <c r="B14" s="34"/>
      <c r="C14" s="34"/>
      <c r="D14" s="34"/>
      <c r="E14" s="34" t="s">
        <v>2290</v>
      </c>
      <c r="F14" s="155"/>
      <c r="G14" s="156" t="str">
        <f>_xlfn.IFNA(IF(VLOOKUP($F14,'3.框架内物料'!$A:$E,2,0)=0,"请勿填写",VLOOKUP($F14,'3.框架内物料'!$A:$E,2,0)),"")</f>
        <v/>
      </c>
      <c r="H14" s="157" t="str">
        <f>_xlfn.IFNA(VLOOKUP($F14,'3.框架内物料'!$A:$E,4,0),"")</f>
        <v/>
      </c>
      <c r="I14" s="156" t="str">
        <f>_xlfn.IFNA(VLOOKUP($F14,'3.框架内物料'!$A:$E,5,0),"")</f>
        <v/>
      </c>
      <c r="J14" s="161" t="str">
        <f>_xlfn.IFNA(VLOOKUP($F14,'3.框架内物料'!$A:$F,6,0),"")</f>
        <v/>
      </c>
      <c r="K14" s="161" t="str">
        <f>_xlfn.IFNA(VLOOKUP($F14,'3.框架内物料'!$A:$F,6,0),"")</f>
        <v/>
      </c>
      <c r="L14" s="54"/>
      <c r="M14" s="54"/>
      <c r="N14" s="54"/>
      <c r="O14" s="54"/>
      <c r="P14" s="164">
        <f t="shared" si="3"/>
        <v>0</v>
      </c>
      <c r="Q14" s="164">
        <f t="shared" si="4"/>
        <v>0</v>
      </c>
      <c r="R14" s="169">
        <f t="shared" si="5"/>
        <v>0</v>
      </c>
      <c r="S14" s="70">
        <v>0.06</v>
      </c>
      <c r="T14" s="172"/>
      <c r="U14" s="35">
        <v>17</v>
      </c>
    </row>
    <row r="15" spans="1:24" s="19" customFormat="1">
      <c r="A15" s="154" t="s">
        <v>2289</v>
      </c>
      <c r="B15" s="34"/>
      <c r="C15" s="34"/>
      <c r="D15" s="34"/>
      <c r="E15" s="34"/>
      <c r="F15" s="155"/>
      <c r="G15" s="156" t="str">
        <f>_xlfn.IFNA(IF(VLOOKUP($F15,'3.框架内物料'!$A:$E,2,0)=0,"请勿填写",VLOOKUP($F15,'3.框架内物料'!$A:$E,2,0)),"")</f>
        <v/>
      </c>
      <c r="H15" s="157" t="str">
        <f>_xlfn.IFNA(VLOOKUP($F15,'3.框架内物料'!$A:$E,4,0),"")</f>
        <v/>
      </c>
      <c r="I15" s="156" t="str">
        <f>_xlfn.IFNA(VLOOKUP($F15,'3.框架内物料'!$A:$E,5,0),"")</f>
        <v/>
      </c>
      <c r="J15" s="161" t="str">
        <f>_xlfn.IFNA(VLOOKUP($F15,'3.框架内物料'!$A:$F,6,0),"")</f>
        <v/>
      </c>
      <c r="K15" s="161" t="str">
        <f>_xlfn.IFNA(VLOOKUP($F15,'3.框架内物料'!$A:$F,6,0),"")</f>
        <v/>
      </c>
      <c r="L15" s="54"/>
      <c r="M15" s="54"/>
      <c r="N15" s="56"/>
      <c r="O15" s="56"/>
      <c r="P15" s="164">
        <f t="shared" si="3"/>
        <v>0</v>
      </c>
      <c r="Q15" s="164">
        <f t="shared" si="4"/>
        <v>0</v>
      </c>
      <c r="R15" s="169">
        <f t="shared" si="5"/>
        <v>0</v>
      </c>
      <c r="S15" s="70">
        <v>0.06</v>
      </c>
      <c r="T15" s="172"/>
      <c r="U15" s="35">
        <v>19</v>
      </c>
    </row>
    <row r="16" spans="1:24" s="19" customFormat="1">
      <c r="A16" s="154" t="s">
        <v>2289</v>
      </c>
      <c r="B16" s="34"/>
      <c r="C16" s="34"/>
      <c r="D16" s="45"/>
      <c r="E16" s="45"/>
      <c r="F16" s="155"/>
      <c r="G16" s="156" t="str">
        <f>_xlfn.IFNA(IF(VLOOKUP($F16,'3.框架内物料'!$A:$E,2,0)=0,"请勿填写",VLOOKUP($F16,'3.框架内物料'!$A:$E,2,0)),"")</f>
        <v/>
      </c>
      <c r="H16" s="157" t="str">
        <f>_xlfn.IFNA(VLOOKUP($F16,'3.框架内物料'!$A:$E,4,0),"")</f>
        <v/>
      </c>
      <c r="I16" s="156" t="str">
        <f>_xlfn.IFNA(VLOOKUP($F16,'3.框架内物料'!$A:$E,5,0),"")</f>
        <v/>
      </c>
      <c r="J16" s="161" t="str">
        <f>_xlfn.IFNA(VLOOKUP($F16,'3.框架内物料'!$A:$F,6,0),"")</f>
        <v/>
      </c>
      <c r="K16" s="161" t="str">
        <f>_xlfn.IFNA(VLOOKUP($F16,'3.框架内物料'!$A:$F,6,0),"")</f>
        <v/>
      </c>
      <c r="L16" s="54"/>
      <c r="M16" s="54"/>
      <c r="N16" s="56"/>
      <c r="O16" s="56"/>
      <c r="P16" s="164">
        <f t="shared" si="3"/>
        <v>0</v>
      </c>
      <c r="Q16" s="164">
        <f t="shared" si="4"/>
        <v>0</v>
      </c>
      <c r="R16" s="169">
        <f t="shared" si="5"/>
        <v>0</v>
      </c>
      <c r="S16" s="70">
        <v>0.06</v>
      </c>
      <c r="T16" s="172"/>
      <c r="U16" s="35">
        <v>20</v>
      </c>
      <c r="X16" s="173"/>
    </row>
    <row r="17" spans="1:24" s="19" customFormat="1">
      <c r="A17" s="154" t="s">
        <v>2289</v>
      </c>
      <c r="B17" s="34"/>
      <c r="C17" s="34"/>
      <c r="D17" s="45"/>
      <c r="E17" s="45"/>
      <c r="F17" s="155"/>
      <c r="G17" s="156" t="str">
        <f>_xlfn.IFNA(IF(VLOOKUP($F17,'3.框架内物料'!$A:$E,2,0)=0,"请勿填写",VLOOKUP($F17,'3.框架内物料'!$A:$E,2,0)),"")</f>
        <v/>
      </c>
      <c r="H17" s="157" t="str">
        <f>_xlfn.IFNA(VLOOKUP($F17,'3.框架内物料'!$A:$E,4,0),"")</f>
        <v/>
      </c>
      <c r="I17" s="156" t="str">
        <f>_xlfn.IFNA(VLOOKUP($F17,'3.框架内物料'!$A:$E,5,0),"")</f>
        <v/>
      </c>
      <c r="J17" s="161" t="str">
        <f>_xlfn.IFNA(VLOOKUP($F17,'3.框架内物料'!$A:$F,6,0),"")</f>
        <v/>
      </c>
      <c r="K17" s="161" t="str">
        <f>_xlfn.IFNA(VLOOKUP($F17,'3.框架内物料'!$A:$F,6,0),"")</f>
        <v/>
      </c>
      <c r="L17" s="54"/>
      <c r="M17" s="54"/>
      <c r="N17" s="56"/>
      <c r="O17" s="56"/>
      <c r="P17" s="164">
        <f t="shared" si="3"/>
        <v>0</v>
      </c>
      <c r="Q17" s="164">
        <f t="shared" si="4"/>
        <v>0</v>
      </c>
      <c r="R17" s="169">
        <f t="shared" si="5"/>
        <v>0</v>
      </c>
      <c r="S17" s="70">
        <v>0.06</v>
      </c>
      <c r="T17" s="172"/>
      <c r="U17" s="35">
        <v>22</v>
      </c>
      <c r="X17" s="173"/>
    </row>
    <row r="18" spans="1:24" s="19" customFormat="1" ht="16.899999999999999">
      <c r="A18" s="36"/>
      <c r="B18" s="37"/>
      <c r="C18" s="37"/>
      <c r="D18" s="37"/>
      <c r="E18" s="3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324" t="s">
        <v>2291</v>
      </c>
      <c r="Q18" s="325"/>
      <c r="R18" s="326"/>
      <c r="S18" s="78"/>
      <c r="T18" s="78"/>
      <c r="U18" s="78"/>
      <c r="X18" s="173"/>
    </row>
    <row r="19" spans="1:24" s="19" customFormat="1" ht="16.899999999999999">
      <c r="A19" s="38"/>
      <c r="B19" s="39"/>
      <c r="C19" s="39"/>
      <c r="D19" s="39"/>
      <c r="E19" s="39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65">
        <f>SUM(P11:P17)</f>
        <v>0</v>
      </c>
      <c r="Q19" s="165">
        <f>SUM(Q11:Q17)</f>
        <v>0</v>
      </c>
      <c r="R19" s="165">
        <f>Q19-P19</f>
        <v>0</v>
      </c>
      <c r="S19" s="38"/>
      <c r="T19" s="48"/>
      <c r="U19" s="79"/>
      <c r="X19" s="173"/>
    </row>
    <row r="20" spans="1:24" s="19" customFormat="1">
      <c r="A20" s="154" t="s">
        <v>2292</v>
      </c>
      <c r="B20" s="34"/>
      <c r="C20" s="34"/>
      <c r="D20" s="34"/>
      <c r="E20" s="34"/>
      <c r="F20" s="155"/>
      <c r="G20" s="156" t="str">
        <f>_xlfn.IFNA(IF(VLOOKUP($F20,'3.框架内物料'!$A:$E,2,0)=0,"请勿填写",VLOOKUP($F20,'3.框架内物料'!$A:$E,2,0)),"")</f>
        <v/>
      </c>
      <c r="H20" s="157" t="str">
        <f>_xlfn.IFNA(VLOOKUP($F20,'3.框架内物料'!$A:$E,4,0),"")</f>
        <v/>
      </c>
      <c r="I20" s="156" t="str">
        <f>_xlfn.IFNA(VLOOKUP($F20,'3.框架内物料'!$A:$E,5,0),"")</f>
        <v/>
      </c>
      <c r="J20" s="161" t="str">
        <f>_xlfn.IFNA(VLOOKUP($F20,'3.框架内物料'!$A:$F,6,0),"")</f>
        <v/>
      </c>
      <c r="K20" s="161" t="str">
        <f>_xlfn.IFNA(VLOOKUP($F20,'3.框架内物料'!$A:$F,6,0),"")</f>
        <v/>
      </c>
      <c r="L20" s="54"/>
      <c r="M20" s="54"/>
      <c r="N20" s="56"/>
      <c r="O20" s="56"/>
      <c r="P20" s="164">
        <f t="shared" si="3"/>
        <v>0</v>
      </c>
      <c r="Q20" s="164">
        <f t="shared" si="4"/>
        <v>0</v>
      </c>
      <c r="R20" s="169">
        <f t="shared" si="5"/>
        <v>0</v>
      </c>
      <c r="S20" s="70">
        <v>0.06</v>
      </c>
      <c r="T20" s="172"/>
      <c r="U20" s="35">
        <v>25</v>
      </c>
    </row>
    <row r="21" spans="1:24" s="19" customFormat="1">
      <c r="A21" s="154" t="s">
        <v>2292</v>
      </c>
      <c r="B21" s="34"/>
      <c r="C21" s="34"/>
      <c r="D21" s="45"/>
      <c r="E21" s="45"/>
      <c r="F21" s="155"/>
      <c r="G21" s="156" t="str">
        <f>_xlfn.IFNA(IF(VLOOKUP($F21,'3.框架内物料'!$A:$E,2,0)=0,"请勿填写",VLOOKUP($F21,'3.框架内物料'!$A:$E,2,0)),"")</f>
        <v/>
      </c>
      <c r="H21" s="157" t="str">
        <f>_xlfn.IFNA(VLOOKUP($F21,'3.框架内物料'!$A:$E,4,0),"")</f>
        <v/>
      </c>
      <c r="I21" s="156" t="str">
        <f>_xlfn.IFNA(VLOOKUP($F21,'3.框架内物料'!$A:$E,5,0),"")</f>
        <v/>
      </c>
      <c r="J21" s="161" t="str">
        <f>_xlfn.IFNA(VLOOKUP($F21,'3.框架内物料'!$A:$F,6,0),"")</f>
        <v/>
      </c>
      <c r="K21" s="161" t="str">
        <f>_xlfn.IFNA(VLOOKUP($F21,'3.框架内物料'!$A:$F,6,0),"")</f>
        <v/>
      </c>
      <c r="L21" s="54"/>
      <c r="M21" s="54"/>
      <c r="N21" s="54"/>
      <c r="O21" s="54"/>
      <c r="P21" s="164">
        <f t="shared" si="3"/>
        <v>0</v>
      </c>
      <c r="Q21" s="164">
        <f t="shared" si="4"/>
        <v>0</v>
      </c>
      <c r="R21" s="169">
        <f t="shared" si="5"/>
        <v>0</v>
      </c>
      <c r="S21" s="70">
        <v>0.06</v>
      </c>
      <c r="T21" s="172"/>
      <c r="U21" s="35">
        <v>26</v>
      </c>
      <c r="X21" s="173"/>
    </row>
    <row r="22" spans="1:24" s="19" customFormat="1">
      <c r="A22" s="154" t="s">
        <v>2292</v>
      </c>
      <c r="B22" s="34"/>
      <c r="C22" s="34"/>
      <c r="D22" s="45"/>
      <c r="E22" s="45"/>
      <c r="F22" s="155"/>
      <c r="G22" s="156" t="str">
        <f>_xlfn.IFNA(IF(VLOOKUP($F22,'3.框架内物料'!$A:$E,2,0)=0,"请勿填写",VLOOKUP($F22,'3.框架内物料'!$A:$E,2,0)),"")</f>
        <v/>
      </c>
      <c r="H22" s="157" t="str">
        <f>_xlfn.IFNA(VLOOKUP($F22,'3.框架内物料'!$A:$E,4,0),"")</f>
        <v/>
      </c>
      <c r="I22" s="156" t="str">
        <f>_xlfn.IFNA(VLOOKUP($F22,'3.框架内物料'!$A:$E,5,0),"")</f>
        <v/>
      </c>
      <c r="J22" s="161" t="str">
        <f>_xlfn.IFNA(VLOOKUP($F22,'3.框架内物料'!$A:$F,6,0),"")</f>
        <v/>
      </c>
      <c r="K22" s="161" t="str">
        <f>_xlfn.IFNA(VLOOKUP($F22,'3.框架内物料'!$A:$F,6,0),"")</f>
        <v/>
      </c>
      <c r="L22" s="54"/>
      <c r="M22" s="54"/>
      <c r="N22" s="56"/>
      <c r="O22" s="56"/>
      <c r="P22" s="164">
        <f t="shared" si="3"/>
        <v>0</v>
      </c>
      <c r="Q22" s="164">
        <f t="shared" si="4"/>
        <v>0</v>
      </c>
      <c r="R22" s="169">
        <f t="shared" si="5"/>
        <v>0</v>
      </c>
      <c r="S22" s="70">
        <v>0.06</v>
      </c>
      <c r="T22" s="172"/>
      <c r="U22" s="35">
        <v>28</v>
      </c>
      <c r="X22" s="173"/>
    </row>
    <row r="23" spans="1:24" s="19" customFormat="1">
      <c r="A23" s="154" t="s">
        <v>2292</v>
      </c>
      <c r="B23" s="34"/>
      <c r="C23" s="34"/>
      <c r="D23" s="34"/>
      <c r="E23" s="34"/>
      <c r="F23" s="155"/>
      <c r="G23" s="156" t="str">
        <f>_xlfn.IFNA(IF(VLOOKUP($F23,'3.框架内物料'!$A:$E,2,0)=0,"请勿填写",VLOOKUP($F23,'3.框架内物料'!$A:$E,2,0)),"")</f>
        <v/>
      </c>
      <c r="H23" s="157" t="str">
        <f>_xlfn.IFNA(VLOOKUP($F23,'3.框架内物料'!$A:$E,4,0),"")</f>
        <v/>
      </c>
      <c r="I23" s="156" t="str">
        <f>_xlfn.IFNA(VLOOKUP($F23,'3.框架内物料'!$A:$E,5,0),"")</f>
        <v/>
      </c>
      <c r="J23" s="161" t="str">
        <f>_xlfn.IFNA(VLOOKUP($F23,'3.框架内物料'!$A:$F,6,0),"")</f>
        <v/>
      </c>
      <c r="K23" s="161" t="str">
        <f>_xlfn.IFNA(VLOOKUP($F23,'3.框架内物料'!$A:$F,6,0),"")</f>
        <v/>
      </c>
      <c r="L23" s="54"/>
      <c r="M23" s="54"/>
      <c r="N23" s="56"/>
      <c r="O23" s="56"/>
      <c r="P23" s="164">
        <f t="shared" si="3"/>
        <v>0</v>
      </c>
      <c r="Q23" s="164">
        <f t="shared" si="4"/>
        <v>0</v>
      </c>
      <c r="R23" s="169">
        <f t="shared" si="5"/>
        <v>0</v>
      </c>
      <c r="S23" s="70">
        <v>0.06</v>
      </c>
      <c r="T23" s="172"/>
      <c r="U23" s="35">
        <v>29</v>
      </c>
    </row>
    <row r="24" spans="1:24" s="19" customFormat="1">
      <c r="A24" s="154" t="s">
        <v>2292</v>
      </c>
      <c r="B24" s="34"/>
      <c r="C24" s="34"/>
      <c r="D24" s="34"/>
      <c r="E24" s="34"/>
      <c r="F24" s="155"/>
      <c r="G24" s="156" t="str">
        <f>_xlfn.IFNA(IF(VLOOKUP($F24,'3.框架内物料'!$A:$E,2,0)=0,"请勿填写",VLOOKUP($F24,'3.框架内物料'!$A:$E,2,0)),"")</f>
        <v/>
      </c>
      <c r="H24" s="157" t="str">
        <f>_xlfn.IFNA(VLOOKUP($F24,'3.框架内物料'!$A:$E,4,0),"")</f>
        <v/>
      </c>
      <c r="I24" s="156" t="str">
        <f>_xlfn.IFNA(VLOOKUP($F24,'3.框架内物料'!$A:$E,5,0),"")</f>
        <v/>
      </c>
      <c r="J24" s="161" t="str">
        <f>_xlfn.IFNA(VLOOKUP($F24,'3.框架内物料'!$A:$F,6,0),"")</f>
        <v/>
      </c>
      <c r="K24" s="161" t="str">
        <f>_xlfn.IFNA(VLOOKUP($F24,'3.框架内物料'!$A:$F,6,0),"")</f>
        <v/>
      </c>
      <c r="L24" s="54"/>
      <c r="M24" s="54"/>
      <c r="N24" s="56"/>
      <c r="O24" s="56"/>
      <c r="P24" s="164">
        <f t="shared" si="3"/>
        <v>0</v>
      </c>
      <c r="Q24" s="164">
        <f t="shared" si="4"/>
        <v>0</v>
      </c>
      <c r="R24" s="169">
        <f t="shared" si="5"/>
        <v>0</v>
      </c>
      <c r="S24" s="70">
        <v>0.06</v>
      </c>
      <c r="T24" s="172"/>
      <c r="U24" s="35">
        <v>31</v>
      </c>
    </row>
    <row r="25" spans="1:24" s="18" customFormat="1">
      <c r="A25" s="154" t="s">
        <v>2292</v>
      </c>
      <c r="B25" s="34"/>
      <c r="C25" s="34"/>
      <c r="D25" s="45"/>
      <c r="E25" s="45"/>
      <c r="F25" s="155"/>
      <c r="G25" s="156" t="str">
        <f>_xlfn.IFNA(IF(VLOOKUP($F25,'3.框架内物料'!$A:$E,2,0)=0,"请勿填写",VLOOKUP($F25,'3.框架内物料'!$A:$E,2,0)),"")</f>
        <v/>
      </c>
      <c r="H25" s="157" t="str">
        <f>_xlfn.IFNA(VLOOKUP($F25,'3.框架内物料'!$A:$E,4,0),"")</f>
        <v/>
      </c>
      <c r="I25" s="156" t="str">
        <f>_xlfn.IFNA(VLOOKUP($F25,'3.框架内物料'!$A:$E,5,0),"")</f>
        <v/>
      </c>
      <c r="J25" s="161" t="str">
        <f>_xlfn.IFNA(VLOOKUP($F25,'3.框架内物料'!$A:$F,6,0),"")</f>
        <v/>
      </c>
      <c r="K25" s="161" t="str">
        <f>_xlfn.IFNA(VLOOKUP($F25,'3.框架内物料'!$A:$F,6,0),"")</f>
        <v/>
      </c>
      <c r="L25" s="54"/>
      <c r="M25" s="54"/>
      <c r="N25" s="56"/>
      <c r="O25" s="56"/>
      <c r="P25" s="164">
        <f t="shared" si="3"/>
        <v>0</v>
      </c>
      <c r="Q25" s="164">
        <f t="shared" si="4"/>
        <v>0</v>
      </c>
      <c r="R25" s="169">
        <f t="shared" si="5"/>
        <v>0</v>
      </c>
      <c r="S25" s="70">
        <v>0.06</v>
      </c>
      <c r="T25" s="35"/>
      <c r="U25" s="35">
        <v>32</v>
      </c>
    </row>
    <row r="26" spans="1:24" s="18" customFormat="1">
      <c r="A26" s="154" t="s">
        <v>2292</v>
      </c>
      <c r="B26" s="34"/>
      <c r="C26" s="34"/>
      <c r="D26" s="45"/>
      <c r="E26" s="45"/>
      <c r="F26" s="155"/>
      <c r="G26" s="156" t="str">
        <f>_xlfn.IFNA(IF(VLOOKUP($F26,'3.框架内物料'!$A:$E,2,0)=0,"请勿填写",VLOOKUP($F26,'3.框架内物料'!$A:$E,2,0)),"")</f>
        <v/>
      </c>
      <c r="H26" s="157" t="str">
        <f>_xlfn.IFNA(VLOOKUP($F26,'3.框架内物料'!$A:$E,4,0),"")</f>
        <v/>
      </c>
      <c r="I26" s="156" t="str">
        <f>_xlfn.IFNA(VLOOKUP($F26,'3.框架内物料'!$A:$E,5,0),"")</f>
        <v/>
      </c>
      <c r="J26" s="161" t="str">
        <f>_xlfn.IFNA(VLOOKUP($F26,'3.框架内物料'!$A:$F,6,0),"")</f>
        <v/>
      </c>
      <c r="K26" s="161" t="str">
        <f>_xlfn.IFNA(VLOOKUP($F26,'3.框架内物料'!$A:$F,6,0),"")</f>
        <v/>
      </c>
      <c r="L26" s="54"/>
      <c r="M26" s="54"/>
      <c r="N26" s="56"/>
      <c r="O26" s="56"/>
      <c r="P26" s="164">
        <f t="shared" si="3"/>
        <v>0</v>
      </c>
      <c r="Q26" s="164">
        <f t="shared" si="4"/>
        <v>0</v>
      </c>
      <c r="R26" s="169">
        <f t="shared" si="5"/>
        <v>0</v>
      </c>
      <c r="S26" s="70">
        <v>0.06</v>
      </c>
      <c r="T26" s="35"/>
      <c r="U26" s="35">
        <v>34</v>
      </c>
    </row>
    <row r="27" spans="1:24" s="18" customFormat="1" ht="16.899999999999999">
      <c r="A27" s="36"/>
      <c r="B27" s="37"/>
      <c r="C27" s="37"/>
      <c r="D27" s="37"/>
      <c r="E27" s="37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324" t="s">
        <v>2293</v>
      </c>
      <c r="Q27" s="325"/>
      <c r="R27" s="326"/>
      <c r="S27" s="78"/>
      <c r="T27" s="78"/>
      <c r="U27" s="78"/>
    </row>
    <row r="28" spans="1:24" s="18" customFormat="1" ht="16.899999999999999">
      <c r="A28" s="38"/>
      <c r="B28" s="39"/>
      <c r="C28" s="39"/>
      <c r="D28" s="39"/>
      <c r="E28" s="39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165">
        <f>SUM(P20:P26)</f>
        <v>0</v>
      </c>
      <c r="Q28" s="165">
        <f>SUM(Q20:Q26)</f>
        <v>0</v>
      </c>
      <c r="R28" s="165">
        <f>Q28-P28</f>
        <v>0</v>
      </c>
      <c r="S28" s="38"/>
      <c r="T28" s="48"/>
      <c r="U28" s="79"/>
    </row>
    <row r="29" spans="1:24" s="19" customFormat="1">
      <c r="A29" s="154" t="s">
        <v>2294</v>
      </c>
      <c r="B29" s="34" t="s">
        <v>2295</v>
      </c>
      <c r="C29" s="34" t="s">
        <v>2296</v>
      </c>
      <c r="D29" s="34"/>
      <c r="E29" s="34"/>
      <c r="F29" s="155"/>
      <c r="G29" s="156" t="str">
        <f>_xlfn.IFNA(IF(VLOOKUP($F29,'3.框架内物料'!$A:$E,2,0)=0,"请勿填写",VLOOKUP($F29,'3.框架内物料'!$A:$E,2,0)),"")</f>
        <v/>
      </c>
      <c r="H29" s="157" t="str">
        <f>_xlfn.IFNA(VLOOKUP($F29,'3.框架内物料'!$A:$E,4,0),"")</f>
        <v/>
      </c>
      <c r="I29" s="156" t="str">
        <f>_xlfn.IFNA(VLOOKUP($F29,'3.框架内物料'!$A:$E,5,0),"")</f>
        <v/>
      </c>
      <c r="J29" s="161" t="str">
        <f>_xlfn.IFNA(VLOOKUP($F29,'3.框架内物料'!$A:$F,6,0),"")</f>
        <v/>
      </c>
      <c r="K29" s="161" t="str">
        <f>_xlfn.IFNA(VLOOKUP($F29,'3.框架内物料'!$A:$F,6,0),"")</f>
        <v/>
      </c>
      <c r="L29" s="54"/>
      <c r="M29" s="54"/>
      <c r="N29" s="56"/>
      <c r="O29" s="56"/>
      <c r="P29" s="164">
        <f t="shared" si="3"/>
        <v>0</v>
      </c>
      <c r="Q29" s="164">
        <f t="shared" si="4"/>
        <v>0</v>
      </c>
      <c r="R29" s="169">
        <f t="shared" si="5"/>
        <v>0</v>
      </c>
      <c r="S29" s="70">
        <v>0.06</v>
      </c>
      <c r="T29" s="172"/>
      <c r="U29" s="35">
        <v>37</v>
      </c>
    </row>
    <row r="30" spans="1:24" s="19" customFormat="1">
      <c r="A30" s="154" t="s">
        <v>2294</v>
      </c>
      <c r="B30" s="34" t="s">
        <v>2295</v>
      </c>
      <c r="C30" s="34" t="s">
        <v>2297</v>
      </c>
      <c r="D30" s="45"/>
      <c r="E30" s="45"/>
      <c r="F30" s="155"/>
      <c r="G30" s="156" t="str">
        <f>_xlfn.IFNA(IF(VLOOKUP($F30,'3.框架内物料'!$A:$E,2,0)=0,"请勿填写",VLOOKUP($F30,'3.框架内物料'!$A:$E,2,0)),"")</f>
        <v/>
      </c>
      <c r="H30" s="157" t="str">
        <f>_xlfn.IFNA(VLOOKUP($F30,'3.框架内物料'!$A:$E,4,0),"")</f>
        <v/>
      </c>
      <c r="I30" s="156" t="str">
        <f>_xlfn.IFNA(VLOOKUP($F30,'3.框架内物料'!$A:$E,5,0),"")</f>
        <v/>
      </c>
      <c r="J30" s="161" t="str">
        <f>_xlfn.IFNA(VLOOKUP($F30,'3.框架内物料'!$A:$F,6,0),"")</f>
        <v/>
      </c>
      <c r="K30" s="161" t="str">
        <f>_xlfn.IFNA(VLOOKUP($F30,'3.框架内物料'!$A:$F,6,0),"")</f>
        <v/>
      </c>
      <c r="L30" s="54"/>
      <c r="M30" s="54"/>
      <c r="N30" s="54"/>
      <c r="O30" s="54"/>
      <c r="P30" s="164">
        <f t="shared" si="3"/>
        <v>0</v>
      </c>
      <c r="Q30" s="164">
        <f t="shared" si="4"/>
        <v>0</v>
      </c>
      <c r="R30" s="169">
        <f t="shared" si="5"/>
        <v>0</v>
      </c>
      <c r="S30" s="70">
        <v>0.06</v>
      </c>
      <c r="T30" s="172"/>
      <c r="U30" s="35">
        <v>38</v>
      </c>
      <c r="X30" s="173"/>
    </row>
    <row r="31" spans="1:24" s="19" customFormat="1">
      <c r="A31" s="154" t="s">
        <v>2294</v>
      </c>
      <c r="B31" s="34" t="s">
        <v>2298</v>
      </c>
      <c r="C31" s="34" t="s">
        <v>2299</v>
      </c>
      <c r="D31" s="45"/>
      <c r="E31" s="45"/>
      <c r="F31" s="155"/>
      <c r="G31" s="156" t="str">
        <f>_xlfn.IFNA(IF(VLOOKUP($F31,'3.框架内物料'!$A:$E,2,0)=0,"请勿填写",VLOOKUP($F31,'3.框架内物料'!$A:$E,2,0)),"")</f>
        <v/>
      </c>
      <c r="H31" s="157" t="str">
        <f>_xlfn.IFNA(VLOOKUP($F31,'3.框架内物料'!$A:$E,4,0),"")</f>
        <v/>
      </c>
      <c r="I31" s="156" t="str">
        <f>_xlfn.IFNA(VLOOKUP($F31,'3.框架内物料'!$A:$E,5,0),"")</f>
        <v/>
      </c>
      <c r="J31" s="161" t="str">
        <f>_xlfn.IFNA(VLOOKUP($F31,'3.框架内物料'!$A:$F,6,0),"")</f>
        <v/>
      </c>
      <c r="K31" s="161" t="str">
        <f>_xlfn.IFNA(VLOOKUP($F31,'3.框架内物料'!$A:$F,6,0),"")</f>
        <v/>
      </c>
      <c r="L31" s="54"/>
      <c r="M31" s="54"/>
      <c r="N31" s="56"/>
      <c r="O31" s="56"/>
      <c r="P31" s="164">
        <f t="shared" si="3"/>
        <v>0</v>
      </c>
      <c r="Q31" s="164">
        <f t="shared" si="4"/>
        <v>0</v>
      </c>
      <c r="R31" s="169">
        <f t="shared" si="5"/>
        <v>0</v>
      </c>
      <c r="S31" s="70">
        <v>0.06</v>
      </c>
      <c r="T31" s="172"/>
      <c r="U31" s="35">
        <v>40</v>
      </c>
      <c r="X31" s="173"/>
    </row>
    <row r="32" spans="1:24" s="19" customFormat="1">
      <c r="A32" s="154" t="s">
        <v>2294</v>
      </c>
      <c r="B32" s="34" t="s">
        <v>2300</v>
      </c>
      <c r="C32" s="34" t="s">
        <v>2301</v>
      </c>
      <c r="D32" s="34"/>
      <c r="E32" s="34"/>
      <c r="F32" s="155"/>
      <c r="G32" s="156" t="str">
        <f>_xlfn.IFNA(IF(VLOOKUP($F32,'3.框架内物料'!$A:$E,2,0)=0,"请勿填写",VLOOKUP($F32,'3.框架内物料'!$A:$E,2,0)),"")</f>
        <v/>
      </c>
      <c r="H32" s="157" t="str">
        <f>_xlfn.IFNA(VLOOKUP($F32,'3.框架内物料'!$A:$E,4,0),"")</f>
        <v/>
      </c>
      <c r="I32" s="156" t="str">
        <f>_xlfn.IFNA(VLOOKUP($F32,'3.框架内物料'!$A:$E,5,0),"")</f>
        <v/>
      </c>
      <c r="J32" s="161" t="str">
        <f>_xlfn.IFNA(VLOOKUP($F32,'3.框架内物料'!$A:$F,6,0),"")</f>
        <v/>
      </c>
      <c r="K32" s="161" t="str">
        <f>_xlfn.IFNA(VLOOKUP($F32,'3.框架内物料'!$A:$F,6,0),"")</f>
        <v/>
      </c>
      <c r="L32" s="54"/>
      <c r="M32" s="54"/>
      <c r="N32" s="56"/>
      <c r="O32" s="56"/>
      <c r="P32" s="164">
        <f t="shared" si="3"/>
        <v>0</v>
      </c>
      <c r="Q32" s="164">
        <f t="shared" si="4"/>
        <v>0</v>
      </c>
      <c r="R32" s="169">
        <f t="shared" si="5"/>
        <v>0</v>
      </c>
      <c r="S32" s="70">
        <v>0.06</v>
      </c>
      <c r="T32" s="172"/>
      <c r="U32" s="35">
        <v>41</v>
      </c>
    </row>
    <row r="33" spans="1:24" s="19" customFormat="1">
      <c r="A33" s="154" t="s">
        <v>2294</v>
      </c>
      <c r="B33" s="34" t="s">
        <v>2302</v>
      </c>
      <c r="C33" s="34" t="s">
        <v>2303</v>
      </c>
      <c r="D33" s="34"/>
      <c r="E33" s="34"/>
      <c r="F33" s="155"/>
      <c r="G33" s="156" t="str">
        <f>_xlfn.IFNA(IF(VLOOKUP($F33,'3.框架内物料'!$A:$E,2,0)=0,"请勿填写",VLOOKUP($F33,'3.框架内物料'!$A:$E,2,0)),"")</f>
        <v/>
      </c>
      <c r="H33" s="157" t="str">
        <f>_xlfn.IFNA(VLOOKUP($F33,'3.框架内物料'!$A:$E,4,0),"")</f>
        <v/>
      </c>
      <c r="I33" s="156" t="str">
        <f>_xlfn.IFNA(VLOOKUP($F33,'3.框架内物料'!$A:$E,5,0),"")</f>
        <v/>
      </c>
      <c r="J33" s="161" t="str">
        <f>_xlfn.IFNA(VLOOKUP($F33,'3.框架内物料'!$A:$F,6,0),"")</f>
        <v/>
      </c>
      <c r="K33" s="161" t="str">
        <f>_xlfn.IFNA(VLOOKUP($F33,'3.框架内物料'!$A:$F,6,0),"")</f>
        <v/>
      </c>
      <c r="L33" s="54"/>
      <c r="M33" s="54"/>
      <c r="N33" s="56"/>
      <c r="O33" s="56"/>
      <c r="P33" s="164">
        <f t="shared" si="3"/>
        <v>0</v>
      </c>
      <c r="Q33" s="164">
        <f t="shared" si="4"/>
        <v>0</v>
      </c>
      <c r="R33" s="169">
        <f t="shared" si="5"/>
        <v>0</v>
      </c>
      <c r="S33" s="70">
        <v>0.06</v>
      </c>
      <c r="T33" s="172"/>
      <c r="U33" s="35">
        <v>43</v>
      </c>
    </row>
    <row r="34" spans="1:24" s="19" customFormat="1">
      <c r="A34" s="154" t="s">
        <v>2294</v>
      </c>
      <c r="B34" s="34"/>
      <c r="C34" s="34"/>
      <c r="D34" s="45"/>
      <c r="E34" s="45"/>
      <c r="F34" s="155"/>
      <c r="G34" s="156" t="str">
        <f>_xlfn.IFNA(IF(VLOOKUP($F34,'3.框架内物料'!$A:$E,2,0)=0,"请勿填写",VLOOKUP($F34,'3.框架内物料'!$A:$E,2,0)),"")</f>
        <v/>
      </c>
      <c r="H34" s="157" t="str">
        <f>_xlfn.IFNA(VLOOKUP($F34,'3.框架内物料'!$A:$E,4,0),"")</f>
        <v/>
      </c>
      <c r="I34" s="156" t="str">
        <f>_xlfn.IFNA(VLOOKUP($F34,'3.框架内物料'!$A:$E,5,0),"")</f>
        <v/>
      </c>
      <c r="J34" s="161" t="str">
        <f>_xlfn.IFNA(VLOOKUP($F34,'3.框架内物料'!$A:$F,6,0),"")</f>
        <v/>
      </c>
      <c r="K34" s="161" t="str">
        <f>_xlfn.IFNA(VLOOKUP($F34,'3.框架内物料'!$A:$F,6,0),"")</f>
        <v/>
      </c>
      <c r="L34" s="54"/>
      <c r="M34" s="54"/>
      <c r="N34" s="56"/>
      <c r="O34" s="56"/>
      <c r="P34" s="164">
        <f t="shared" si="3"/>
        <v>0</v>
      </c>
      <c r="Q34" s="164">
        <f t="shared" si="4"/>
        <v>0</v>
      </c>
      <c r="R34" s="169">
        <f t="shared" si="5"/>
        <v>0</v>
      </c>
      <c r="S34" s="70">
        <v>0.06</v>
      </c>
      <c r="T34" s="172"/>
      <c r="U34" s="35">
        <v>44</v>
      </c>
      <c r="X34" s="173"/>
    </row>
    <row r="35" spans="1:24" s="19" customFormat="1">
      <c r="A35" s="154" t="s">
        <v>2294</v>
      </c>
      <c r="B35" s="34"/>
      <c r="C35" s="34"/>
      <c r="D35" s="45"/>
      <c r="E35" s="45"/>
      <c r="F35" s="155"/>
      <c r="G35" s="156" t="str">
        <f>_xlfn.IFNA(IF(VLOOKUP($F35,'3.框架内物料'!$A:$E,2,0)=0,"请勿填写",VLOOKUP($F35,'3.框架内物料'!$A:$E,2,0)),"")</f>
        <v/>
      </c>
      <c r="H35" s="157" t="str">
        <f>_xlfn.IFNA(VLOOKUP($F35,'3.框架内物料'!$A:$E,4,0),"")</f>
        <v/>
      </c>
      <c r="I35" s="156" t="str">
        <f>_xlfn.IFNA(VLOOKUP($F35,'3.框架内物料'!$A:$E,5,0),"")</f>
        <v/>
      </c>
      <c r="J35" s="161" t="str">
        <f>_xlfn.IFNA(VLOOKUP($F35,'3.框架内物料'!$A:$F,6,0),"")</f>
        <v/>
      </c>
      <c r="K35" s="161" t="str">
        <f>_xlfn.IFNA(VLOOKUP($F35,'3.框架内物料'!$A:$F,6,0),"")</f>
        <v/>
      </c>
      <c r="L35" s="54"/>
      <c r="M35" s="54"/>
      <c r="N35" s="56"/>
      <c r="O35" s="56"/>
      <c r="P35" s="164">
        <f t="shared" si="3"/>
        <v>0</v>
      </c>
      <c r="Q35" s="164">
        <f t="shared" si="4"/>
        <v>0</v>
      </c>
      <c r="R35" s="169">
        <f t="shared" si="5"/>
        <v>0</v>
      </c>
      <c r="S35" s="70">
        <v>0.06</v>
      </c>
      <c r="T35" s="172"/>
      <c r="U35" s="35">
        <v>46</v>
      </c>
      <c r="X35" s="173"/>
    </row>
    <row r="36" spans="1:24" s="19" customFormat="1" ht="16.899999999999999">
      <c r="A36" s="36"/>
      <c r="B36" s="37"/>
      <c r="C36" s="37"/>
      <c r="D36" s="37"/>
      <c r="E36" s="37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324" t="s">
        <v>2304</v>
      </c>
      <c r="Q36" s="325"/>
      <c r="R36" s="326"/>
      <c r="S36" s="78"/>
      <c r="T36" s="78"/>
      <c r="U36" s="78"/>
      <c r="X36" s="173"/>
    </row>
    <row r="37" spans="1:24" s="19" customFormat="1" ht="16.899999999999999">
      <c r="A37" s="38"/>
      <c r="B37" s="39"/>
      <c r="C37" s="39"/>
      <c r="D37" s="39"/>
      <c r="E37" s="39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65">
        <f>SUM(P29:P35)</f>
        <v>0</v>
      </c>
      <c r="Q37" s="165">
        <f>SUM(Q29:Q35)</f>
        <v>0</v>
      </c>
      <c r="R37" s="165">
        <f>Q37-P37</f>
        <v>0</v>
      </c>
      <c r="S37" s="38"/>
      <c r="T37" s="48"/>
      <c r="U37" s="79"/>
      <c r="X37" s="173"/>
    </row>
    <row r="38" spans="1:24" s="19" customFormat="1">
      <c r="A38" s="154" t="s">
        <v>2305</v>
      </c>
      <c r="B38" s="34" t="s">
        <v>2306</v>
      </c>
      <c r="C38" s="34"/>
      <c r="D38" s="34"/>
      <c r="E38" s="34"/>
      <c r="F38" s="155"/>
      <c r="G38" s="156" t="str">
        <f>_xlfn.IFNA(IF(VLOOKUP($F38,'3.框架内物料'!$A:$E,2,0)=0,"请勿填写",VLOOKUP($F38,'3.框架内物料'!$A:$E,2,0)),"")</f>
        <v/>
      </c>
      <c r="H38" s="157" t="str">
        <f>_xlfn.IFNA(VLOOKUP($F38,'3.框架内物料'!$A:$E,4,0),"")</f>
        <v/>
      </c>
      <c r="I38" s="156" t="str">
        <f>_xlfn.IFNA(VLOOKUP($F38,'3.框架内物料'!$A:$E,5,0),"")</f>
        <v/>
      </c>
      <c r="J38" s="161" t="str">
        <f>_xlfn.IFNA(VLOOKUP($F38,'3.框架内物料'!$A:$F,6,0),"")</f>
        <v/>
      </c>
      <c r="K38" s="161" t="str">
        <f>_xlfn.IFNA(VLOOKUP($F38,'3.框架内物料'!$A:$F,6,0),"")</f>
        <v/>
      </c>
      <c r="L38" s="54"/>
      <c r="M38" s="54"/>
      <c r="N38" s="56"/>
      <c r="O38" s="56"/>
      <c r="P38" s="164">
        <f t="shared" si="3"/>
        <v>0</v>
      </c>
      <c r="Q38" s="164">
        <f t="shared" si="4"/>
        <v>0</v>
      </c>
      <c r="R38" s="169">
        <f t="shared" si="5"/>
        <v>0</v>
      </c>
      <c r="S38" s="70">
        <v>0.06</v>
      </c>
      <c r="T38" s="172"/>
      <c r="U38" s="35">
        <v>49</v>
      </c>
    </row>
    <row r="39" spans="1:24" s="19" customFormat="1">
      <c r="A39" s="154" t="s">
        <v>2305</v>
      </c>
      <c r="B39" s="34" t="s">
        <v>2307</v>
      </c>
      <c r="C39" s="34"/>
      <c r="D39" s="34"/>
      <c r="E39" s="34"/>
      <c r="F39" s="155"/>
      <c r="G39" s="156" t="str">
        <f>_xlfn.IFNA(IF(VLOOKUP($F39,'3.框架内物料'!$A:$E,2,0)=0,"请勿填写",VLOOKUP($F39,'3.框架内物料'!$A:$E,2,0)),"")</f>
        <v/>
      </c>
      <c r="H39" s="157" t="str">
        <f>_xlfn.IFNA(VLOOKUP($F39,'3.框架内物料'!$A:$E,4,0),"")</f>
        <v/>
      </c>
      <c r="I39" s="156" t="str">
        <f>_xlfn.IFNA(VLOOKUP($F39,'3.框架内物料'!$A:$E,5,0),"")</f>
        <v/>
      </c>
      <c r="J39" s="161" t="str">
        <f>_xlfn.IFNA(VLOOKUP($F39,'3.框架内物料'!$A:$F,6,0),"")</f>
        <v/>
      </c>
      <c r="K39" s="161" t="str">
        <f>_xlfn.IFNA(VLOOKUP($F39,'3.框架内物料'!$A:$F,6,0),"")</f>
        <v/>
      </c>
      <c r="L39" s="54"/>
      <c r="M39" s="54"/>
      <c r="N39" s="56"/>
      <c r="O39" s="56"/>
      <c r="P39" s="164">
        <f t="shared" si="3"/>
        <v>0</v>
      </c>
      <c r="Q39" s="164">
        <f t="shared" si="4"/>
        <v>0</v>
      </c>
      <c r="R39" s="169">
        <f t="shared" si="5"/>
        <v>0</v>
      </c>
      <c r="S39" s="70">
        <v>0.06</v>
      </c>
      <c r="T39" s="172"/>
      <c r="U39" s="35">
        <v>50</v>
      </c>
      <c r="X39" s="173"/>
    </row>
    <row r="40" spans="1:24" s="18" customFormat="1">
      <c r="A40" s="154" t="s">
        <v>2305</v>
      </c>
      <c r="B40" s="35" t="s">
        <v>2308</v>
      </c>
      <c r="C40" s="34"/>
      <c r="D40" s="34"/>
      <c r="E40" s="34"/>
      <c r="F40" s="155"/>
      <c r="G40" s="156" t="str">
        <f>_xlfn.IFNA(IF(VLOOKUP($F40,'3.框架内物料'!$A:$E,2,0)=0,"请勿填写",VLOOKUP($F40,'3.框架内物料'!$A:$E,2,0)),"")</f>
        <v/>
      </c>
      <c r="H40" s="157" t="str">
        <f>_xlfn.IFNA(VLOOKUP($F40,'3.框架内物料'!$A:$E,4,0),"")</f>
        <v/>
      </c>
      <c r="I40" s="156" t="str">
        <f>_xlfn.IFNA(VLOOKUP($F40,'3.框架内物料'!$A:$E,5,0),"")</f>
        <v/>
      </c>
      <c r="J40" s="161" t="str">
        <f>_xlfn.IFNA(VLOOKUP($F40,'3.框架内物料'!$A:$F,6,0),"")</f>
        <v/>
      </c>
      <c r="K40" s="161" t="str">
        <f>_xlfn.IFNA(VLOOKUP($F40,'3.框架内物料'!$A:$F,6,0),"")</f>
        <v/>
      </c>
      <c r="L40" s="54"/>
      <c r="M40" s="54"/>
      <c r="N40" s="56"/>
      <c r="O40" s="56"/>
      <c r="P40" s="164">
        <f t="shared" si="3"/>
        <v>0</v>
      </c>
      <c r="Q40" s="164">
        <f t="shared" si="4"/>
        <v>0</v>
      </c>
      <c r="R40" s="169">
        <f t="shared" si="5"/>
        <v>0</v>
      </c>
      <c r="S40" s="70">
        <v>0.06</v>
      </c>
      <c r="T40" s="35"/>
      <c r="U40" s="35">
        <v>52</v>
      </c>
    </row>
    <row r="41" spans="1:24" s="18" customFormat="1">
      <c r="A41" s="154" t="s">
        <v>2305</v>
      </c>
      <c r="B41" s="34" t="s">
        <v>2309</v>
      </c>
      <c r="C41" s="34"/>
      <c r="D41" s="34"/>
      <c r="E41" s="34"/>
      <c r="F41" s="155"/>
      <c r="G41" s="156" t="str">
        <f>_xlfn.IFNA(IF(VLOOKUP($F41,'3.框架内物料'!$A:$E,2,0)=0,"请勿填写",VLOOKUP($F41,'3.框架内物料'!$A:$E,2,0)),"")</f>
        <v/>
      </c>
      <c r="H41" s="157" t="str">
        <f>_xlfn.IFNA(VLOOKUP($F41,'3.框架内物料'!$A:$E,4,0),"")</f>
        <v/>
      </c>
      <c r="I41" s="156" t="str">
        <f>_xlfn.IFNA(VLOOKUP($F41,'3.框架内物料'!$A:$E,5,0),"")</f>
        <v/>
      </c>
      <c r="J41" s="161" t="str">
        <f>_xlfn.IFNA(VLOOKUP($F41,'3.框架内物料'!$A:$F,6,0),"")</f>
        <v/>
      </c>
      <c r="K41" s="161" t="str">
        <f>_xlfn.IFNA(VLOOKUP($F41,'3.框架内物料'!$A:$F,6,0),"")</f>
        <v/>
      </c>
      <c r="L41" s="54"/>
      <c r="M41" s="54"/>
      <c r="N41" s="54"/>
      <c r="O41" s="54"/>
      <c r="P41" s="164">
        <f t="shared" si="3"/>
        <v>0</v>
      </c>
      <c r="Q41" s="164">
        <f t="shared" si="4"/>
        <v>0</v>
      </c>
      <c r="R41" s="169">
        <f t="shared" si="5"/>
        <v>0</v>
      </c>
      <c r="S41" s="70">
        <v>0.06</v>
      </c>
      <c r="T41" s="35"/>
      <c r="U41" s="35">
        <v>53</v>
      </c>
    </row>
    <row r="42" spans="1:24" s="18" customFormat="1">
      <c r="A42" s="154" t="s">
        <v>2305</v>
      </c>
      <c r="B42" s="34"/>
      <c r="C42" s="34"/>
      <c r="D42" s="34"/>
      <c r="E42" s="34"/>
      <c r="F42" s="155"/>
      <c r="G42" s="156" t="str">
        <f>_xlfn.IFNA(IF(VLOOKUP($F42,'3.框架内物料'!$A:$E,2,0)=0,"请勿填写",VLOOKUP($F42,'3.框架内物料'!$A:$E,2,0)),"")</f>
        <v/>
      </c>
      <c r="H42" s="157" t="str">
        <f>_xlfn.IFNA(VLOOKUP($F42,'3.框架内物料'!$A:$E,4,0),"")</f>
        <v/>
      </c>
      <c r="I42" s="156" t="str">
        <f>_xlfn.IFNA(VLOOKUP($F42,'3.框架内物料'!$A:$E,5,0),"")</f>
        <v/>
      </c>
      <c r="J42" s="161" t="str">
        <f>_xlfn.IFNA(VLOOKUP($F42,'3.框架内物料'!$A:$F,6,0),"")</f>
        <v/>
      </c>
      <c r="K42" s="161" t="str">
        <f>_xlfn.IFNA(VLOOKUP($F42,'3.框架内物料'!$A:$F,6,0),"")</f>
        <v/>
      </c>
      <c r="L42" s="54"/>
      <c r="M42" s="54"/>
      <c r="N42" s="56"/>
      <c r="O42" s="56"/>
      <c r="P42" s="164">
        <f t="shared" si="3"/>
        <v>0</v>
      </c>
      <c r="Q42" s="164">
        <f t="shared" si="4"/>
        <v>0</v>
      </c>
      <c r="R42" s="169">
        <f t="shared" si="5"/>
        <v>0</v>
      </c>
      <c r="S42" s="70">
        <v>0.06</v>
      </c>
      <c r="T42" s="35"/>
      <c r="U42" s="35">
        <v>55</v>
      </c>
    </row>
    <row r="43" spans="1:24" s="19" customFormat="1">
      <c r="A43" s="154" t="s">
        <v>2305</v>
      </c>
      <c r="B43" s="34"/>
      <c r="C43" s="34"/>
      <c r="D43" s="34"/>
      <c r="E43" s="34"/>
      <c r="F43" s="155"/>
      <c r="G43" s="156" t="str">
        <f>_xlfn.IFNA(IF(VLOOKUP($F43,'3.框架内物料'!$A:$E,2,0)=0,"请勿填写",VLOOKUP($F43,'3.框架内物料'!$A:$E,2,0)),"")</f>
        <v/>
      </c>
      <c r="H43" s="157" t="str">
        <f>_xlfn.IFNA(VLOOKUP($F43,'3.框架内物料'!$A:$E,4,0),"")</f>
        <v/>
      </c>
      <c r="I43" s="156" t="str">
        <f>_xlfn.IFNA(VLOOKUP($F43,'3.框架内物料'!$A:$E,5,0),"")</f>
        <v/>
      </c>
      <c r="J43" s="161" t="str">
        <f>_xlfn.IFNA(VLOOKUP($F43,'3.框架内物料'!$A:$F,6,0),"")</f>
        <v/>
      </c>
      <c r="K43" s="161" t="str">
        <f>_xlfn.IFNA(VLOOKUP($F43,'3.框架内物料'!$A:$F,6,0),"")</f>
        <v/>
      </c>
      <c r="L43" s="54"/>
      <c r="M43" s="54"/>
      <c r="N43" s="56"/>
      <c r="O43" s="56"/>
      <c r="P43" s="164">
        <f t="shared" si="3"/>
        <v>0</v>
      </c>
      <c r="Q43" s="164">
        <f t="shared" si="4"/>
        <v>0</v>
      </c>
      <c r="R43" s="169">
        <f t="shared" si="5"/>
        <v>0</v>
      </c>
      <c r="S43" s="70">
        <v>0.06</v>
      </c>
      <c r="T43" s="172"/>
      <c r="U43" s="35">
        <v>56</v>
      </c>
    </row>
    <row r="44" spans="1:24" s="19" customFormat="1">
      <c r="A44" s="154" t="s">
        <v>2305</v>
      </c>
      <c r="B44" s="34"/>
      <c r="C44" s="34"/>
      <c r="D44" s="34"/>
      <c r="E44" s="34"/>
      <c r="F44" s="155"/>
      <c r="G44" s="156" t="str">
        <f>_xlfn.IFNA(IF(VLOOKUP($F44,'3.框架内物料'!$A:$E,2,0)=0,"请勿填写",VLOOKUP($F44,'3.框架内物料'!$A:$E,2,0)),"")</f>
        <v/>
      </c>
      <c r="H44" s="157" t="str">
        <f>_xlfn.IFNA(VLOOKUP($F44,'3.框架内物料'!$A:$E,4,0),"")</f>
        <v/>
      </c>
      <c r="I44" s="156" t="str">
        <f>_xlfn.IFNA(VLOOKUP($F44,'3.框架内物料'!$A:$E,5,0),"")</f>
        <v/>
      </c>
      <c r="J44" s="161" t="str">
        <f>_xlfn.IFNA(VLOOKUP($F44,'3.框架内物料'!$A:$F,6,0),"")</f>
        <v/>
      </c>
      <c r="K44" s="161" t="str">
        <f>_xlfn.IFNA(VLOOKUP($F44,'3.框架内物料'!$A:$F,6,0),"")</f>
        <v/>
      </c>
      <c r="L44" s="54"/>
      <c r="M44" s="54"/>
      <c r="N44" s="56"/>
      <c r="O44" s="56"/>
      <c r="P44" s="164">
        <f t="shared" si="3"/>
        <v>0</v>
      </c>
      <c r="Q44" s="164">
        <f t="shared" si="4"/>
        <v>0</v>
      </c>
      <c r="R44" s="169">
        <f t="shared" si="5"/>
        <v>0</v>
      </c>
      <c r="S44" s="70">
        <v>0.06</v>
      </c>
      <c r="T44" s="172"/>
      <c r="U44" s="35">
        <v>58</v>
      </c>
    </row>
    <row r="45" spans="1:24" s="19" customFormat="1" ht="16.899999999999999">
      <c r="A45" s="36"/>
      <c r="B45" s="37"/>
      <c r="C45" s="37"/>
      <c r="D45" s="37"/>
      <c r="E45" s="37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324" t="s">
        <v>2310</v>
      </c>
      <c r="Q45" s="325"/>
      <c r="R45" s="326"/>
      <c r="S45" s="78"/>
      <c r="T45" s="78"/>
      <c r="U45" s="78"/>
    </row>
    <row r="46" spans="1:24" s="19" customFormat="1" ht="16.899999999999999">
      <c r="A46" s="38"/>
      <c r="B46" s="39"/>
      <c r="C46" s="39"/>
      <c r="D46" s="39"/>
      <c r="E46" s="3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5">
        <f>SUM(P38:P44)</f>
        <v>0</v>
      </c>
      <c r="Q46" s="165">
        <f>SUM(Q38:Q44)</f>
        <v>0</v>
      </c>
      <c r="R46" s="165">
        <f>Q46-P46</f>
        <v>0</v>
      </c>
      <c r="S46" s="38"/>
      <c r="T46" s="48"/>
      <c r="U46" s="79"/>
    </row>
    <row r="47" spans="1:24" s="18" customFormat="1">
      <c r="A47" s="154" t="s">
        <v>2305</v>
      </c>
      <c r="B47" s="35" t="s">
        <v>2308</v>
      </c>
      <c r="C47" s="34"/>
      <c r="D47" s="34"/>
      <c r="E47" s="34"/>
      <c r="F47" s="155"/>
      <c r="G47" s="156" t="str">
        <f>_xlfn.IFNA(IF(VLOOKUP($F47,'3.框架内物料'!$A:$E,2,0)=0,"请勿填写",VLOOKUP($F47,'3.框架内物料'!$A:$E,2,0)),"")</f>
        <v/>
      </c>
      <c r="H47" s="157" t="str">
        <f>_xlfn.IFNA(VLOOKUP($F47,'3.框架内物料'!$A:$E,4,0),"")</f>
        <v/>
      </c>
      <c r="I47" s="156" t="str">
        <f>_xlfn.IFNA(VLOOKUP($F47,'3.框架内物料'!$A:$E,5,0),"")</f>
        <v/>
      </c>
      <c r="J47" s="161" t="str">
        <f>_xlfn.IFNA(VLOOKUP($F47,'3.框架内物料'!$A:$F,6,0),"")</f>
        <v/>
      </c>
      <c r="K47" s="161" t="str">
        <f>_xlfn.IFNA(VLOOKUP($F47,'3.框架内物料'!$A:$F,6,0),"")</f>
        <v/>
      </c>
      <c r="L47" s="54"/>
      <c r="M47" s="54"/>
      <c r="N47" s="56"/>
      <c r="O47" s="56"/>
      <c r="P47" s="164">
        <f t="shared" ref="P47:P50" si="6">IFERROR(N47*L47*J47,0)</f>
        <v>0</v>
      </c>
      <c r="Q47" s="164">
        <f t="shared" ref="Q47:Q50" si="7">IFERROR(K47*M47*O47,0)</f>
        <v>0</v>
      </c>
      <c r="R47" s="169">
        <f t="shared" ref="R47:R50" si="8">Q47-P47</f>
        <v>0</v>
      </c>
      <c r="S47" s="70">
        <v>0.06</v>
      </c>
      <c r="T47" s="35"/>
      <c r="U47" s="35">
        <v>52</v>
      </c>
    </row>
    <row r="48" spans="1:24" s="18" customFormat="1">
      <c r="A48" s="154" t="s">
        <v>2305</v>
      </c>
      <c r="B48" s="34" t="s">
        <v>2309</v>
      </c>
      <c r="C48" s="34"/>
      <c r="D48" s="34"/>
      <c r="E48" s="34"/>
      <c r="F48" s="155"/>
      <c r="G48" s="156" t="str">
        <f>_xlfn.IFNA(IF(VLOOKUP($F48,'3.框架内物料'!$A:$E,2,0)=0,"请勿填写",VLOOKUP($F48,'3.框架内物料'!$A:$E,2,0)),"")</f>
        <v/>
      </c>
      <c r="H48" s="157" t="str">
        <f>_xlfn.IFNA(VLOOKUP($F48,'3.框架内物料'!$A:$E,4,0),"")</f>
        <v/>
      </c>
      <c r="I48" s="156" t="str">
        <f>_xlfn.IFNA(VLOOKUP($F48,'3.框架内物料'!$A:$E,5,0),"")</f>
        <v/>
      </c>
      <c r="J48" s="161" t="str">
        <f>_xlfn.IFNA(VLOOKUP($F48,'3.框架内物料'!$A:$F,6,0),"")</f>
        <v/>
      </c>
      <c r="K48" s="161" t="str">
        <f>_xlfn.IFNA(VLOOKUP($F48,'3.框架内物料'!$A:$F,6,0),"")</f>
        <v/>
      </c>
      <c r="L48" s="54"/>
      <c r="M48" s="54"/>
      <c r="N48" s="56"/>
      <c r="O48" s="56"/>
      <c r="P48" s="164">
        <f t="shared" si="6"/>
        <v>0</v>
      </c>
      <c r="Q48" s="164">
        <f t="shared" si="7"/>
        <v>0</v>
      </c>
      <c r="R48" s="169">
        <f t="shared" si="8"/>
        <v>0</v>
      </c>
      <c r="S48" s="70">
        <v>0.06</v>
      </c>
      <c r="T48" s="35"/>
      <c r="U48" s="35">
        <v>53</v>
      </c>
    </row>
    <row r="49" spans="1:24" s="18" customFormat="1">
      <c r="A49" s="154" t="s">
        <v>2305</v>
      </c>
      <c r="B49" s="34"/>
      <c r="C49" s="34"/>
      <c r="D49" s="34"/>
      <c r="E49" s="34"/>
      <c r="F49" s="155"/>
      <c r="G49" s="156" t="str">
        <f>_xlfn.IFNA(IF(VLOOKUP($F49,'3.框架内物料'!$A:$E,2,0)=0,"请勿填写",VLOOKUP($F49,'3.框架内物料'!$A:$E,2,0)),"")</f>
        <v/>
      </c>
      <c r="H49" s="157" t="str">
        <f>_xlfn.IFNA(VLOOKUP($F49,'3.框架内物料'!$A:$E,4,0),"")</f>
        <v/>
      </c>
      <c r="I49" s="156" t="str">
        <f>_xlfn.IFNA(VLOOKUP($F49,'3.框架内物料'!$A:$E,5,0),"")</f>
        <v/>
      </c>
      <c r="J49" s="161" t="str">
        <f>_xlfn.IFNA(VLOOKUP($F49,'3.框架内物料'!$A:$F,6,0),"")</f>
        <v/>
      </c>
      <c r="K49" s="161" t="str">
        <f>_xlfn.IFNA(VLOOKUP($F49,'3.框架内物料'!$A:$F,6,0),"")</f>
        <v/>
      </c>
      <c r="L49" s="54"/>
      <c r="M49" s="54"/>
      <c r="N49" s="54"/>
      <c r="O49" s="54"/>
      <c r="P49" s="164">
        <f t="shared" si="6"/>
        <v>0</v>
      </c>
      <c r="Q49" s="164">
        <f t="shared" si="7"/>
        <v>0</v>
      </c>
      <c r="R49" s="169">
        <f t="shared" si="8"/>
        <v>0</v>
      </c>
      <c r="S49" s="70">
        <v>0.06</v>
      </c>
      <c r="T49" s="35"/>
      <c r="U49" s="35">
        <v>55</v>
      </c>
    </row>
    <row r="50" spans="1:24" s="19" customFormat="1">
      <c r="A50" s="154" t="s">
        <v>2305</v>
      </c>
      <c r="B50" s="34"/>
      <c r="C50" s="34"/>
      <c r="D50" s="34"/>
      <c r="E50" s="34"/>
      <c r="F50" s="155"/>
      <c r="G50" s="156" t="str">
        <f>_xlfn.IFNA(IF(VLOOKUP($F50,'3.框架内物料'!$A:$E,2,0)=0,"请勿填写",VLOOKUP($F50,'3.框架内物料'!$A:$E,2,0)),"")</f>
        <v/>
      </c>
      <c r="H50" s="157" t="str">
        <f>_xlfn.IFNA(VLOOKUP($F50,'3.框架内物料'!$A:$E,4,0),"")</f>
        <v/>
      </c>
      <c r="I50" s="156" t="str">
        <f>_xlfn.IFNA(VLOOKUP($F50,'3.框架内物料'!$A:$E,5,0),"")</f>
        <v/>
      </c>
      <c r="J50" s="161" t="str">
        <f>_xlfn.IFNA(VLOOKUP($F50,'3.框架内物料'!$A:$F,6,0),"")</f>
        <v/>
      </c>
      <c r="K50" s="161" t="str">
        <f>_xlfn.IFNA(VLOOKUP($F50,'3.框架内物料'!$A:$F,6,0),"")</f>
        <v/>
      </c>
      <c r="L50" s="54"/>
      <c r="M50" s="54"/>
      <c r="N50" s="56"/>
      <c r="O50" s="56"/>
      <c r="P50" s="164">
        <f t="shared" si="6"/>
        <v>0</v>
      </c>
      <c r="Q50" s="164">
        <f t="shared" si="7"/>
        <v>0</v>
      </c>
      <c r="R50" s="169">
        <f t="shared" si="8"/>
        <v>0</v>
      </c>
      <c r="S50" s="70">
        <v>0.06</v>
      </c>
      <c r="T50" s="172"/>
      <c r="U50" s="35">
        <v>56</v>
      </c>
    </row>
    <row r="51" spans="1:24" s="19" customFormat="1" ht="16.899999999999999">
      <c r="A51" s="36"/>
      <c r="B51" s="37"/>
      <c r="C51" s="37"/>
      <c r="D51" s="37"/>
      <c r="E51" s="37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324" t="s">
        <v>2311</v>
      </c>
      <c r="Q51" s="325"/>
      <c r="R51" s="326"/>
      <c r="S51" s="78"/>
      <c r="T51" s="78"/>
      <c r="U51" s="78"/>
    </row>
    <row r="52" spans="1:24" s="19" customFormat="1" ht="16.899999999999999">
      <c r="A52" s="38"/>
      <c r="B52" s="39"/>
      <c r="C52" s="39"/>
      <c r="D52" s="39"/>
      <c r="E52" s="3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5">
        <f>SUM(P47:P50)</f>
        <v>0</v>
      </c>
      <c r="Q52" s="165">
        <f t="shared" ref="Q52:R52" si="9">SUM(Q47:Q50)</f>
        <v>0</v>
      </c>
      <c r="R52" s="165">
        <f t="shared" si="9"/>
        <v>0</v>
      </c>
      <c r="S52" s="38"/>
      <c r="T52" s="48"/>
      <c r="U52" s="79"/>
    </row>
    <row r="53" spans="1:24" s="18" customFormat="1">
      <c r="A53" s="154" t="s">
        <v>2312</v>
      </c>
      <c r="B53" s="34"/>
      <c r="C53" s="34"/>
      <c r="D53" s="45"/>
      <c r="E53" s="45"/>
      <c r="F53" s="155"/>
      <c r="G53" s="156" t="str">
        <f>_xlfn.IFNA(IF(VLOOKUP($F53,'3.框架内物料'!$A:$E,2,0)=0,"请勿填写",VLOOKUP($F53,'3.框架内物料'!$A:$E,2,0)),"")</f>
        <v/>
      </c>
      <c r="H53" s="157" t="str">
        <f>_xlfn.IFNA(VLOOKUP($F53,'3.框架内物料'!$A:$E,4,0),"")</f>
        <v/>
      </c>
      <c r="I53" s="156" t="str">
        <f>_xlfn.IFNA(VLOOKUP($F53,'3.框架内物料'!$A:$E,5,0),"")</f>
        <v/>
      </c>
      <c r="J53" s="161" t="str">
        <f>_xlfn.IFNA(VLOOKUP($F53,'3.框架内物料'!$A:$F,6,0),"")</f>
        <v/>
      </c>
      <c r="K53" s="161" t="str">
        <f>_xlfn.IFNA(VLOOKUP($F53,'3.框架内物料'!$A:$F,6,0),"")</f>
        <v/>
      </c>
      <c r="L53" s="54"/>
      <c r="M53" s="54"/>
      <c r="N53" s="56"/>
      <c r="O53" s="56"/>
      <c r="P53" s="164">
        <f t="shared" si="3"/>
        <v>0</v>
      </c>
      <c r="Q53" s="164">
        <f t="shared" si="4"/>
        <v>0</v>
      </c>
      <c r="R53" s="169">
        <f t="shared" si="5"/>
        <v>0</v>
      </c>
      <c r="S53" s="70">
        <v>0.06</v>
      </c>
      <c r="T53" s="35"/>
      <c r="U53" s="35">
        <v>73</v>
      </c>
    </row>
    <row r="54" spans="1:24" s="18" customFormat="1">
      <c r="A54" s="154" t="s">
        <v>2312</v>
      </c>
      <c r="B54" s="34"/>
      <c r="C54" s="34"/>
      <c r="D54" s="34"/>
      <c r="E54" s="34"/>
      <c r="F54" s="155"/>
      <c r="G54" s="156" t="str">
        <f>_xlfn.IFNA(IF(VLOOKUP($F54,'3.框架内物料'!$A:$E,2,0)=0,"请勿填写",VLOOKUP($F54,'3.框架内物料'!$A:$E,2,0)),"")</f>
        <v/>
      </c>
      <c r="H54" s="157" t="str">
        <f>_xlfn.IFNA(VLOOKUP($F54,'3.框架内物料'!$A:$E,4,0),"")</f>
        <v/>
      </c>
      <c r="I54" s="156" t="str">
        <f>_xlfn.IFNA(VLOOKUP($F54,'3.框架内物料'!$A:$E,5,0),"")</f>
        <v/>
      </c>
      <c r="J54" s="161" t="str">
        <f>_xlfn.IFNA(VLOOKUP($F54,'3.框架内物料'!$A:$F,6,0),"")</f>
        <v/>
      </c>
      <c r="K54" s="161" t="str">
        <f>_xlfn.IFNA(VLOOKUP($F54,'3.框架内物料'!$A:$F,6,0),"")</f>
        <v/>
      </c>
      <c r="L54" s="54"/>
      <c r="M54" s="54"/>
      <c r="N54" s="56"/>
      <c r="O54" s="56"/>
      <c r="P54" s="164">
        <f t="shared" si="3"/>
        <v>0</v>
      </c>
      <c r="Q54" s="164">
        <f t="shared" si="4"/>
        <v>0</v>
      </c>
      <c r="R54" s="169">
        <f t="shared" si="5"/>
        <v>0</v>
      </c>
      <c r="S54" s="70">
        <v>0.06</v>
      </c>
      <c r="T54" s="35"/>
      <c r="U54" s="35">
        <v>74</v>
      </c>
    </row>
    <row r="55" spans="1:24" s="19" customFormat="1">
      <c r="A55" s="154" t="s">
        <v>2312</v>
      </c>
      <c r="B55" s="34"/>
      <c r="C55" s="34"/>
      <c r="D55" s="34"/>
      <c r="E55" s="34"/>
      <c r="F55" s="155"/>
      <c r="G55" s="156" t="str">
        <f>_xlfn.IFNA(IF(VLOOKUP($F55,'3.框架内物料'!$A:$E,2,0)=0,"请勿填写",VLOOKUP($F55,'3.框架内物料'!$A:$E,2,0)),"")</f>
        <v/>
      </c>
      <c r="H55" s="157" t="str">
        <f>_xlfn.IFNA(VLOOKUP($F55,'3.框架内物料'!$A:$E,4,0),"")</f>
        <v/>
      </c>
      <c r="I55" s="156" t="str">
        <f>_xlfn.IFNA(VLOOKUP($F55,'3.框架内物料'!$A:$E,5,0),"")</f>
        <v/>
      </c>
      <c r="J55" s="161" t="str">
        <f>_xlfn.IFNA(VLOOKUP($F55,'3.框架内物料'!$A:$F,6,0),"")</f>
        <v/>
      </c>
      <c r="K55" s="161" t="str">
        <f>_xlfn.IFNA(VLOOKUP($F55,'3.框架内物料'!$A:$F,6,0),"")</f>
        <v/>
      </c>
      <c r="L55" s="54"/>
      <c r="M55" s="54"/>
      <c r="N55" s="54"/>
      <c r="O55" s="54"/>
      <c r="P55" s="164">
        <f t="shared" si="3"/>
        <v>0</v>
      </c>
      <c r="Q55" s="164">
        <f t="shared" si="4"/>
        <v>0</v>
      </c>
      <c r="R55" s="169">
        <f t="shared" si="5"/>
        <v>0</v>
      </c>
      <c r="S55" s="70">
        <v>0.06</v>
      </c>
      <c r="T55" s="172"/>
      <c r="U55" s="35">
        <v>76</v>
      </c>
    </row>
    <row r="56" spans="1:24" s="19" customFormat="1">
      <c r="A56" s="154" t="s">
        <v>2312</v>
      </c>
      <c r="B56" s="34"/>
      <c r="C56" s="34"/>
      <c r="D56" s="45"/>
      <c r="E56" s="45"/>
      <c r="F56" s="155"/>
      <c r="G56" s="156" t="str">
        <f>_xlfn.IFNA(IF(VLOOKUP($F56,'3.框架内物料'!$A:$E,2,0)=0,"请勿填写",VLOOKUP($F56,'3.框架内物料'!$A:$E,2,0)),"")</f>
        <v/>
      </c>
      <c r="H56" s="157" t="str">
        <f>_xlfn.IFNA(VLOOKUP($F56,'3.框架内物料'!$A:$E,4,0),"")</f>
        <v/>
      </c>
      <c r="I56" s="156" t="str">
        <f>_xlfn.IFNA(VLOOKUP($F56,'3.框架内物料'!$A:$E,5,0),"")</f>
        <v/>
      </c>
      <c r="J56" s="161" t="str">
        <f>_xlfn.IFNA(VLOOKUP($F56,'3.框架内物料'!$A:$F,6,0),"")</f>
        <v/>
      </c>
      <c r="K56" s="161" t="str">
        <f>_xlfn.IFNA(VLOOKUP($F56,'3.框架内物料'!$A:$F,6,0),"")</f>
        <v/>
      </c>
      <c r="L56" s="54"/>
      <c r="M56" s="54"/>
      <c r="N56" s="56"/>
      <c r="O56" s="56"/>
      <c r="P56" s="164">
        <f t="shared" si="3"/>
        <v>0</v>
      </c>
      <c r="Q56" s="164">
        <f t="shared" si="4"/>
        <v>0</v>
      </c>
      <c r="R56" s="169">
        <f t="shared" si="5"/>
        <v>0</v>
      </c>
      <c r="S56" s="70">
        <v>0.06</v>
      </c>
      <c r="T56" s="172"/>
      <c r="U56" s="35">
        <v>77</v>
      </c>
      <c r="X56" s="173"/>
    </row>
    <row r="57" spans="1:24" s="19" customFormat="1">
      <c r="A57" s="154" t="s">
        <v>2312</v>
      </c>
      <c r="B57" s="34"/>
      <c r="C57" s="34"/>
      <c r="D57" s="45"/>
      <c r="E57" s="45"/>
      <c r="F57" s="155"/>
      <c r="G57" s="156" t="str">
        <f>_xlfn.IFNA(IF(VLOOKUP($F57,'3.框架内物料'!$A:$E,2,0)=0,"请勿填写",VLOOKUP($F57,'3.框架内物料'!$A:$E,2,0)),"")</f>
        <v/>
      </c>
      <c r="H57" s="157" t="str">
        <f>_xlfn.IFNA(VLOOKUP($F57,'3.框架内物料'!$A:$E,4,0),"")</f>
        <v/>
      </c>
      <c r="I57" s="156" t="str">
        <f>_xlfn.IFNA(VLOOKUP($F57,'3.框架内物料'!$A:$E,5,0),"")</f>
        <v/>
      </c>
      <c r="J57" s="161" t="str">
        <f>_xlfn.IFNA(VLOOKUP($F57,'3.框架内物料'!$A:$F,6,0),"")</f>
        <v/>
      </c>
      <c r="K57" s="161" t="str">
        <f>_xlfn.IFNA(VLOOKUP($F57,'3.框架内物料'!$A:$F,6,0),"")</f>
        <v/>
      </c>
      <c r="L57" s="54"/>
      <c r="M57" s="54"/>
      <c r="N57" s="56"/>
      <c r="O57" s="56"/>
      <c r="P57" s="164">
        <f t="shared" si="3"/>
        <v>0</v>
      </c>
      <c r="Q57" s="164">
        <f t="shared" si="4"/>
        <v>0</v>
      </c>
      <c r="R57" s="169">
        <f t="shared" si="5"/>
        <v>0</v>
      </c>
      <c r="S57" s="70">
        <v>0.06</v>
      </c>
      <c r="T57" s="172"/>
      <c r="U57" s="35">
        <v>79</v>
      </c>
      <c r="X57" s="173"/>
    </row>
    <row r="58" spans="1:24" s="19" customFormat="1">
      <c r="A58" s="154" t="s">
        <v>2312</v>
      </c>
      <c r="B58" s="34"/>
      <c r="C58" s="34"/>
      <c r="D58" s="34"/>
      <c r="E58" s="34"/>
      <c r="F58" s="155"/>
      <c r="G58" s="156" t="str">
        <f>_xlfn.IFNA(IF(VLOOKUP($F58,'3.框架内物料'!$A:$E,2,0)=0,"请勿填写",VLOOKUP($F58,'3.框架内物料'!$A:$E,2,0)),"")</f>
        <v/>
      </c>
      <c r="H58" s="157" t="str">
        <f>_xlfn.IFNA(VLOOKUP($F58,'3.框架内物料'!$A:$E,4,0),"")</f>
        <v/>
      </c>
      <c r="I58" s="156" t="str">
        <f>_xlfn.IFNA(VLOOKUP($F58,'3.框架内物料'!$A:$E,5,0),"")</f>
        <v/>
      </c>
      <c r="J58" s="161" t="str">
        <f>_xlfn.IFNA(VLOOKUP($F58,'3.框架内物料'!$A:$F,6,0),"")</f>
        <v/>
      </c>
      <c r="K58" s="161" t="str">
        <f>_xlfn.IFNA(VLOOKUP($F58,'3.框架内物料'!$A:$F,6,0),"")</f>
        <v/>
      </c>
      <c r="L58" s="54"/>
      <c r="M58" s="54"/>
      <c r="N58" s="56"/>
      <c r="O58" s="56"/>
      <c r="P58" s="164">
        <f t="shared" si="3"/>
        <v>0</v>
      </c>
      <c r="Q58" s="164">
        <f t="shared" si="4"/>
        <v>0</v>
      </c>
      <c r="R58" s="169">
        <f t="shared" si="5"/>
        <v>0</v>
      </c>
      <c r="S58" s="70">
        <v>0.06</v>
      </c>
      <c r="T58" s="172"/>
      <c r="U58" s="35">
        <v>80</v>
      </c>
    </row>
    <row r="59" spans="1:24" s="19" customFormat="1">
      <c r="A59" s="154" t="s">
        <v>2312</v>
      </c>
      <c r="B59" s="34"/>
      <c r="C59" s="34"/>
      <c r="D59" s="34"/>
      <c r="E59" s="34"/>
      <c r="F59" s="155"/>
      <c r="G59" s="156" t="str">
        <f>_xlfn.IFNA(IF(VLOOKUP($F59,'3.框架内物料'!$A:$E,2,0)=0,"请勿填写",VLOOKUP($F59,'3.框架内物料'!$A:$E,2,0)),"")</f>
        <v/>
      </c>
      <c r="H59" s="157" t="str">
        <f>_xlfn.IFNA(VLOOKUP($F59,'3.框架内物料'!$A:$E,4,0),"")</f>
        <v/>
      </c>
      <c r="I59" s="156" t="str">
        <f>_xlfn.IFNA(VLOOKUP($F59,'3.框架内物料'!$A:$E,5,0),"")</f>
        <v/>
      </c>
      <c r="J59" s="161" t="str">
        <f>_xlfn.IFNA(VLOOKUP($F59,'3.框架内物料'!$A:$F,6,0),"")</f>
        <v/>
      </c>
      <c r="K59" s="161" t="str">
        <f>_xlfn.IFNA(VLOOKUP($F59,'3.框架内物料'!$A:$F,6,0),"")</f>
        <v/>
      </c>
      <c r="L59" s="54"/>
      <c r="M59" s="54"/>
      <c r="N59" s="56"/>
      <c r="O59" s="56"/>
      <c r="P59" s="164">
        <f t="shared" si="3"/>
        <v>0</v>
      </c>
      <c r="Q59" s="164">
        <f t="shared" si="4"/>
        <v>0</v>
      </c>
      <c r="R59" s="169">
        <f t="shared" si="5"/>
        <v>0</v>
      </c>
      <c r="S59" s="70">
        <v>0.06</v>
      </c>
      <c r="T59" s="172"/>
      <c r="U59" s="35">
        <v>82</v>
      </c>
    </row>
    <row r="60" spans="1:24" s="19" customFormat="1" ht="16.899999999999999">
      <c r="A60" s="36"/>
      <c r="B60" s="37"/>
      <c r="C60" s="37"/>
      <c r="D60" s="37"/>
      <c r="E60" s="37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324" t="s">
        <v>2313</v>
      </c>
      <c r="Q60" s="325"/>
      <c r="R60" s="326"/>
      <c r="S60" s="78"/>
      <c r="T60" s="78"/>
      <c r="U60" s="78"/>
    </row>
    <row r="61" spans="1:24" s="19" customFormat="1" ht="16.149999999999999">
      <c r="A61" s="38"/>
      <c r="B61" s="39"/>
      <c r="C61" s="39"/>
      <c r="D61" s="39"/>
      <c r="E61" s="39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166">
        <f>SUM(P53:P59)</f>
        <v>0</v>
      </c>
      <c r="Q61" s="166">
        <f>SUM(Q53:Q59)</f>
        <v>0</v>
      </c>
      <c r="R61" s="166">
        <f>Q61-P61</f>
        <v>0</v>
      </c>
      <c r="S61" s="38"/>
      <c r="T61" s="48"/>
      <c r="U61" s="79"/>
    </row>
    <row r="62" spans="1:24" s="19" customFormat="1">
      <c r="A62" s="154" t="s">
        <v>2314</v>
      </c>
      <c r="B62" s="34"/>
      <c r="C62" s="34"/>
      <c r="D62" s="45"/>
      <c r="E62" s="45"/>
      <c r="F62" s="155"/>
      <c r="G62" s="156" t="str">
        <f>_xlfn.IFNA(IF(VLOOKUP($F62,'3.框架内物料'!$A:$E,2,0)=0,"请勿填写",VLOOKUP($F62,'3.框架内物料'!$A:$E,2,0)),"")</f>
        <v/>
      </c>
      <c r="H62" s="157" t="str">
        <f>_xlfn.IFNA(VLOOKUP($F62,'3.框架内物料'!$A:$E,4,0),"")</f>
        <v/>
      </c>
      <c r="I62" s="156" t="str">
        <f>_xlfn.IFNA(VLOOKUP($F62,'3.框架内物料'!$A:$E,5,0),"")</f>
        <v/>
      </c>
      <c r="J62" s="161" t="str">
        <f>_xlfn.IFNA(VLOOKUP($F62,'3.框架内物料'!$A:$F,6,0),"")</f>
        <v/>
      </c>
      <c r="K62" s="161" t="str">
        <f>_xlfn.IFNA(VLOOKUP($F62,'3.框架内物料'!$A:$F,6,0),"")</f>
        <v/>
      </c>
      <c r="L62" s="54"/>
      <c r="M62" s="54"/>
      <c r="N62" s="56"/>
      <c r="O62" s="56"/>
      <c r="P62" s="164">
        <f t="shared" si="3"/>
        <v>0</v>
      </c>
      <c r="Q62" s="164">
        <f t="shared" si="4"/>
        <v>0</v>
      </c>
      <c r="R62" s="169">
        <f t="shared" si="5"/>
        <v>0</v>
      </c>
      <c r="S62" s="70">
        <v>0.06</v>
      </c>
      <c r="T62" s="172"/>
      <c r="U62" s="35">
        <v>85</v>
      </c>
      <c r="X62" s="173"/>
    </row>
    <row r="63" spans="1:24" s="19" customFormat="1">
      <c r="A63" s="154" t="s">
        <v>2314</v>
      </c>
      <c r="B63" s="34"/>
      <c r="C63" s="34"/>
      <c r="D63" s="34"/>
      <c r="E63" s="34"/>
      <c r="F63" s="155"/>
      <c r="G63" s="156" t="str">
        <f>_xlfn.IFNA(IF(VLOOKUP($F63,'3.框架内物料'!$A:$E,2,0)=0,"请勿填写",VLOOKUP($F63,'3.框架内物料'!$A:$E,2,0)),"")</f>
        <v/>
      </c>
      <c r="H63" s="157" t="str">
        <f>_xlfn.IFNA(VLOOKUP($F63,'3.框架内物料'!$A:$E,4,0),"")</f>
        <v/>
      </c>
      <c r="I63" s="156" t="str">
        <f>_xlfn.IFNA(VLOOKUP($F63,'3.框架内物料'!$A:$E,5,0),"")</f>
        <v/>
      </c>
      <c r="J63" s="161" t="str">
        <f>_xlfn.IFNA(VLOOKUP($F63,'3.框架内物料'!$A:$F,6,0),"")</f>
        <v/>
      </c>
      <c r="K63" s="161" t="str">
        <f>_xlfn.IFNA(VLOOKUP($F63,'3.框架内物料'!$A:$F,6,0),"")</f>
        <v/>
      </c>
      <c r="L63" s="54"/>
      <c r="M63" s="54"/>
      <c r="N63" s="56"/>
      <c r="O63" s="56"/>
      <c r="P63" s="164">
        <f t="shared" si="3"/>
        <v>0</v>
      </c>
      <c r="Q63" s="164">
        <f t="shared" si="4"/>
        <v>0</v>
      </c>
      <c r="R63" s="169">
        <f t="shared" si="5"/>
        <v>0</v>
      </c>
      <c r="S63" s="70">
        <v>0.06</v>
      </c>
      <c r="T63" s="172"/>
      <c r="U63" s="35">
        <v>86</v>
      </c>
    </row>
    <row r="64" spans="1:24" s="19" customFormat="1">
      <c r="A64" s="154" t="s">
        <v>2314</v>
      </c>
      <c r="B64" s="34"/>
      <c r="C64" s="34"/>
      <c r="D64" s="34"/>
      <c r="E64" s="34"/>
      <c r="F64" s="155"/>
      <c r="G64" s="156" t="str">
        <f>_xlfn.IFNA(IF(VLOOKUP($F64,'3.框架内物料'!$A:$E,2,0)=0,"请勿填写",VLOOKUP($F64,'3.框架内物料'!$A:$E,2,0)),"")</f>
        <v/>
      </c>
      <c r="H64" s="157" t="str">
        <f>_xlfn.IFNA(VLOOKUP($F64,'3.框架内物料'!$A:$E,4,0),"")</f>
        <v/>
      </c>
      <c r="I64" s="156" t="str">
        <f>_xlfn.IFNA(VLOOKUP($F64,'3.框架内物料'!$A:$E,5,0),"")</f>
        <v/>
      </c>
      <c r="J64" s="161" t="str">
        <f>_xlfn.IFNA(VLOOKUP($F64,'3.框架内物料'!$A:$F,6,0),"")</f>
        <v/>
      </c>
      <c r="K64" s="161" t="str">
        <f>_xlfn.IFNA(VLOOKUP($F64,'3.框架内物料'!$A:$F,6,0),"")</f>
        <v/>
      </c>
      <c r="L64" s="54"/>
      <c r="M64" s="54"/>
      <c r="N64" s="54"/>
      <c r="O64" s="54"/>
      <c r="P64" s="164">
        <f t="shared" si="3"/>
        <v>0</v>
      </c>
      <c r="Q64" s="164">
        <f t="shared" si="4"/>
        <v>0</v>
      </c>
      <c r="R64" s="169">
        <f t="shared" si="5"/>
        <v>0</v>
      </c>
      <c r="S64" s="70">
        <v>0.06</v>
      </c>
      <c r="T64" s="172"/>
      <c r="U64" s="35">
        <v>88</v>
      </c>
    </row>
    <row r="65" spans="1:24" s="19" customFormat="1">
      <c r="A65" s="154" t="s">
        <v>2314</v>
      </c>
      <c r="B65" s="34"/>
      <c r="C65" s="34"/>
      <c r="D65" s="45"/>
      <c r="E65" s="45"/>
      <c r="F65" s="155"/>
      <c r="G65" s="156" t="str">
        <f>_xlfn.IFNA(IF(VLOOKUP($F65,'3.框架内物料'!$A:$E,2,0)=0,"请勿填写",VLOOKUP($F65,'3.框架内物料'!$A:$E,2,0)),"")</f>
        <v/>
      </c>
      <c r="H65" s="157" t="str">
        <f>_xlfn.IFNA(VLOOKUP($F65,'3.框架内物料'!$A:$E,4,0),"")</f>
        <v/>
      </c>
      <c r="I65" s="156" t="str">
        <f>_xlfn.IFNA(VLOOKUP($F65,'3.框架内物料'!$A:$E,5,0),"")</f>
        <v/>
      </c>
      <c r="J65" s="161" t="str">
        <f>_xlfn.IFNA(VLOOKUP($F65,'3.框架内物料'!$A:$F,6,0),"")</f>
        <v/>
      </c>
      <c r="K65" s="161" t="str">
        <f>_xlfn.IFNA(VLOOKUP($F65,'3.框架内物料'!$A:$F,6,0),"")</f>
        <v/>
      </c>
      <c r="L65" s="54"/>
      <c r="M65" s="54"/>
      <c r="N65" s="56"/>
      <c r="O65" s="56"/>
      <c r="P65" s="164">
        <f t="shared" si="3"/>
        <v>0</v>
      </c>
      <c r="Q65" s="164">
        <f t="shared" si="4"/>
        <v>0</v>
      </c>
      <c r="R65" s="169">
        <f t="shared" si="5"/>
        <v>0</v>
      </c>
      <c r="S65" s="70">
        <v>0.06</v>
      </c>
      <c r="T65" s="172"/>
      <c r="U65" s="35">
        <v>89</v>
      </c>
      <c r="X65" s="173"/>
    </row>
    <row r="66" spans="1:24" s="18" customFormat="1">
      <c r="A66" s="154" t="s">
        <v>2314</v>
      </c>
      <c r="B66" s="34"/>
      <c r="C66" s="34"/>
      <c r="D66" s="45"/>
      <c r="E66" s="45"/>
      <c r="F66" s="155"/>
      <c r="G66" s="156" t="str">
        <f>_xlfn.IFNA(IF(VLOOKUP($F66,'3.框架内物料'!$A:$E,2,0)=0,"请勿填写",VLOOKUP($F66,'3.框架内物料'!$A:$E,2,0)),"")</f>
        <v/>
      </c>
      <c r="H66" s="157" t="str">
        <f>_xlfn.IFNA(VLOOKUP($F66,'3.框架内物料'!$A:$E,4,0),"")</f>
        <v/>
      </c>
      <c r="I66" s="156" t="str">
        <f>_xlfn.IFNA(VLOOKUP($F66,'3.框架内物料'!$A:$E,5,0),"")</f>
        <v/>
      </c>
      <c r="J66" s="161" t="str">
        <f>_xlfn.IFNA(VLOOKUP($F66,'3.框架内物料'!$A:$F,6,0),"")</f>
        <v/>
      </c>
      <c r="K66" s="161" t="str">
        <f>_xlfn.IFNA(VLOOKUP($F66,'3.框架内物料'!$A:$F,6,0),"")</f>
        <v/>
      </c>
      <c r="L66" s="54"/>
      <c r="M66" s="54"/>
      <c r="N66" s="56"/>
      <c r="O66" s="56"/>
      <c r="P66" s="164">
        <f t="shared" si="3"/>
        <v>0</v>
      </c>
      <c r="Q66" s="164">
        <f t="shared" si="4"/>
        <v>0</v>
      </c>
      <c r="R66" s="169">
        <f t="shared" si="5"/>
        <v>0</v>
      </c>
      <c r="S66" s="70">
        <v>0.06</v>
      </c>
      <c r="T66" s="35"/>
      <c r="U66" s="35">
        <v>91</v>
      </c>
    </row>
    <row r="67" spans="1:24" s="18" customFormat="1">
      <c r="A67" s="154" t="s">
        <v>2314</v>
      </c>
      <c r="B67" s="34"/>
      <c r="C67" s="34"/>
      <c r="D67" s="34"/>
      <c r="E67" s="34"/>
      <c r="F67" s="155"/>
      <c r="G67" s="156" t="str">
        <f>_xlfn.IFNA(IF(VLOOKUP($F67,'3.框架内物料'!$A:$E,2,0)=0,"请勿填写",VLOOKUP($F67,'3.框架内物料'!$A:$E,2,0)),"")</f>
        <v/>
      </c>
      <c r="H67" s="157" t="str">
        <f>_xlfn.IFNA(VLOOKUP($F67,'3.框架内物料'!$A:$E,4,0),"")</f>
        <v/>
      </c>
      <c r="I67" s="156" t="str">
        <f>_xlfn.IFNA(VLOOKUP($F67,'3.框架内物料'!$A:$E,5,0),"")</f>
        <v/>
      </c>
      <c r="J67" s="161" t="str">
        <f>_xlfn.IFNA(VLOOKUP($F67,'3.框架内物料'!$A:$F,6,0),"")</f>
        <v/>
      </c>
      <c r="K67" s="161" t="str">
        <f>_xlfn.IFNA(VLOOKUP($F67,'3.框架内物料'!$A:$F,6,0),"")</f>
        <v/>
      </c>
      <c r="L67" s="54"/>
      <c r="M67" s="54"/>
      <c r="N67" s="56"/>
      <c r="O67" s="56"/>
      <c r="P67" s="164">
        <f t="shared" si="3"/>
        <v>0</v>
      </c>
      <c r="Q67" s="164">
        <f t="shared" si="4"/>
        <v>0</v>
      </c>
      <c r="R67" s="169">
        <f t="shared" si="5"/>
        <v>0</v>
      </c>
      <c r="S67" s="70">
        <v>0.06</v>
      </c>
      <c r="T67" s="35"/>
      <c r="U67" s="35">
        <v>92</v>
      </c>
    </row>
    <row r="68" spans="1:24" s="19" customFormat="1">
      <c r="A68" s="154" t="s">
        <v>2314</v>
      </c>
      <c r="B68" s="34"/>
      <c r="C68" s="34"/>
      <c r="D68" s="34"/>
      <c r="E68" s="34"/>
      <c r="F68" s="155"/>
      <c r="G68" s="156" t="str">
        <f>_xlfn.IFNA(IF(VLOOKUP($F68,'3.框架内物料'!$A:$E,2,0)=0,"请勿填写",VLOOKUP($F68,'3.框架内物料'!$A:$E,2,0)),"")</f>
        <v/>
      </c>
      <c r="H68" s="157" t="str">
        <f>_xlfn.IFNA(VLOOKUP($F68,'3.框架内物料'!$A:$E,4,0),"")</f>
        <v/>
      </c>
      <c r="I68" s="156" t="str">
        <f>_xlfn.IFNA(VLOOKUP($F68,'3.框架内物料'!$A:$E,5,0),"")</f>
        <v/>
      </c>
      <c r="J68" s="161" t="str">
        <f>_xlfn.IFNA(VLOOKUP($F68,'3.框架内物料'!$A:$F,6,0),"")</f>
        <v/>
      </c>
      <c r="K68" s="161" t="str">
        <f>_xlfn.IFNA(VLOOKUP($F68,'3.框架内物料'!$A:$F,6,0),"")</f>
        <v/>
      </c>
      <c r="L68" s="54"/>
      <c r="M68" s="54"/>
      <c r="N68" s="56"/>
      <c r="O68" s="56"/>
      <c r="P68" s="164">
        <f t="shared" si="3"/>
        <v>0</v>
      </c>
      <c r="Q68" s="164">
        <f t="shared" si="4"/>
        <v>0</v>
      </c>
      <c r="R68" s="169">
        <f t="shared" si="5"/>
        <v>0</v>
      </c>
      <c r="S68" s="70">
        <v>0.06</v>
      </c>
      <c r="T68" s="172"/>
      <c r="U68" s="35">
        <v>94</v>
      </c>
    </row>
    <row r="69" spans="1:24" s="19" customFormat="1" ht="16.899999999999999">
      <c r="A69" s="36"/>
      <c r="B69" s="37"/>
      <c r="C69" s="37"/>
      <c r="D69" s="37"/>
      <c r="E69" s="37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324" t="s">
        <v>2315</v>
      </c>
      <c r="Q69" s="325"/>
      <c r="R69" s="326"/>
      <c r="S69" s="78"/>
      <c r="T69" s="78"/>
      <c r="U69" s="78"/>
    </row>
    <row r="70" spans="1:24" s="19" customFormat="1" ht="16.899999999999999">
      <c r="A70" s="38"/>
      <c r="B70" s="39"/>
      <c r="C70" s="39"/>
      <c r="D70" s="39"/>
      <c r="E70" s="39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165">
        <f>SUM(P62:P68)</f>
        <v>0</v>
      </c>
      <c r="Q70" s="165">
        <f>SUM(Q62:Q68)</f>
        <v>0</v>
      </c>
      <c r="R70" s="165">
        <f>Q70-P70</f>
        <v>0</v>
      </c>
      <c r="S70" s="38"/>
      <c r="T70" s="48"/>
      <c r="U70" s="79"/>
    </row>
    <row r="71" spans="1:24" s="19" customFormat="1">
      <c r="A71" s="154" t="s">
        <v>2316</v>
      </c>
      <c r="B71" s="34"/>
      <c r="C71" s="34"/>
      <c r="D71" s="34" t="s">
        <v>2317</v>
      </c>
      <c r="E71" s="34"/>
      <c r="F71" s="155" t="s">
        <v>2318</v>
      </c>
      <c r="G71" s="156" t="str">
        <f>_xlfn.IFNA(IF(VLOOKUP($F71,'3.框架内物料'!$A:$E,2,0)=0,"请勿填写",VLOOKUP($F71,'3.框架内物料'!$A:$E,2,0)),"")</f>
        <v/>
      </c>
      <c r="H71" s="157" t="str">
        <f>_xlfn.IFNA(VLOOKUP($F71,'3.框架内物料'!$A:$E,4,0),"")</f>
        <v/>
      </c>
      <c r="I71" s="156" t="str">
        <f>_xlfn.IFNA(VLOOKUP($F71,'3.框架内物料'!$A:$E,5,0),"")</f>
        <v/>
      </c>
      <c r="J71" s="161"/>
      <c r="K71" s="161"/>
      <c r="L71" s="54">
        <v>1</v>
      </c>
      <c r="M71" s="54">
        <v>1</v>
      </c>
      <c r="N71" s="54">
        <v>1</v>
      </c>
      <c r="O71" s="54">
        <v>1</v>
      </c>
      <c r="P71" s="164">
        <f t="shared" ref="P71:P72" si="10">IFERROR(N71*L71*J71,0)</f>
        <v>0</v>
      </c>
      <c r="Q71" s="164">
        <f t="shared" ref="Q71:Q72" si="11">IFERROR(K71*M71*O71,0)</f>
        <v>0</v>
      </c>
      <c r="R71" s="169">
        <f t="shared" ref="R71:R72" si="12">Q71-P71</f>
        <v>0</v>
      </c>
      <c r="S71" s="70">
        <v>0.06</v>
      </c>
      <c r="T71" s="172"/>
      <c r="U71" s="35">
        <v>517</v>
      </c>
    </row>
    <row r="72" spans="1:24" s="19" customFormat="1">
      <c r="A72" s="174" t="s">
        <v>2316</v>
      </c>
      <c r="B72" s="175"/>
      <c r="C72" s="175"/>
      <c r="D72" s="175" t="s">
        <v>2319</v>
      </c>
      <c r="E72" s="175"/>
      <c r="F72" s="177" t="s">
        <v>2318</v>
      </c>
      <c r="G72" s="178" t="str">
        <f>_xlfn.IFNA(IF(VLOOKUP($F72,'3.框架内物料'!$A:$E,2,0)=0,"请勿填写",VLOOKUP($F72,'3.框架内物料'!$A:$E,2,0)),"")</f>
        <v/>
      </c>
      <c r="H72" s="179" t="str">
        <f>_xlfn.IFNA(VLOOKUP($F72,'3.框架内物料'!$A:$E,4,0),"")</f>
        <v/>
      </c>
      <c r="I72" s="178" t="str">
        <f>_xlfn.IFNA(VLOOKUP($F72,'3.框架内物料'!$A:$E,5,0),"")</f>
        <v/>
      </c>
      <c r="J72" s="161"/>
      <c r="K72" s="161"/>
      <c r="L72" s="54">
        <v>1</v>
      </c>
      <c r="M72" s="54">
        <v>1</v>
      </c>
      <c r="N72" s="54">
        <v>1</v>
      </c>
      <c r="O72" s="54">
        <v>1</v>
      </c>
      <c r="P72" s="189">
        <f t="shared" si="10"/>
        <v>0</v>
      </c>
      <c r="Q72" s="189">
        <f t="shared" si="11"/>
        <v>0</v>
      </c>
      <c r="R72" s="193">
        <f t="shared" si="12"/>
        <v>0</v>
      </c>
      <c r="S72" s="70">
        <v>0.06</v>
      </c>
      <c r="T72" s="172"/>
      <c r="U72" s="35">
        <v>518</v>
      </c>
    </row>
    <row r="73" spans="1:24" s="19" customFormat="1" ht="16.899999999999999">
      <c r="A73" s="36"/>
      <c r="B73" s="37"/>
      <c r="C73" s="37"/>
      <c r="D73" s="37"/>
      <c r="E73" s="37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324" t="s">
        <v>2320</v>
      </c>
      <c r="Q73" s="325"/>
      <c r="R73" s="326"/>
      <c r="S73" s="78"/>
      <c r="T73" s="78"/>
      <c r="U73" s="78"/>
    </row>
    <row r="74" spans="1:24" s="19" customFormat="1" ht="16.899999999999999">
      <c r="A74" s="38"/>
      <c r="B74" s="39"/>
      <c r="C74" s="39"/>
      <c r="D74" s="39"/>
      <c r="E74" s="39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165">
        <f>SUM(P71:P72)</f>
        <v>0</v>
      </c>
      <c r="Q74" s="165">
        <f>SUM(Q71:Q72)</f>
        <v>0</v>
      </c>
      <c r="R74" s="165">
        <f>Q74-P74</f>
        <v>0</v>
      </c>
      <c r="S74" s="38"/>
      <c r="T74" s="48"/>
      <c r="U74" s="79"/>
    </row>
    <row r="75" spans="1:24" s="19" customFormat="1" ht="16.899999999999999">
      <c r="A75" s="80"/>
      <c r="B75" s="81"/>
      <c r="C75" s="81"/>
      <c r="D75" s="81"/>
      <c r="E75" s="81"/>
      <c r="F75" s="88"/>
      <c r="G75" s="81"/>
      <c r="H75" s="89"/>
      <c r="I75" s="81"/>
      <c r="J75" s="182"/>
      <c r="K75" s="183"/>
      <c r="L75" s="102"/>
      <c r="M75" s="102"/>
      <c r="N75" s="102"/>
      <c r="O75" s="102"/>
      <c r="P75" s="327" t="s">
        <v>2321</v>
      </c>
      <c r="Q75" s="327"/>
      <c r="R75" s="328"/>
      <c r="S75" s="117"/>
      <c r="T75" s="117"/>
      <c r="U75" s="117"/>
    </row>
    <row r="76" spans="1:24" ht="16.899999999999999">
      <c r="A76" s="82"/>
      <c r="B76" s="83"/>
      <c r="C76" s="83"/>
      <c r="D76" s="83"/>
      <c r="E76" s="83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190">
        <f>P74+P70+P61+P52+P46+P37+P28+P19+P10</f>
        <v>0</v>
      </c>
      <c r="Q76" s="190">
        <f>Q74+Q70+Q61+Q52+Q46+Q37+Q28+Q19+Q10</f>
        <v>0</v>
      </c>
      <c r="R76" s="190">
        <f>SUM(R2:R72)</f>
        <v>0</v>
      </c>
      <c r="S76" s="194"/>
      <c r="T76" s="195"/>
      <c r="U76" s="119"/>
    </row>
    <row r="77" spans="1:24" s="19" customFormat="1">
      <c r="A77" s="154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55" t="s">
        <v>2322</v>
      </c>
      <c r="G77" s="156" t="str">
        <f>_xlfn.IFNA(IF(VLOOKUP($F77,'3.框架内物料'!$A:$E,2,0)=0,"请勿填写",VLOOKUP($F77,'3.框架内物料'!$A:$E,2,0)),"")</f>
        <v/>
      </c>
      <c r="H77" s="157" t="str">
        <f>_xlfn.IFNA(VLOOKUP($F77,'3.框架内物料'!$A:$E,4,0),"")</f>
        <v/>
      </c>
      <c r="I77" s="156" t="str">
        <f>_xlfn.IFNA(VLOOKUP($F77,'3.框架内物料'!$A:$E,5,0),"")</f>
        <v/>
      </c>
      <c r="J77" s="184" t="str">
        <f>_xlfn.IFNA(VLOOKUP($F77,'3.框架内物料'!$A:$F,6,0),"")</f>
        <v/>
      </c>
      <c r="K77" s="184" t="str">
        <f>_xlfn.IFNA(VLOOKUP($F77,'3.框架内物料'!$A:$F,6,0),"")</f>
        <v/>
      </c>
      <c r="L77" s="185">
        <f>P76-P72</f>
        <v>0</v>
      </c>
      <c r="M77" s="185">
        <f>Q76-Q72</f>
        <v>0</v>
      </c>
      <c r="N77" s="185">
        <v>1</v>
      </c>
      <c r="O77" s="185">
        <v>1</v>
      </c>
      <c r="P77" s="164">
        <f t="shared" ref="P77:P78" si="13">IFERROR(N77*L77*J77,0)</f>
        <v>0</v>
      </c>
      <c r="Q77" s="164">
        <f t="shared" ref="Q77:Q78" si="14">IFERROR(K77*M77*O77,0)</f>
        <v>0</v>
      </c>
      <c r="R77" s="169">
        <f t="shared" ref="R77:R78" si="15">Q77-P77</f>
        <v>0</v>
      </c>
      <c r="S77" s="170">
        <v>0.06</v>
      </c>
      <c r="T77" s="196"/>
      <c r="U77" s="196"/>
    </row>
    <row r="78" spans="1:24" s="19" customFormat="1">
      <c r="A78" s="154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55" t="s">
        <v>2323</v>
      </c>
      <c r="G78" s="156" t="str">
        <f>_xlfn.IFNA(IF(VLOOKUP($F78,'3.框架内物料'!$A:$E,2,0)=0,"请勿填写",VLOOKUP($F78,'3.框架内物料'!$A:$E,2,0)),"")</f>
        <v>M947580474289864706</v>
      </c>
      <c r="H78" s="157" t="str">
        <f>_xlfn.IFNA(VLOOKUP($F78,'3.框架内物料'!$A:$E,4,0),"")</f>
        <v>服务费税费-项目税费-无票垫付费-第三方无票垫付服务费-服务费比例</v>
      </c>
      <c r="I78" s="156" t="str">
        <f>_xlfn.IFNA(VLOOKUP($F78,'3.框架内物料'!$A:$E,5,0),"")</f>
        <v>项</v>
      </c>
      <c r="J78" s="184">
        <f>_xlfn.IFNA(VLOOKUP($F78,'3.框架内物料'!$A:$F,6,0),"")</f>
        <v>0.1</v>
      </c>
      <c r="K78" s="184">
        <f>_xlfn.IFNA(VLOOKUP($F78,'3.框架内物料'!$A:$F,6,0),"")</f>
        <v>0.1</v>
      </c>
      <c r="L78" s="185">
        <f>P72</f>
        <v>0</v>
      </c>
      <c r="M78" s="185">
        <f>Q72</f>
        <v>0</v>
      </c>
      <c r="N78" s="185">
        <v>1</v>
      </c>
      <c r="O78" s="185">
        <v>1</v>
      </c>
      <c r="P78" s="164">
        <f t="shared" si="13"/>
        <v>0</v>
      </c>
      <c r="Q78" s="164">
        <f t="shared" si="14"/>
        <v>0</v>
      </c>
      <c r="R78" s="169">
        <f t="shared" si="15"/>
        <v>0</v>
      </c>
      <c r="S78" s="70">
        <v>0.06</v>
      </c>
      <c r="T78" s="172"/>
      <c r="U78" s="172"/>
    </row>
    <row r="79" spans="1:24" s="19" customFormat="1" ht="16.899999999999999">
      <c r="A79" s="36"/>
      <c r="B79" s="37"/>
      <c r="C79" s="37"/>
      <c r="D79" s="37"/>
      <c r="E79" s="37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324" t="s">
        <v>2324</v>
      </c>
      <c r="Q79" s="325"/>
      <c r="R79" s="326"/>
      <c r="S79" s="78"/>
      <c r="T79" s="78"/>
      <c r="U79" s="78"/>
    </row>
    <row r="80" spans="1:24" s="19" customFormat="1" ht="16.899999999999999">
      <c r="A80" s="38"/>
      <c r="B80" s="39"/>
      <c r="C80" s="39"/>
      <c r="D80" s="39"/>
      <c r="E80" s="39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165">
        <f>SUM(P77:P78)</f>
        <v>0</v>
      </c>
      <c r="Q80" s="165">
        <f>SUM(Q77:Q78)</f>
        <v>0</v>
      </c>
      <c r="R80" s="165">
        <f>Q80-P80</f>
        <v>0</v>
      </c>
      <c r="S80" s="38"/>
      <c r="T80" s="48"/>
      <c r="U80" s="79"/>
    </row>
    <row r="81" spans="1:21" s="19" customFormat="1" ht="74.45" customHeight="1">
      <c r="A81" s="176"/>
      <c r="B81" s="176"/>
      <c r="C81" s="176"/>
      <c r="D81" s="176"/>
      <c r="E81" s="180" t="s">
        <v>2325</v>
      </c>
      <c r="F81" s="181" t="s">
        <v>2326</v>
      </c>
      <c r="G81" s="181"/>
      <c r="H81" s="181"/>
      <c r="I81" s="156" t="s">
        <v>49</v>
      </c>
      <c r="J81" s="186"/>
      <c r="K81" s="186"/>
      <c r="L81" s="187">
        <v>1</v>
      </c>
      <c r="M81" s="187">
        <v>1</v>
      </c>
      <c r="N81" s="187">
        <v>1</v>
      </c>
      <c r="O81" s="187">
        <v>1</v>
      </c>
      <c r="P81" s="164">
        <f>J81*L81*N81</f>
        <v>0</v>
      </c>
      <c r="Q81" s="169">
        <f>K81*M81*O81</f>
        <v>0</v>
      </c>
      <c r="R81" s="169">
        <f>Q81-P81</f>
        <v>0</v>
      </c>
      <c r="S81" s="70">
        <v>0.06</v>
      </c>
      <c r="T81" s="172"/>
      <c r="U81" s="172"/>
    </row>
    <row r="82" spans="1:21" s="19" customFormat="1" ht="16.899999999999999">
      <c r="A82" s="80"/>
      <c r="B82" s="81"/>
      <c r="C82" s="81"/>
      <c r="D82" s="81"/>
      <c r="E82" s="81"/>
      <c r="F82" s="88"/>
      <c r="G82" s="81"/>
      <c r="H82" s="89"/>
      <c r="I82" s="81"/>
      <c r="J82" s="182"/>
      <c r="K82" s="183"/>
      <c r="L82" s="102"/>
      <c r="M82" s="102"/>
      <c r="N82" s="102"/>
      <c r="O82" s="102"/>
      <c r="P82" s="327" t="s">
        <v>2327</v>
      </c>
      <c r="Q82" s="327"/>
      <c r="R82" s="328"/>
      <c r="S82" s="117"/>
      <c r="T82" s="117"/>
      <c r="U82" s="117"/>
    </row>
    <row r="83" spans="1:21" ht="16.899999999999999">
      <c r="A83" s="82"/>
      <c r="B83" s="83"/>
      <c r="C83" s="83"/>
      <c r="D83" s="83"/>
      <c r="E83" s="83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190">
        <f>SUM(P76,P80,P81)</f>
        <v>0</v>
      </c>
      <c r="Q83" s="190">
        <f>SUM(Q76,Q80,Q81)</f>
        <v>0</v>
      </c>
      <c r="R83" s="190">
        <f>SUM(R76:R81)</f>
        <v>0</v>
      </c>
      <c r="S83" s="194"/>
      <c r="T83" s="195"/>
      <c r="U83" s="119"/>
    </row>
    <row r="84" spans="1:21" ht="54" customHeight="1">
      <c r="A84" s="85"/>
      <c r="C84" s="86"/>
      <c r="D84" s="86"/>
      <c r="E84" s="86"/>
      <c r="F84" s="85"/>
      <c r="G84" s="85"/>
      <c r="H84" s="85"/>
      <c r="I84" s="85"/>
      <c r="J84" s="85"/>
      <c r="K84" s="329"/>
      <c r="L84" s="329"/>
      <c r="M84" s="329"/>
      <c r="N84" s="329"/>
      <c r="P84" s="191" t="e">
        <f>SUMIF(E1:E78,"框架内",P1:P78)/(P83-P81)</f>
        <v>#DIV/0!</v>
      </c>
      <c r="Q84" s="192" t="e">
        <f ca="1">SUMIF(E1:E78,"框架外",Q1:Q77)/(Q83-Q81)</f>
        <v>#DIV/0!</v>
      </c>
      <c r="R84" s="197" t="s">
        <v>2328</v>
      </c>
      <c r="S84" s="22"/>
    </row>
    <row r="85" spans="1:21" ht="54" customHeight="1">
      <c r="A85" s="85"/>
      <c r="C85" s="86"/>
      <c r="D85" s="86"/>
      <c r="E85" s="86"/>
      <c r="F85" s="85"/>
      <c r="G85" s="85"/>
      <c r="H85" s="85"/>
      <c r="I85" s="85"/>
      <c r="J85" s="85"/>
      <c r="K85" s="329"/>
      <c r="L85" s="329"/>
      <c r="M85" s="329"/>
      <c r="N85" s="329"/>
      <c r="P85" s="192" t="e">
        <f ca="1">SUMIF(E1:E81,"框架外",P1:P78)/(P83-P81)</f>
        <v>#DIV/0!</v>
      </c>
      <c r="Q85" s="192" t="e">
        <f ca="1">SUMIF(E1:E81,"框架外",Q1:Q78)/(Q83-Q81)</f>
        <v>#DIV/0!</v>
      </c>
      <c r="R85" s="197" t="s">
        <v>2329</v>
      </c>
      <c r="S85" s="22"/>
    </row>
    <row r="86" spans="1:21" ht="54" customHeight="1">
      <c r="A86" s="85"/>
      <c r="C86" s="86"/>
      <c r="D86" s="86"/>
      <c r="E86" s="86"/>
      <c r="F86" s="85"/>
      <c r="G86" s="85"/>
      <c r="H86" s="85"/>
      <c r="I86" s="85"/>
      <c r="J86" s="85"/>
      <c r="P86" s="192" t="e">
        <f ca="1">SUMIF(E1:E81,"据实结算",P1:P78)/(P83-P81)</f>
        <v>#DIV/0!</v>
      </c>
      <c r="Q86" s="192" t="e">
        <f ca="1">SUMIF(E1:E81,"据实结算",Q1:Q78)/(Q83-Q81)</f>
        <v>#DIV/0!</v>
      </c>
      <c r="R86" s="197" t="s">
        <v>2330</v>
      </c>
      <c r="S86" s="22"/>
    </row>
    <row r="87" spans="1:21">
      <c r="K87" s="188"/>
      <c r="L87" s="105"/>
      <c r="M87" s="105"/>
      <c r="N87" s="105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41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0"/>
  <sheetViews>
    <sheetView zoomScale="110" zoomScaleNormal="110" workbookViewId="0">
      <selection activeCell="D15" sqref="D15"/>
    </sheetView>
  </sheetViews>
  <sheetFormatPr defaultColWidth="11" defaultRowHeight="13.9"/>
  <cols>
    <col min="1" max="1" width="15.86328125" style="121" customWidth="1"/>
    <col min="2" max="2" width="16.19921875" style="121" customWidth="1"/>
    <col min="3" max="3" width="13.53125" style="121" customWidth="1"/>
    <col min="4" max="4" width="12.86328125" style="121" customWidth="1"/>
    <col min="5" max="5" width="11.59765625" style="121" customWidth="1"/>
    <col min="6" max="6" width="26.19921875" style="121" customWidth="1"/>
    <col min="7" max="7" width="14.46484375" style="121" customWidth="1"/>
    <col min="8" max="8" width="14.1328125" style="121" customWidth="1"/>
  </cols>
  <sheetData>
    <row r="1" spans="1:8" ht="21" customHeight="1">
      <c r="A1" s="330" t="s">
        <v>2331</v>
      </c>
      <c r="B1" s="331"/>
      <c r="C1" s="331"/>
      <c r="D1" s="331"/>
      <c r="E1" s="331"/>
      <c r="F1" s="331"/>
      <c r="G1" s="331"/>
      <c r="H1" s="332"/>
    </row>
    <row r="2" spans="1:8">
      <c r="A2" s="122" t="s">
        <v>2332</v>
      </c>
      <c r="B2" s="123" t="s">
        <v>2333</v>
      </c>
      <c r="C2" s="124" t="s">
        <v>2334</v>
      </c>
      <c r="D2" s="333" t="s">
        <v>2335</v>
      </c>
      <c r="E2" s="334"/>
      <c r="F2" s="334"/>
      <c r="G2" s="339" t="s">
        <v>2336</v>
      </c>
      <c r="H2" s="340"/>
    </row>
    <row r="3" spans="1:8">
      <c r="A3" s="126" t="s">
        <v>2337</v>
      </c>
      <c r="B3" s="127" t="s">
        <v>2338</v>
      </c>
      <c r="C3" s="128" t="s">
        <v>2339</v>
      </c>
      <c r="D3" s="333">
        <v>1500</v>
      </c>
      <c r="E3" s="334"/>
      <c r="F3" s="334"/>
      <c r="G3" s="341"/>
      <c r="H3" s="342"/>
    </row>
    <row r="4" spans="1:8">
      <c r="A4" s="126" t="s">
        <v>2340</v>
      </c>
      <c r="B4" s="123" t="s">
        <v>2341</v>
      </c>
      <c r="C4" s="129" t="s">
        <v>2342</v>
      </c>
      <c r="D4" s="125"/>
      <c r="E4" s="128" t="s">
        <v>2343</v>
      </c>
      <c r="F4" s="137" t="s">
        <v>2344</v>
      </c>
      <c r="G4" s="138"/>
      <c r="H4" s="139" t="s">
        <v>2345</v>
      </c>
    </row>
    <row r="5" spans="1:8">
      <c r="A5" s="126" t="s">
        <v>2346</v>
      </c>
      <c r="B5" s="123" t="s">
        <v>2347</v>
      </c>
      <c r="C5" s="129" t="s">
        <v>2342</v>
      </c>
      <c r="D5" s="125"/>
      <c r="E5" s="128" t="s">
        <v>2343</v>
      </c>
      <c r="F5" s="140" t="s">
        <v>2348</v>
      </c>
      <c r="G5" s="141"/>
      <c r="H5" s="139" t="s">
        <v>2349</v>
      </c>
    </row>
    <row r="6" spans="1:8">
      <c r="A6" s="126" t="s">
        <v>2350</v>
      </c>
      <c r="B6" s="335" t="s">
        <v>2351</v>
      </c>
      <c r="C6" s="336"/>
      <c r="D6" s="336"/>
      <c r="E6" s="336"/>
      <c r="F6" s="336"/>
      <c r="G6" s="142"/>
      <c r="H6" s="139" t="s">
        <v>2352</v>
      </c>
    </row>
    <row r="7" spans="1:8">
      <c r="A7" s="126" t="s">
        <v>2353</v>
      </c>
      <c r="B7" s="123" t="s">
        <v>2354</v>
      </c>
      <c r="C7" s="129" t="s">
        <v>2342</v>
      </c>
      <c r="D7" s="125">
        <v>15210370021</v>
      </c>
      <c r="E7" s="128" t="s">
        <v>2343</v>
      </c>
      <c r="F7" s="143" t="s">
        <v>2355</v>
      </c>
      <c r="G7" s="144"/>
      <c r="H7" s="139" t="s">
        <v>2356</v>
      </c>
    </row>
    <row r="8" spans="1:8">
      <c r="A8" s="337" t="s">
        <v>2357</v>
      </c>
      <c r="B8" s="337"/>
      <c r="C8" s="337"/>
      <c r="D8" s="337"/>
      <c r="E8" s="337"/>
      <c r="F8" s="337"/>
      <c r="G8" s="337"/>
      <c r="H8" s="337"/>
    </row>
    <row r="9" spans="1:8">
      <c r="A9" s="130" t="s">
        <v>2358</v>
      </c>
      <c r="B9" s="130" t="s">
        <v>2262</v>
      </c>
      <c r="C9" s="131" t="s">
        <v>2359</v>
      </c>
      <c r="D9" s="131" t="s">
        <v>2360</v>
      </c>
      <c r="E9" s="145" t="s">
        <v>2361</v>
      </c>
      <c r="F9" s="145" t="s">
        <v>2362</v>
      </c>
      <c r="G9" s="131" t="s">
        <v>2276</v>
      </c>
      <c r="H9" s="146" t="s">
        <v>2363</v>
      </c>
    </row>
    <row r="10" spans="1:8">
      <c r="A10" s="8">
        <v>1</v>
      </c>
      <c r="B10" s="132" t="s">
        <v>2280</v>
      </c>
      <c r="C10" s="133">
        <f>'2.报价结算清单'!P60</f>
        <v>254233.94999999998</v>
      </c>
      <c r="D10" s="134">
        <f t="shared" ref="D10:D16" si="0">IFERROR(_xlfn.IFNA(C10/$C$19,""),"")</f>
        <v>3.8160299428888864E-2</v>
      </c>
      <c r="E10" s="133">
        <f>'2.报价结算清单'!Q60</f>
        <v>265789.92599999998</v>
      </c>
      <c r="F10" s="134">
        <f>IFERROR(_xlfn.IFNA(E10/$E$19,""),"")</f>
        <v>5.5518105323383006E-2</v>
      </c>
      <c r="G10" s="133">
        <f>IFERROR(E10-C10,"")</f>
        <v>11555.975999999995</v>
      </c>
      <c r="H10" s="147"/>
    </row>
    <row r="11" spans="1:8">
      <c r="A11" s="8">
        <v>2</v>
      </c>
      <c r="B11" s="132" t="s">
        <v>2292</v>
      </c>
      <c r="C11" s="133">
        <f>'2.报价结算清单'!P78</f>
        <v>241468</v>
      </c>
      <c r="D11" s="134">
        <f t="shared" si="0"/>
        <v>3.6244141203387419E-2</v>
      </c>
      <c r="E11" s="133">
        <f>'2.报价结算清单'!Q78</f>
        <v>257795.53</v>
      </c>
      <c r="F11" s="134">
        <f>IFERROR(_xlfn.IFNA(E11/$E$19,""),"")</f>
        <v>5.3848238726840775E-2</v>
      </c>
      <c r="G11" s="133">
        <f t="shared" ref="G11:G13" si="1">IFERROR(E11-C11,"")</f>
        <v>16327.529999999999</v>
      </c>
      <c r="H11" s="147"/>
    </row>
    <row r="12" spans="1:8">
      <c r="A12" s="8">
        <v>3</v>
      </c>
      <c r="B12" s="132" t="s">
        <v>2305</v>
      </c>
      <c r="C12" s="133">
        <f>'2.报价结算清单'!P161</f>
        <v>4792985.4600000009</v>
      </c>
      <c r="D12" s="134">
        <f t="shared" si="0"/>
        <v>0.71942303658465234</v>
      </c>
      <c r="E12" s="133">
        <f>'2.报价结算清单'!Q161</f>
        <v>2851848.0170000005</v>
      </c>
      <c r="F12" s="134">
        <f>IFERROR(_xlfn.IFNA(E12/$E$19,""),"")</f>
        <v>0.5956930006974267</v>
      </c>
      <c r="G12" s="133">
        <f t="shared" si="1"/>
        <v>-1941137.4430000004</v>
      </c>
      <c r="H12" s="147"/>
    </row>
    <row r="13" spans="1:8">
      <c r="A13" s="8">
        <v>4</v>
      </c>
      <c r="B13" s="132" t="s">
        <v>2364</v>
      </c>
      <c r="C13" s="133">
        <f>'2.报价结算清单'!P180</f>
        <v>481996.84</v>
      </c>
      <c r="D13" s="134">
        <f t="shared" si="0"/>
        <v>7.2347315290417505E-2</v>
      </c>
      <c r="E13" s="133">
        <f>'2.报价结算清单'!Q180</f>
        <v>455303.94120000006</v>
      </c>
      <c r="F13" s="134">
        <f>IFERROR(_xlfn.IFNA(E13/$E$19,""),"")</f>
        <v>9.5103725495197994E-2</v>
      </c>
      <c r="G13" s="133">
        <f t="shared" si="1"/>
        <v>-26692.898799999966</v>
      </c>
      <c r="H13" s="147"/>
    </row>
    <row r="14" spans="1:8">
      <c r="A14" s="8">
        <v>5</v>
      </c>
      <c r="B14" s="132" t="s">
        <v>2365</v>
      </c>
      <c r="C14" s="133">
        <f>'2.报价结算清单'!P183</f>
        <v>500000</v>
      </c>
      <c r="D14" s="134">
        <f t="shared" si="0"/>
        <v>7.5049574277725031E-2</v>
      </c>
      <c r="E14" s="133">
        <f>'2.报价结算清单'!Q183</f>
        <v>500000</v>
      </c>
      <c r="F14" s="134"/>
      <c r="G14" s="133"/>
      <c r="H14" s="147"/>
    </row>
    <row r="15" spans="1:8">
      <c r="A15" s="8">
        <v>6</v>
      </c>
      <c r="B15" s="132" t="s">
        <v>3148</v>
      </c>
      <c r="C15" s="133"/>
      <c r="D15" s="134"/>
      <c r="E15" s="133"/>
      <c r="F15" s="134"/>
      <c r="G15" s="133"/>
      <c r="H15" s="147"/>
    </row>
    <row r="16" spans="1:8">
      <c r="A16" s="8">
        <v>7</v>
      </c>
      <c r="B16" s="132" t="s">
        <v>2366</v>
      </c>
      <c r="C16" s="133">
        <f>'2.报价结算清单'!P196</f>
        <v>391578.72500000009</v>
      </c>
      <c r="D16" s="134">
        <f t="shared" si="0"/>
        <v>5.8775633214928749E-2</v>
      </c>
      <c r="E16" s="133">
        <f>'2.报价结算清单'!Q196</f>
        <v>287108.49109200004</v>
      </c>
      <c r="F16" s="134">
        <f>IFERROR(_xlfn.IFNA(E16/$E$19,""),"")</f>
        <v>5.997111962657016E-2</v>
      </c>
      <c r="G16" s="133">
        <f>IFERROR(E16-C16,"")</f>
        <v>-104470.23390800005</v>
      </c>
      <c r="H16" s="147"/>
    </row>
    <row r="17" spans="1:8">
      <c r="A17" s="343" t="s">
        <v>2367</v>
      </c>
      <c r="B17" s="344"/>
      <c r="C17" s="135">
        <v>0.06</v>
      </c>
      <c r="D17" s="135">
        <v>0.06</v>
      </c>
      <c r="E17" s="135">
        <v>0.06</v>
      </c>
      <c r="F17" s="135">
        <v>0.06</v>
      </c>
      <c r="G17" s="135">
        <v>0.06</v>
      </c>
      <c r="H17" s="135"/>
    </row>
    <row r="18" spans="1:8">
      <c r="A18" s="345" t="s">
        <v>2368</v>
      </c>
      <c r="B18" s="344"/>
      <c r="C18" s="136" t="str">
        <f>'2.报价结算清单'!J199</f>
        <v>0</v>
      </c>
      <c r="D18" s="134">
        <f>IFERROR(_xlfn.IFNA(C18/$C$20,""),"")</f>
        <v>0</v>
      </c>
      <c r="E18" s="136" t="str">
        <f>'2.报价结算清单'!K199</f>
        <v>0</v>
      </c>
      <c r="F18" s="134">
        <f>IFERROR(_xlfn.IFNA(E18/$E$20,""),"")</f>
        <v>0</v>
      </c>
      <c r="G18" s="133">
        <f>IFERROR(E18-C18,"")</f>
        <v>0</v>
      </c>
      <c r="H18" s="147"/>
    </row>
    <row r="19" spans="1:8">
      <c r="A19" s="343" t="s">
        <v>2369</v>
      </c>
      <c r="B19" s="343"/>
      <c r="C19" s="136">
        <f>'2.报价结算清单'!P201</f>
        <v>6662262.9750000015</v>
      </c>
      <c r="D19" s="134">
        <f>IFERROR(_xlfn.IFNA(C19/$C$20,""),"")</f>
        <v>1</v>
      </c>
      <c r="E19" s="136">
        <f>'2.报价结算清单'!Q201</f>
        <v>4787445.9052920006</v>
      </c>
      <c r="F19" s="134">
        <f>IFERROR(_xlfn.IFNA(E19/$E$20,""),"")</f>
        <v>1</v>
      </c>
      <c r="G19" s="133">
        <f>IFERROR(E19-C19,"")</f>
        <v>-1874817.0697080009</v>
      </c>
      <c r="H19" s="147"/>
    </row>
    <row r="20" spans="1:8">
      <c r="A20" s="346" t="s">
        <v>2370</v>
      </c>
      <c r="B20" s="346"/>
      <c r="C20" s="338">
        <f>'2.报价结算清单'!P201</f>
        <v>6662262.9750000015</v>
      </c>
      <c r="D20" s="338"/>
      <c r="E20" s="338">
        <f>'2.报价结算清单'!Q201</f>
        <v>4787445.9052920006</v>
      </c>
      <c r="F20" s="338"/>
      <c r="G20" s="148">
        <f>IFERROR(E20-C20,"")</f>
        <v>-1874817.0697080009</v>
      </c>
      <c r="H20" s="149"/>
    </row>
  </sheetData>
  <sheetProtection formatCells="0" formatColumns="0" formatRows="0" insertRows="0"/>
  <mergeCells count="12">
    <mergeCell ref="E20:F20"/>
    <mergeCell ref="G2:H3"/>
    <mergeCell ref="A17:B17"/>
    <mergeCell ref="A18:B18"/>
    <mergeCell ref="A19:B19"/>
    <mergeCell ref="A20:B20"/>
    <mergeCell ref="C20:D20"/>
    <mergeCell ref="A1:H1"/>
    <mergeCell ref="D2:F2"/>
    <mergeCell ref="D3:F3"/>
    <mergeCell ref="B6:F6"/>
    <mergeCell ref="A8:H8"/>
  </mergeCells>
  <phoneticPr fontId="41" type="noConversion"/>
  <dataValidations count="1">
    <dataValidation type="list" allowBlank="1" showInputMessage="1" showErrorMessage="1" sqref="C17:H17" xr:uid="{00000000-0002-0000-0300-000000000000}">
      <formula1>"0%,1%,3%,6%,9%"</formula1>
    </dataValidation>
  </dataValidations>
  <hyperlinks>
    <hyperlink ref="F7" r:id="rId1" xr:uid="{00000000-0004-0000-0300-000000000000}"/>
    <hyperlink ref="F5" r:id="rId2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V205"/>
  <sheetViews>
    <sheetView tabSelected="1" zoomScale="55" zoomScaleNormal="55" workbookViewId="0">
      <pane ySplit="1" topLeftCell="A167" activePane="bottomLeft" state="frozen"/>
      <selection pane="bottomLeft" activeCell="L191" sqref="L191"/>
    </sheetView>
  </sheetViews>
  <sheetFormatPr defaultColWidth="9" defaultRowHeight="13.9" outlineLevelCol="1"/>
  <cols>
    <col min="1" max="1" width="13.265625" style="22" customWidth="1"/>
    <col min="2" max="2" width="16.86328125" style="23" customWidth="1"/>
    <col min="3" max="3" width="20.19921875" style="23" customWidth="1"/>
    <col min="4" max="4" width="45.796875" style="23" customWidth="1"/>
    <col min="5" max="5" width="11.73046875" style="23" customWidth="1"/>
    <col min="6" max="6" width="10.86328125" style="22" customWidth="1"/>
    <col min="7" max="7" width="23.796875" style="22" customWidth="1"/>
    <col min="8" max="8" width="62.1328125" style="24" customWidth="1"/>
    <col min="9" max="9" width="8.59765625" style="22" customWidth="1"/>
    <col min="10" max="10" width="12" style="25" customWidth="1"/>
    <col min="11" max="11" width="11.796875" style="26" customWidth="1" outlineLevel="1"/>
    <col min="12" max="12" width="12.53125" style="22" customWidth="1"/>
    <col min="13" max="13" width="12.53125" style="22" customWidth="1" outlineLevel="1"/>
    <col min="14" max="14" width="8.59765625" style="22" customWidth="1"/>
    <col min="15" max="15" width="9.265625" style="22" customWidth="1" outlineLevel="1"/>
    <col min="16" max="16" width="22.59765625" style="28" customWidth="1"/>
    <col min="17" max="17" width="20.06640625" style="28" customWidth="1" outlineLevel="1"/>
    <col min="18" max="18" width="18.06640625" style="29" customWidth="1"/>
    <col min="19" max="20" width="10.3984375" style="30" customWidth="1"/>
    <col min="21" max="21" width="77.59765625" style="20" customWidth="1"/>
    <col min="22" max="22" width="14.3984375" style="22" customWidth="1"/>
    <col min="23" max="23" width="9" style="22"/>
    <col min="24" max="24" width="9.86328125" style="22" customWidth="1"/>
    <col min="25" max="16384" width="9" style="22"/>
  </cols>
  <sheetData>
    <row r="1" spans="1:22" s="16" customFormat="1" ht="58.5">
      <c r="A1" s="31" t="s">
        <v>2371</v>
      </c>
      <c r="B1" s="31" t="s">
        <v>2372</v>
      </c>
      <c r="C1" s="31" t="s">
        <v>2373</v>
      </c>
      <c r="D1" s="31" t="s">
        <v>2374</v>
      </c>
      <c r="E1" s="40" t="s">
        <v>2375</v>
      </c>
      <c r="F1" s="41" t="s">
        <v>2264</v>
      </c>
      <c r="G1" s="42" t="s">
        <v>2376</v>
      </c>
      <c r="H1" s="31" t="s">
        <v>2377</v>
      </c>
      <c r="I1" s="31" t="s">
        <v>2378</v>
      </c>
      <c r="J1" s="50" t="s">
        <v>2379</v>
      </c>
      <c r="K1" s="51" t="s">
        <v>2380</v>
      </c>
      <c r="L1" s="52" t="s">
        <v>3141</v>
      </c>
      <c r="M1" s="220" t="s">
        <v>2381</v>
      </c>
      <c r="N1" s="52" t="s">
        <v>2382</v>
      </c>
      <c r="O1" s="220" t="s">
        <v>2383</v>
      </c>
      <c r="P1" s="60" t="s">
        <v>2384</v>
      </c>
      <c r="Q1" s="63" t="s">
        <v>2361</v>
      </c>
      <c r="R1" s="64" t="s">
        <v>2276</v>
      </c>
      <c r="S1" s="65" t="s">
        <v>2385</v>
      </c>
      <c r="T1" s="65" t="s">
        <v>2386</v>
      </c>
      <c r="U1" s="74" t="s">
        <v>2278</v>
      </c>
      <c r="V1" s="75" t="s">
        <v>2279</v>
      </c>
    </row>
    <row r="2" spans="1:22" s="18" customFormat="1" ht="28.5" customHeight="1">
      <c r="A2" s="278" t="s">
        <v>2280</v>
      </c>
      <c r="B2" s="34" t="s">
        <v>2387</v>
      </c>
      <c r="C2" s="279" t="s">
        <v>2388</v>
      </c>
      <c r="D2" s="34" t="s">
        <v>2389</v>
      </c>
      <c r="E2" s="45" t="s">
        <v>2283</v>
      </c>
      <c r="F2" s="280" t="s">
        <v>2390</v>
      </c>
      <c r="G2" s="34" t="str">
        <f>_xlfn.IFNA(IF(VLOOKUP($F2,'[1]3.框架内物料'!$A:$E,2,0)=0,"请勿填写",VLOOKUP($F2,'[1]3.框架内物料'!$A:$E,2,0)),"")</f>
        <v>M939882571534290945</v>
      </c>
      <c r="H2" s="281" t="str">
        <f>_xlfn.IFNA(VLOOKUP($F2,'[1]3.框架内物料'!$A:$E,4,0),"")</f>
        <v>搭建制作-制作-常规背景结构-木质背板-单面木质背板：木结构, 表面贴画面写真（高度3m以上）</v>
      </c>
      <c r="I2" s="34" t="str">
        <f>_xlfn.IFNA(VLOOKUP($F2,'[1]3.框架内物料'!$A:$E,5,0),"")</f>
        <v>平米</v>
      </c>
      <c r="J2" s="55">
        <f>_xlfn.IFNA(VLOOKUP($F2,'[1]3.框架内物料'!$A:$F,6,0),"")</f>
        <v>326.67</v>
      </c>
      <c r="K2" s="55">
        <f>_xlfn.IFNA(VLOOKUP($F2,'[2]3.框架内物料'!$A:$F,6,0),"")</f>
        <v>326.67</v>
      </c>
      <c r="L2" s="34">
        <v>30.4</v>
      </c>
      <c r="M2" s="34">
        <v>30.4</v>
      </c>
      <c r="N2" s="34">
        <v>2</v>
      </c>
      <c r="O2" s="34">
        <v>2</v>
      </c>
      <c r="P2" s="61">
        <f>IFERROR(N2*L2*J2,0)</f>
        <v>19861.536</v>
      </c>
      <c r="Q2" s="61">
        <f>IFERROR(O2*M2*K2,0)</f>
        <v>19861.536</v>
      </c>
      <c r="R2" s="69">
        <f t="shared" ref="R2:R33" si="0">Q2-P2</f>
        <v>0</v>
      </c>
      <c r="S2" s="70">
        <v>0.06</v>
      </c>
      <c r="T2" s="70">
        <v>0</v>
      </c>
      <c r="U2" s="282" t="s">
        <v>3176</v>
      </c>
      <c r="V2" s="35"/>
    </row>
    <row r="3" spans="1:22" s="18" customFormat="1" ht="28.5" customHeight="1">
      <c r="A3" s="278" t="s">
        <v>2280</v>
      </c>
      <c r="B3" s="34" t="s">
        <v>2387</v>
      </c>
      <c r="C3" s="279" t="s">
        <v>2388</v>
      </c>
      <c r="D3" s="34" t="s">
        <v>2391</v>
      </c>
      <c r="E3" s="45" t="s">
        <v>2283</v>
      </c>
      <c r="F3" s="280" t="s">
        <v>2392</v>
      </c>
      <c r="G3" s="34" t="str">
        <f>_xlfn.IFNA(IF(VLOOKUP($F3,'[1]3.框架内物料'!$A:$E,2,0)=0,"请勿填写",VLOOKUP($F3,'[1]3.框架内物料'!$A:$E,2,0)),"")</f>
        <v>M939882625422708737</v>
      </c>
      <c r="H3" s="281" t="str">
        <f>_xlfn.IFNA(VLOOKUP($F3,'[1]3.框架内物料'!$A:$E,4,0),"")</f>
        <v>搭建制作-展示灯具-射灯-长臂射灯-30W</v>
      </c>
      <c r="I3" s="34" t="str">
        <f>_xlfn.IFNA(VLOOKUP($F3,'[1]3.框架内物料'!$A:$E,5,0),"")</f>
        <v>台</v>
      </c>
      <c r="J3" s="55">
        <f>_xlfn.IFNA(VLOOKUP($F3,'[1]3.框架内物料'!$A:$F,6,0),"")</f>
        <v>46.64</v>
      </c>
      <c r="K3" s="55">
        <f>_xlfn.IFNA(VLOOKUP($F3,'[2]3.框架内物料'!$A:$F,6,0),"")</f>
        <v>46.64</v>
      </c>
      <c r="L3" s="34">
        <v>7</v>
      </c>
      <c r="M3" s="34">
        <v>7</v>
      </c>
      <c r="N3" s="34">
        <v>1</v>
      </c>
      <c r="O3" s="34">
        <v>1</v>
      </c>
      <c r="P3" s="61">
        <f t="shared" ref="P3:P8" si="1">IFERROR(N3*L3*J3,0)</f>
        <v>326.48</v>
      </c>
      <c r="Q3" s="61">
        <f t="shared" ref="Q3:Q9" si="2">IFERROR(O3*M3*K3,0)</f>
        <v>326.48</v>
      </c>
      <c r="R3" s="69">
        <f t="shared" si="0"/>
        <v>0</v>
      </c>
      <c r="S3" s="70">
        <v>0.06</v>
      </c>
      <c r="T3" s="70">
        <v>0</v>
      </c>
      <c r="U3" s="282" t="s">
        <v>2393</v>
      </c>
      <c r="V3" s="35"/>
    </row>
    <row r="4" spans="1:22" s="18" customFormat="1" ht="28.5" customHeight="1">
      <c r="A4" s="278" t="s">
        <v>2280</v>
      </c>
      <c r="B4" s="34" t="s">
        <v>2387</v>
      </c>
      <c r="C4" s="279" t="s">
        <v>2394</v>
      </c>
      <c r="D4" s="34" t="s">
        <v>2389</v>
      </c>
      <c r="E4" s="45" t="s">
        <v>2283</v>
      </c>
      <c r="F4" s="283" t="s">
        <v>2390</v>
      </c>
      <c r="G4" s="34" t="str">
        <f>_xlfn.IFNA(IF(VLOOKUP($F4,'[1]3.框架内物料'!$A:$E,2,0)=0,"请勿填写",VLOOKUP($F4,'[1]3.框架内物料'!$A:$E,2,0)),"")</f>
        <v>M939882571534290945</v>
      </c>
      <c r="H4" s="281" t="str">
        <f>_xlfn.IFNA(VLOOKUP($F4,'[1]3.框架内物料'!$A:$E,4,0),"")</f>
        <v>搭建制作-制作-常规背景结构-木质背板-单面木质背板：木结构, 表面贴画面写真（高度3m以上）</v>
      </c>
      <c r="I4" s="34" t="str">
        <f>_xlfn.IFNA(VLOOKUP($F4,'[1]3.框架内物料'!$A:$E,5,0),"")</f>
        <v>平米</v>
      </c>
      <c r="J4" s="55">
        <f>_xlfn.IFNA(VLOOKUP($F4,'[1]3.框架内物料'!$A:$F,6,0),"")</f>
        <v>326.67</v>
      </c>
      <c r="K4" s="55">
        <f>_xlfn.IFNA(VLOOKUP($F4,'[2]3.框架内物料'!$A:$F,6,0),"")</f>
        <v>326.67</v>
      </c>
      <c r="L4" s="34">
        <v>29.6</v>
      </c>
      <c r="M4" s="34">
        <v>29.6</v>
      </c>
      <c r="N4" s="34">
        <v>1</v>
      </c>
      <c r="O4" s="34">
        <v>1</v>
      </c>
      <c r="P4" s="61">
        <f t="shared" si="1"/>
        <v>9669.4320000000007</v>
      </c>
      <c r="Q4" s="61">
        <f t="shared" si="2"/>
        <v>9669.4320000000007</v>
      </c>
      <c r="R4" s="69">
        <f t="shared" si="0"/>
        <v>0</v>
      </c>
      <c r="S4" s="70">
        <v>0.06</v>
      </c>
      <c r="T4" s="70">
        <v>0</v>
      </c>
      <c r="U4" s="282" t="s">
        <v>3177</v>
      </c>
      <c r="V4" s="35"/>
    </row>
    <row r="5" spans="1:22" s="286" customFormat="1" ht="28.5" customHeight="1">
      <c r="A5" s="278" t="s">
        <v>2280</v>
      </c>
      <c r="B5" s="34" t="s">
        <v>2387</v>
      </c>
      <c r="C5" s="279" t="s">
        <v>2394</v>
      </c>
      <c r="D5" s="34" t="s">
        <v>2391</v>
      </c>
      <c r="E5" s="284" t="s">
        <v>2283</v>
      </c>
      <c r="F5" s="280" t="s">
        <v>2392</v>
      </c>
      <c r="G5" s="34" t="str">
        <f>_xlfn.IFNA(IF(VLOOKUP($F5,'[1]3.框架内物料'!$A:$E,2,0)=0,"请勿填写",VLOOKUP($F5,'[1]3.框架内物料'!$A:$E,2,0)),"")</f>
        <v>M939882625422708737</v>
      </c>
      <c r="H5" s="281" t="str">
        <f>_xlfn.IFNA(VLOOKUP($F5,'[1]3.框架内物料'!$A:$E,4,0),"")</f>
        <v>搭建制作-展示灯具-射灯-长臂射灯-30W</v>
      </c>
      <c r="I5" s="34" t="str">
        <f>_xlfn.IFNA(VLOOKUP($F5,'[1]3.框架内物料'!$A:$E,5,0),"")</f>
        <v>台</v>
      </c>
      <c r="J5" s="55">
        <f>_xlfn.IFNA(VLOOKUP($F5,'[1]3.框架内物料'!$A:$F,6,0),"")</f>
        <v>46.64</v>
      </c>
      <c r="K5" s="55">
        <f>_xlfn.IFNA(VLOOKUP($F5,'[2]3.框架内物料'!$A:$F,6,0),"")</f>
        <v>46.64</v>
      </c>
      <c r="L5" s="34">
        <v>7</v>
      </c>
      <c r="M5" s="34">
        <v>7</v>
      </c>
      <c r="N5" s="34">
        <v>1</v>
      </c>
      <c r="O5" s="34">
        <v>1</v>
      </c>
      <c r="P5" s="61">
        <f t="shared" si="1"/>
        <v>326.48</v>
      </c>
      <c r="Q5" s="61">
        <f t="shared" si="2"/>
        <v>326.48</v>
      </c>
      <c r="R5" s="69">
        <f t="shared" si="0"/>
        <v>0</v>
      </c>
      <c r="S5" s="70">
        <v>0.06</v>
      </c>
      <c r="T5" s="70">
        <v>0</v>
      </c>
      <c r="U5" s="282" t="s">
        <v>2393</v>
      </c>
      <c r="V5" s="285"/>
    </row>
    <row r="6" spans="1:22" s="286" customFormat="1" ht="28.5" customHeight="1">
      <c r="A6" s="278" t="s">
        <v>2280</v>
      </c>
      <c r="B6" s="34" t="s">
        <v>2387</v>
      </c>
      <c r="C6" s="279" t="s">
        <v>2395</v>
      </c>
      <c r="D6" s="279" t="s">
        <v>2396</v>
      </c>
      <c r="E6" s="284" t="s">
        <v>2283</v>
      </c>
      <c r="F6" s="280" t="s">
        <v>2397</v>
      </c>
      <c r="G6" s="34" t="str">
        <f>_xlfn.IFNA(IF(VLOOKUP($F6,'[1]3.框架内物料'!$A:$E,2,0)=0,"请勿填写",VLOOKUP($F6,'[1]3.框架内物料'!$A:$E,2,0)),"")</f>
        <v>M947580696835440641</v>
      </c>
      <c r="H6" s="281" t="str">
        <f>_xlfn.IFNA(VLOOKUP($F6,'[1]3.框架内物料'!$A:$E,4,0),"")</f>
        <v>搭建制作-制作-地台结构-地台-木质含龙骨，10-30CM</v>
      </c>
      <c r="I6" s="34" t="str">
        <f>_xlfn.IFNA(VLOOKUP($F6,'[1]3.框架内物料'!$A:$E,5,0),"")</f>
        <v>平米</v>
      </c>
      <c r="J6" s="55">
        <f>_xlfn.IFNA(VLOOKUP($F6,'[1]3.框架内物料'!$A:$F,6,0),"")</f>
        <v>120</v>
      </c>
      <c r="K6" s="55">
        <f>_xlfn.IFNA(VLOOKUP($F6,'[2]3.框架内物料'!$A:$F,6,0),"")</f>
        <v>120</v>
      </c>
      <c r="L6" s="34">
        <v>6</v>
      </c>
      <c r="M6" s="34">
        <v>6</v>
      </c>
      <c r="N6" s="34">
        <v>3</v>
      </c>
      <c r="O6" s="34">
        <v>3</v>
      </c>
      <c r="P6" s="61">
        <f t="shared" si="1"/>
        <v>2160</v>
      </c>
      <c r="Q6" s="61">
        <f t="shared" si="2"/>
        <v>2160</v>
      </c>
      <c r="R6" s="69">
        <f t="shared" si="0"/>
        <v>0</v>
      </c>
      <c r="S6" s="70">
        <v>0.06</v>
      </c>
      <c r="T6" s="70">
        <v>0</v>
      </c>
      <c r="U6" s="282" t="s">
        <v>2398</v>
      </c>
      <c r="V6" s="285"/>
    </row>
    <row r="7" spans="1:22" s="286" customFormat="1" ht="28.5" customHeight="1">
      <c r="A7" s="278" t="s">
        <v>2280</v>
      </c>
      <c r="B7" s="34" t="s">
        <v>2387</v>
      </c>
      <c r="C7" s="279" t="s">
        <v>2395</v>
      </c>
      <c r="D7" s="279" t="s">
        <v>2399</v>
      </c>
      <c r="E7" s="284" t="s">
        <v>2283</v>
      </c>
      <c r="F7" s="280" t="s">
        <v>2400</v>
      </c>
      <c r="G7" s="34" t="str">
        <f>_xlfn.IFNA(IF(VLOOKUP($F7,'[1]3.框架内物料'!$A:$E,2,0)=0,"请勿填写",VLOOKUP($F7,'[1]3.框架内物料'!$A:$E,2,0)),"")</f>
        <v>M939882658655412225</v>
      </c>
      <c r="H7" s="281" t="str">
        <f>_xlfn.IFNA(VLOOKUP($F7,'[1]3.框架内物料'!$A:$E,4,0),"")</f>
        <v>搭建制作-制作-地面材质-美工地贴-普通地贴</v>
      </c>
      <c r="I7" s="34" t="str">
        <f>_xlfn.IFNA(VLOOKUP($F7,'[1]3.框架内物料'!$A:$E,5,0),"")</f>
        <v>平米</v>
      </c>
      <c r="J7" s="55">
        <f>_xlfn.IFNA(VLOOKUP($F7,'[1]3.框架内物料'!$A:$F,6,0),"")</f>
        <v>63.6</v>
      </c>
      <c r="K7" s="55">
        <f>_xlfn.IFNA(VLOOKUP($F7,'[2]3.框架内物料'!$A:$F,6,0),"")</f>
        <v>63.6</v>
      </c>
      <c r="L7" s="34">
        <v>6</v>
      </c>
      <c r="M7" s="34">
        <v>6</v>
      </c>
      <c r="N7" s="34">
        <v>3</v>
      </c>
      <c r="O7" s="34">
        <v>3</v>
      </c>
      <c r="P7" s="61">
        <f t="shared" si="1"/>
        <v>1144.8</v>
      </c>
      <c r="Q7" s="61">
        <f t="shared" si="2"/>
        <v>1144.8</v>
      </c>
      <c r="R7" s="69">
        <f t="shared" si="0"/>
        <v>0</v>
      </c>
      <c r="S7" s="70">
        <v>0.06</v>
      </c>
      <c r="T7" s="70">
        <v>0</v>
      </c>
      <c r="U7" s="282" t="s">
        <v>2398</v>
      </c>
      <c r="V7" s="285"/>
    </row>
    <row r="8" spans="1:22" s="18" customFormat="1" ht="28.5" customHeight="1">
      <c r="A8" s="278" t="s">
        <v>2280</v>
      </c>
      <c r="B8" s="34" t="s">
        <v>2387</v>
      </c>
      <c r="C8" s="279" t="s">
        <v>2395</v>
      </c>
      <c r="D8" s="34" t="s">
        <v>2401</v>
      </c>
      <c r="E8" s="45" t="s">
        <v>2283</v>
      </c>
      <c r="F8" s="280" t="s">
        <v>2402</v>
      </c>
      <c r="G8" s="34" t="str">
        <f>_xlfn.IFNA(IF(VLOOKUP($F8,'[1]3.框架内物料'!$A:$E,2,0)=0,"请勿填写",VLOOKUP($F8,'[1]3.框架内物料'!$A:$E,2,0)),"")</f>
        <v>M939882699209031681</v>
      </c>
      <c r="H8" s="281" t="str">
        <f>_xlfn.IFNA(VLOOKUP($F8,'[1]3.框架内物料'!$A:$E,4,0),"")</f>
        <v>搭建制作-制作-背景板基础结构-9厘板龙骨，双面封面。一面5厘多层阻燃板，一面3厘多层阻燃板-厚度100mm以内</v>
      </c>
      <c r="I8" s="34" t="str">
        <f>_xlfn.IFNA(VLOOKUP($F8,'[1]3.框架内物料'!$A:$E,5,0),"")</f>
        <v>平米</v>
      </c>
      <c r="J8" s="55">
        <f>_xlfn.IFNA(VLOOKUP($F8,'[1]3.框架内物料'!$A:$F,6,0),"")</f>
        <v>416.67</v>
      </c>
      <c r="K8" s="55">
        <f>_xlfn.IFNA(VLOOKUP($F8,'[2]3.框架内物料'!$A:$F,6,0),"")</f>
        <v>416.67</v>
      </c>
      <c r="L8" s="34">
        <v>9</v>
      </c>
      <c r="M8" s="34">
        <v>9</v>
      </c>
      <c r="N8" s="34">
        <v>3</v>
      </c>
      <c r="O8" s="34">
        <v>3</v>
      </c>
      <c r="P8" s="61">
        <f t="shared" si="1"/>
        <v>11250.09</v>
      </c>
      <c r="Q8" s="61">
        <f t="shared" si="2"/>
        <v>11250.09</v>
      </c>
      <c r="R8" s="69">
        <f t="shared" si="0"/>
        <v>0</v>
      </c>
      <c r="S8" s="70">
        <v>0.06</v>
      </c>
      <c r="T8" s="70">
        <v>0</v>
      </c>
      <c r="U8" s="282" t="s">
        <v>2403</v>
      </c>
      <c r="V8" s="35"/>
    </row>
    <row r="9" spans="1:22" s="18" customFormat="1" ht="28.5" customHeight="1">
      <c r="A9" s="278" t="s">
        <v>2280</v>
      </c>
      <c r="B9" s="34" t="s">
        <v>2387</v>
      </c>
      <c r="C9" s="279" t="s">
        <v>2395</v>
      </c>
      <c r="D9" s="34" t="s">
        <v>2404</v>
      </c>
      <c r="E9" s="45" t="s">
        <v>2283</v>
      </c>
      <c r="F9" s="280" t="s">
        <v>2405</v>
      </c>
      <c r="G9" s="34" t="str">
        <f>_xlfn.IFNA(IF(VLOOKUP($F9,'[1]3.框架内物料'!$A:$E,2,0)=0,"请勿填写",VLOOKUP($F9,'[1]3.框架内物料'!$A:$E,2,0)),"")</f>
        <v>M939882623602380801</v>
      </c>
      <c r="H9" s="281" t="str">
        <f>_xlfn.IFNA(VLOOKUP($F9,'[1]3.框架内物料'!$A:$E,4,0),"")</f>
        <v>搭建制作-制作-板材-密度板10-15mm厚-密度板单面裱写真画面</v>
      </c>
      <c r="I9" s="34" t="str">
        <f>_xlfn.IFNA(VLOOKUP($F9,'[1]3.框架内物料'!$A:$E,5,0),"")</f>
        <v>平米</v>
      </c>
      <c r="J9" s="55">
        <f>_xlfn.IFNA(VLOOKUP($F9,'[1]3.框架内物料'!$A:$F,6,0),"")</f>
        <v>106</v>
      </c>
      <c r="K9" s="55">
        <f>_xlfn.IFNA(VLOOKUP($F9,'[2]3.框架内物料'!$A:$F,6,0),"")</f>
        <v>106</v>
      </c>
      <c r="L9" s="34">
        <v>5.48</v>
      </c>
      <c r="M9" s="34">
        <v>5.48</v>
      </c>
      <c r="N9" s="34">
        <v>3</v>
      </c>
      <c r="O9" s="34">
        <v>3</v>
      </c>
      <c r="P9" s="61">
        <f t="shared" ref="P9:P21" si="3">IFERROR(N9*L9*J9,0)</f>
        <v>1742.64</v>
      </c>
      <c r="Q9" s="61">
        <f t="shared" si="2"/>
        <v>1742.64</v>
      </c>
      <c r="R9" s="69">
        <f t="shared" si="0"/>
        <v>0</v>
      </c>
      <c r="S9" s="70">
        <v>0.06</v>
      </c>
      <c r="T9" s="70">
        <v>0</v>
      </c>
      <c r="U9" s="287" t="s">
        <v>2406</v>
      </c>
      <c r="V9" s="35"/>
    </row>
    <row r="10" spans="1:22" s="238" customFormat="1" ht="25.05" customHeight="1">
      <c r="A10" s="290" t="s">
        <v>2280</v>
      </c>
      <c r="B10" s="291" t="s">
        <v>2387</v>
      </c>
      <c r="C10" s="292" t="s">
        <v>2395</v>
      </c>
      <c r="D10" s="291" t="s">
        <v>2407</v>
      </c>
      <c r="E10" s="293" t="s">
        <v>2283</v>
      </c>
      <c r="F10" s="294" t="s">
        <v>2408</v>
      </c>
      <c r="G10" s="291" t="str">
        <f>_xlfn.IFNA(IF(VLOOKUP($F10,'[1]3.框架内物料'!$A:$E,2,0)=0,"请勿填写",VLOOKUP($F10,'[1]3.框架内物料'!$A:$E,2,0)),"")</f>
        <v>M939882628062158850</v>
      </c>
      <c r="H10" s="295" t="str">
        <f>_xlfn.IFNA(VLOOKUP($F10,'[1]3.框架内物料'!$A:$E,4,0),"")</f>
        <v>搭建制作-制作-板材-密度板20mm厚-密度板单面裱写真画面</v>
      </c>
      <c r="I10" s="291" t="str">
        <f>_xlfn.IFNA(VLOOKUP($F10,'[1]3.框架内物料'!$A:$E,5,0),"")</f>
        <v>平米</v>
      </c>
      <c r="J10" s="97">
        <f>_xlfn.IFNA(VLOOKUP($F10,'[1]3.框架内物料'!$A:$F,6,0),"")</f>
        <v>190.8</v>
      </c>
      <c r="K10" s="97">
        <f>_xlfn.IFNA(VLOOKUP($F10,'[2]3.框架内物料'!$A:$F,6,0),"")</f>
        <v>190.8</v>
      </c>
      <c r="L10" s="291">
        <v>2.16</v>
      </c>
      <c r="M10" s="291">
        <v>1.62</v>
      </c>
      <c r="N10" s="291">
        <v>3</v>
      </c>
      <c r="O10" s="291">
        <v>3</v>
      </c>
      <c r="P10" s="296">
        <f t="shared" si="3"/>
        <v>1236.3840000000002</v>
      </c>
      <c r="Q10" s="296">
        <f t="shared" ref="Q10:Q40" si="4">IFERROR(O10*M10*K10,0)</f>
        <v>927.28800000000012</v>
      </c>
      <c r="R10" s="221">
        <f t="shared" si="0"/>
        <v>-309.09600000000012</v>
      </c>
      <c r="S10" s="222">
        <v>0.06</v>
      </c>
      <c r="T10" s="222">
        <v>0</v>
      </c>
      <c r="U10" s="236" t="s">
        <v>3154</v>
      </c>
      <c r="V10" s="237"/>
    </row>
    <row r="11" spans="1:22" s="18" customFormat="1" ht="28.5" customHeight="1">
      <c r="A11" s="278" t="s">
        <v>2280</v>
      </c>
      <c r="B11" s="34" t="s">
        <v>2387</v>
      </c>
      <c r="C11" s="279" t="s">
        <v>2395</v>
      </c>
      <c r="D11" s="34" t="s">
        <v>2409</v>
      </c>
      <c r="E11" s="45" t="s">
        <v>2283</v>
      </c>
      <c r="F11" s="280" t="s">
        <v>2405</v>
      </c>
      <c r="G11" s="34" t="str">
        <f>_xlfn.IFNA(IF(VLOOKUP($F11,'[1]3.框架内物料'!$A:$E,2,0)=0,"请勿填写",VLOOKUP($F11,'[1]3.框架内物料'!$A:$E,2,0)),"")</f>
        <v>M939882623602380801</v>
      </c>
      <c r="H11" s="281" t="str">
        <f>_xlfn.IFNA(VLOOKUP($F11,'[1]3.框架内物料'!$A:$E,4,0),"")</f>
        <v>搭建制作-制作-板材-密度板10-15mm厚-密度板单面裱写真画面</v>
      </c>
      <c r="I11" s="34" t="str">
        <f>_xlfn.IFNA(VLOOKUP($F11,'[1]3.框架内物料'!$A:$E,5,0),"")</f>
        <v>平米</v>
      </c>
      <c r="J11" s="55">
        <f>_xlfn.IFNA(VLOOKUP($F11,'[1]3.框架内物料'!$A:$F,6,0),"")</f>
        <v>106</v>
      </c>
      <c r="K11" s="55">
        <f>_xlfn.IFNA(VLOOKUP($F11,'[2]3.框架内物料'!$A:$F,6,0),"")</f>
        <v>106</v>
      </c>
      <c r="L11" s="34">
        <v>3.42</v>
      </c>
      <c r="M11" s="34">
        <v>3.42</v>
      </c>
      <c r="N11" s="34">
        <v>3</v>
      </c>
      <c r="O11" s="34">
        <v>3</v>
      </c>
      <c r="P11" s="61">
        <f t="shared" si="3"/>
        <v>1087.56</v>
      </c>
      <c r="Q11" s="61">
        <f>IFERROR(O11*M11*K11,0)</f>
        <v>1087.56</v>
      </c>
      <c r="R11" s="69">
        <f t="shared" si="0"/>
        <v>0</v>
      </c>
      <c r="S11" s="70">
        <v>0.06</v>
      </c>
      <c r="T11" s="70">
        <v>0</v>
      </c>
      <c r="U11" s="282" t="s">
        <v>2410</v>
      </c>
      <c r="V11" s="35"/>
    </row>
    <row r="12" spans="1:22" s="18" customFormat="1" ht="28.5" customHeight="1">
      <c r="A12" s="278" t="s">
        <v>2280</v>
      </c>
      <c r="B12" s="34" t="s">
        <v>2387</v>
      </c>
      <c r="C12" s="279" t="s">
        <v>2395</v>
      </c>
      <c r="D12" s="34" t="s">
        <v>3310</v>
      </c>
      <c r="E12" s="45" t="s">
        <v>2283</v>
      </c>
      <c r="F12" s="7" t="s">
        <v>3311</v>
      </c>
      <c r="G12" s="34" t="str">
        <f>_xlfn.IFNA(IF(VLOOKUP($F12,'[1]3.框架内物料'!$A:$E,2,0)=0,"请勿填写",VLOOKUP($F12,'[1]3.框架内物料'!$A:$E,2,0)),"")</f>
        <v>M947580646654787585</v>
      </c>
      <c r="H12" s="281" t="str">
        <f>_xlfn.IFNA(VLOOKUP($F12,'[1]3.框架内物料'!$A:$E,4,0),"")</f>
        <v>搭建制作-制作-装饰材料-波音片-国产</v>
      </c>
      <c r="I12" s="34" t="str">
        <f>_xlfn.IFNA(VLOOKUP($F12,'[1]3.框架内物料'!$A:$E,5,0),"")</f>
        <v>平米</v>
      </c>
      <c r="J12" s="55">
        <f>1.06*380</f>
        <v>402.8</v>
      </c>
      <c r="K12" s="55">
        <f>_xlfn.IFNA(VLOOKUP($F12,'[2]3.框架内物料'!$A:$F,6,0),"")</f>
        <v>65</v>
      </c>
      <c r="L12" s="34">
        <v>3.42</v>
      </c>
      <c r="M12" s="34">
        <v>3.42</v>
      </c>
      <c r="N12" s="34">
        <v>3</v>
      </c>
      <c r="O12" s="34">
        <v>3</v>
      </c>
      <c r="P12" s="61">
        <f t="shared" si="3"/>
        <v>4132.7280000000001</v>
      </c>
      <c r="Q12" s="61">
        <f>IFERROR(O12*M12*K12,0)</f>
        <v>666.9</v>
      </c>
      <c r="R12" s="69">
        <f t="shared" si="0"/>
        <v>-3465.828</v>
      </c>
      <c r="S12" s="70">
        <v>0.06</v>
      </c>
      <c r="T12" s="70">
        <v>0</v>
      </c>
      <c r="U12" s="282" t="s">
        <v>2410</v>
      </c>
      <c r="V12" s="35"/>
    </row>
    <row r="13" spans="1:22" s="286" customFormat="1" ht="28.5" customHeight="1">
      <c r="A13" s="278" t="s">
        <v>2280</v>
      </c>
      <c r="B13" s="34" t="s">
        <v>2387</v>
      </c>
      <c r="C13" s="279" t="s">
        <v>2395</v>
      </c>
      <c r="D13" s="279" t="s">
        <v>2412</v>
      </c>
      <c r="E13" s="284" t="s">
        <v>2283</v>
      </c>
      <c r="F13" s="280" t="s">
        <v>2413</v>
      </c>
      <c r="G13" s="34" t="str">
        <f>_xlfn.IFNA(IF(VLOOKUP($F13,'[1]3.框架内物料'!$A:$E,2,0)=0,"请勿填写",VLOOKUP($F13,'[1]3.框架内物料'!$A:$E,2,0)),"")</f>
        <v>M947580936909012994</v>
      </c>
      <c r="H13" s="281" t="str">
        <f>_xlfn.IFNA(VLOOKUP($F13,'[1]3.框架内物料'!$A:$E,4,0),"")</f>
        <v>搭建制作-制作-钢结构-30*30方钢-壁厚8mm</v>
      </c>
      <c r="I13" s="34" t="str">
        <f>_xlfn.IFNA(VLOOKUP($F13,'[1]3.框架内物料'!$A:$E,5,0),"")</f>
        <v>米</v>
      </c>
      <c r="J13" s="55">
        <f>_xlfn.IFNA(VLOOKUP($F13,'[1]3.框架内物料'!$A:$F,6,0),"")</f>
        <v>42.4</v>
      </c>
      <c r="K13" s="55">
        <f>_xlfn.IFNA(VLOOKUP($F13,'[2]3.框架内物料'!$A:$F,6,0),"")</f>
        <v>42.4</v>
      </c>
      <c r="L13" s="34">
        <v>4</v>
      </c>
      <c r="M13" s="34">
        <v>4</v>
      </c>
      <c r="N13" s="34">
        <v>3</v>
      </c>
      <c r="O13" s="34">
        <v>3</v>
      </c>
      <c r="P13" s="61">
        <f t="shared" si="3"/>
        <v>508.79999999999995</v>
      </c>
      <c r="Q13" s="61">
        <f t="shared" si="4"/>
        <v>508.79999999999995</v>
      </c>
      <c r="R13" s="69">
        <f t="shared" si="0"/>
        <v>0</v>
      </c>
      <c r="S13" s="70">
        <v>0.06</v>
      </c>
      <c r="T13" s="70">
        <v>0</v>
      </c>
      <c r="U13" s="282" t="s">
        <v>2414</v>
      </c>
      <c r="V13" s="285"/>
    </row>
    <row r="14" spans="1:22" s="286" customFormat="1" ht="28.5" customHeight="1">
      <c r="A14" s="278" t="s">
        <v>2280</v>
      </c>
      <c r="B14" s="34" t="s">
        <v>2387</v>
      </c>
      <c r="C14" s="279" t="s">
        <v>2395</v>
      </c>
      <c r="D14" s="34" t="s">
        <v>2415</v>
      </c>
      <c r="E14" s="45" t="s">
        <v>2283</v>
      </c>
      <c r="F14" s="280" t="s">
        <v>2416</v>
      </c>
      <c r="G14" s="34" t="str">
        <f>_xlfn.IFNA(IF(VLOOKUP($F14,'[1]3.框架内物料'!$A:$E,2,0)=0,"请勿填写",VLOOKUP($F14,'[1]3.框架内物料'!$A:$E,2,0)),"")</f>
        <v>M947580285052411905</v>
      </c>
      <c r="H14" s="281" t="str">
        <f>_xlfn.IFNA(VLOOKUP($F14,'[1]3.框架内物料'!$A:$E,4,0),"")</f>
        <v>搭建制作-制作-发光字-树脂发光字-80mm</v>
      </c>
      <c r="I14" s="34" t="str">
        <f>_xlfn.IFNA(VLOOKUP($F14,'[1]3.框架内物料'!$A:$E,5,0),"")</f>
        <v>延米</v>
      </c>
      <c r="J14" s="55">
        <f>_xlfn.IFNA(VLOOKUP($F14,'[1]3.框架内物料'!$A:$F,6,0),"")</f>
        <v>636</v>
      </c>
      <c r="K14" s="55">
        <f>_xlfn.IFNA(VLOOKUP($F14,'[2]3.框架内物料'!$A:$F,6,0),"")</f>
        <v>636</v>
      </c>
      <c r="L14" s="34">
        <v>2.8</v>
      </c>
      <c r="M14" s="34">
        <v>2.8</v>
      </c>
      <c r="N14" s="34">
        <v>3</v>
      </c>
      <c r="O14" s="34">
        <v>3</v>
      </c>
      <c r="P14" s="61">
        <f t="shared" si="3"/>
        <v>5342.3999999999987</v>
      </c>
      <c r="Q14" s="61">
        <f t="shared" si="4"/>
        <v>5342.3999999999987</v>
      </c>
      <c r="R14" s="69">
        <f t="shared" si="0"/>
        <v>0</v>
      </c>
      <c r="S14" s="70">
        <v>0.06</v>
      </c>
      <c r="T14" s="70">
        <v>0</v>
      </c>
      <c r="U14" s="282" t="s">
        <v>2417</v>
      </c>
      <c r="V14" s="285"/>
    </row>
    <row r="15" spans="1:22" s="289" customFormat="1" ht="28.5" customHeight="1">
      <c r="A15" s="278" t="s">
        <v>2280</v>
      </c>
      <c r="B15" s="34" t="s">
        <v>2387</v>
      </c>
      <c r="C15" s="279" t="s">
        <v>2395</v>
      </c>
      <c r="D15" s="279" t="s">
        <v>2418</v>
      </c>
      <c r="E15" s="34" t="s">
        <v>2283</v>
      </c>
      <c r="F15" s="280" t="s">
        <v>2419</v>
      </c>
      <c r="G15" s="34" t="s">
        <v>1676</v>
      </c>
      <c r="H15" s="281" t="str">
        <f>_xlfn.IFNA(VLOOKUP($F15,'[1]3.框架内物料'!$A:$E,4,0),"")</f>
        <v>搭建制作-制作-展柜-木制防火板-高度2.4米内，含抽屉、开门</v>
      </c>
      <c r="I15" s="34" t="s">
        <v>141</v>
      </c>
      <c r="J15" s="55">
        <f>_xlfn.IFNA(VLOOKUP($F15,'[1]3.框架内物料'!$A:$F,6,0),"")</f>
        <v>2650</v>
      </c>
      <c r="K15" s="55">
        <f>_xlfn.IFNA(VLOOKUP($F15,'[2]3.框架内物料'!$A:$F,6,0),"")</f>
        <v>2650</v>
      </c>
      <c r="L15" s="34">
        <v>3</v>
      </c>
      <c r="M15" s="34">
        <v>3</v>
      </c>
      <c r="N15" s="34">
        <v>3</v>
      </c>
      <c r="O15" s="34">
        <v>3</v>
      </c>
      <c r="P15" s="61">
        <f t="shared" si="3"/>
        <v>23850</v>
      </c>
      <c r="Q15" s="61">
        <f t="shared" si="4"/>
        <v>23850</v>
      </c>
      <c r="R15" s="69">
        <f t="shared" si="0"/>
        <v>0</v>
      </c>
      <c r="S15" s="70">
        <v>0.06</v>
      </c>
      <c r="T15" s="70">
        <v>0</v>
      </c>
      <c r="U15" s="288" t="s">
        <v>2420</v>
      </c>
      <c r="V15" s="35"/>
    </row>
    <row r="16" spans="1:22" s="240" customFormat="1" ht="24.75" customHeight="1">
      <c r="A16" s="290" t="s">
        <v>2280</v>
      </c>
      <c r="B16" s="291" t="s">
        <v>2387</v>
      </c>
      <c r="C16" s="292" t="s">
        <v>2421</v>
      </c>
      <c r="D16" s="291" t="s">
        <v>2415</v>
      </c>
      <c r="E16" s="291" t="s">
        <v>2283</v>
      </c>
      <c r="F16" s="294" t="s">
        <v>2416</v>
      </c>
      <c r="G16" s="291" t="s">
        <v>748</v>
      </c>
      <c r="H16" s="295" t="str">
        <f>_xlfn.IFNA(VLOOKUP($F16,'[1]3.框架内物料'!$A:$E,4,0),"")</f>
        <v>搭建制作-制作-发光字-树脂发光字-80mm</v>
      </c>
      <c r="I16" s="291" t="s">
        <v>141</v>
      </c>
      <c r="J16" s="97">
        <f>_xlfn.IFNA(VLOOKUP($F16,'[1]3.框架内物料'!$A:$F,6,0),"")</f>
        <v>636</v>
      </c>
      <c r="K16" s="97">
        <f>_xlfn.IFNA(VLOOKUP($F16,'[2]3.框架内物料'!$A:$F,6,0),"")</f>
        <v>636</v>
      </c>
      <c r="L16" s="291">
        <v>2.5</v>
      </c>
      <c r="M16" s="291">
        <v>2.25</v>
      </c>
      <c r="N16" s="291">
        <v>2</v>
      </c>
      <c r="O16" s="291">
        <v>2</v>
      </c>
      <c r="P16" s="296">
        <f t="shared" si="3"/>
        <v>3180</v>
      </c>
      <c r="Q16" s="296">
        <f t="shared" si="4"/>
        <v>2862</v>
      </c>
      <c r="R16" s="221">
        <f t="shared" si="0"/>
        <v>-318</v>
      </c>
      <c r="S16" s="222">
        <v>0.06</v>
      </c>
      <c r="T16" s="222">
        <v>0</v>
      </c>
      <c r="U16" s="239" t="s">
        <v>3155</v>
      </c>
      <c r="V16" s="237"/>
    </row>
    <row r="17" spans="1:22" s="289" customFormat="1" ht="34.049999999999997" customHeight="1">
      <c r="A17" s="278" t="s">
        <v>2280</v>
      </c>
      <c r="B17" s="34" t="s">
        <v>2387</v>
      </c>
      <c r="C17" s="279" t="s">
        <v>2421</v>
      </c>
      <c r="D17" s="279" t="s">
        <v>2415</v>
      </c>
      <c r="E17" s="34" t="s">
        <v>2283</v>
      </c>
      <c r="F17" s="280" t="s">
        <v>2422</v>
      </c>
      <c r="G17" s="34" t="s">
        <v>240</v>
      </c>
      <c r="H17" s="281" t="str">
        <f>_xlfn.IFNA(VLOOKUP($F17,'[1]3.框架内物料'!$A:$E,4,0),"")</f>
        <v>搭建制作-制作-立体雕刻字-亚克力金属拉丝包边(含LED灯珠)--</v>
      </c>
      <c r="I17" s="34" t="s">
        <v>39</v>
      </c>
      <c r="J17" s="55">
        <f>_xlfn.IFNA(VLOOKUP($F17,'[1]3.框架内物料'!$A:$F,6,0),"")</f>
        <v>848</v>
      </c>
      <c r="K17" s="55">
        <f>_xlfn.IFNA(VLOOKUP($F17,'[2]3.框架内物料'!$A:$F,6,0),"")</f>
        <v>848</v>
      </c>
      <c r="L17" s="34">
        <v>6.13</v>
      </c>
      <c r="M17" s="34">
        <v>6.13</v>
      </c>
      <c r="N17" s="34">
        <v>2</v>
      </c>
      <c r="O17" s="34">
        <v>2</v>
      </c>
      <c r="P17" s="61">
        <f t="shared" si="3"/>
        <v>10396.48</v>
      </c>
      <c r="Q17" s="61">
        <f t="shared" si="4"/>
        <v>10396.48</v>
      </c>
      <c r="R17" s="69">
        <f t="shared" si="0"/>
        <v>0</v>
      </c>
      <c r="S17" s="70">
        <v>0.06</v>
      </c>
      <c r="T17" s="70">
        <v>0</v>
      </c>
      <c r="U17" s="288" t="s">
        <v>2423</v>
      </c>
      <c r="V17" s="35"/>
    </row>
    <row r="18" spans="1:22" s="289" customFormat="1" ht="34.049999999999997" customHeight="1">
      <c r="A18" s="278" t="s">
        <v>2280</v>
      </c>
      <c r="B18" s="34" t="s">
        <v>2387</v>
      </c>
      <c r="C18" s="279" t="s">
        <v>2421</v>
      </c>
      <c r="D18" s="279" t="s">
        <v>2424</v>
      </c>
      <c r="E18" s="34" t="s">
        <v>2283</v>
      </c>
      <c r="F18" s="280" t="s">
        <v>2425</v>
      </c>
      <c r="G18" s="34" t="s">
        <v>240</v>
      </c>
      <c r="H18" s="281" t="str">
        <f>_xlfn.IFNA(VLOOKUP($F18,'[1]3.框架内物料'!$A:$E,4,0),"")</f>
        <v>搭建制作-制作-过桥板-过桥板-橡胶过桥板，30-40cm宽</v>
      </c>
      <c r="I18" s="34" t="s">
        <v>39</v>
      </c>
      <c r="J18" s="55">
        <f>_xlfn.IFNA(VLOOKUP($F18,'[1]3.框架内物料'!$A:$F,6,0),"")</f>
        <v>31.8</v>
      </c>
      <c r="K18" s="55">
        <f>_xlfn.IFNA(VLOOKUP($F18,'[2]3.框架内物料'!$A:$F,6,0),"")</f>
        <v>31.8</v>
      </c>
      <c r="L18" s="34">
        <v>5</v>
      </c>
      <c r="M18" s="34">
        <v>5</v>
      </c>
      <c r="N18" s="34">
        <v>1</v>
      </c>
      <c r="O18" s="34">
        <v>1</v>
      </c>
      <c r="P18" s="61">
        <f t="shared" si="3"/>
        <v>159</v>
      </c>
      <c r="Q18" s="61">
        <f t="shared" si="4"/>
        <v>159</v>
      </c>
      <c r="R18" s="69">
        <f t="shared" si="0"/>
        <v>0</v>
      </c>
      <c r="S18" s="70">
        <v>0.06</v>
      </c>
      <c r="T18" s="70">
        <v>0</v>
      </c>
      <c r="U18" s="288" t="s">
        <v>2426</v>
      </c>
      <c r="V18" s="35"/>
    </row>
    <row r="19" spans="1:22" s="289" customFormat="1" ht="34.049999999999997" customHeight="1">
      <c r="A19" s="278" t="s">
        <v>2280</v>
      </c>
      <c r="B19" s="34" t="s">
        <v>2387</v>
      </c>
      <c r="C19" s="279" t="s">
        <v>2421</v>
      </c>
      <c r="D19" s="279" t="s">
        <v>2427</v>
      </c>
      <c r="E19" s="34" t="s">
        <v>2290</v>
      </c>
      <c r="F19" s="280"/>
      <c r="G19" s="34"/>
      <c r="H19" s="281"/>
      <c r="I19" s="34" t="s">
        <v>359</v>
      </c>
      <c r="J19" s="55">
        <f>10*1.06</f>
        <v>10.600000000000001</v>
      </c>
      <c r="K19" s="55">
        <f>10*1.06</f>
        <v>10.600000000000001</v>
      </c>
      <c r="L19" s="34">
        <v>80</v>
      </c>
      <c r="M19" s="34">
        <v>80</v>
      </c>
      <c r="N19" s="34">
        <v>1</v>
      </c>
      <c r="O19" s="34">
        <v>1</v>
      </c>
      <c r="P19" s="61">
        <f t="shared" si="3"/>
        <v>848.00000000000011</v>
      </c>
      <c r="Q19" s="61">
        <f t="shared" si="4"/>
        <v>848.00000000000011</v>
      </c>
      <c r="R19" s="69">
        <f t="shared" si="0"/>
        <v>0</v>
      </c>
      <c r="S19" s="70">
        <v>0.06</v>
      </c>
      <c r="T19" s="70">
        <v>0</v>
      </c>
      <c r="U19" s="288" t="s">
        <v>2428</v>
      </c>
      <c r="V19" s="35"/>
    </row>
    <row r="20" spans="1:22" s="18" customFormat="1" ht="40.049999999999997" customHeight="1">
      <c r="A20" s="278" t="s">
        <v>2280</v>
      </c>
      <c r="B20" s="34" t="s">
        <v>2387</v>
      </c>
      <c r="C20" s="279" t="s">
        <v>2421</v>
      </c>
      <c r="D20" s="279" t="s">
        <v>2429</v>
      </c>
      <c r="E20" s="45" t="s">
        <v>2283</v>
      </c>
      <c r="F20" s="280" t="s">
        <v>2430</v>
      </c>
      <c r="G20" s="34" t="str">
        <f>_xlfn.IFNA(IF(VLOOKUP($F20,'[1]3.框架内物料'!$A:$E,2,0)=0,"请勿填写",VLOOKUP($F20,'[1]3.框架内物料'!$A:$E,2,0)),"")</f>
        <v>M939882649518985217</v>
      </c>
      <c r="H20" s="281" t="str">
        <f>_xlfn.IFNA(VLOOKUP($F20,'[1]3.框架内物料'!$A:$E,4,0),"")</f>
        <v>搭建制作-制作-钢结构-20工字钢--</v>
      </c>
      <c r="I20" s="34" t="str">
        <f>_xlfn.IFNA(VLOOKUP($F20,'[1]3.框架内物料'!$A:$E,5,0),"")</f>
        <v>米</v>
      </c>
      <c r="J20" s="55">
        <f>_xlfn.IFNA(VLOOKUP($F20,'[1]3.框架内物料'!$A:$F,6,0),"")</f>
        <v>209.07</v>
      </c>
      <c r="K20" s="55">
        <f>_xlfn.IFNA(VLOOKUP($F20,'[2]3.框架内物料'!$A:$F,6,0),"")</f>
        <v>209.07</v>
      </c>
      <c r="L20" s="34">
        <v>12</v>
      </c>
      <c r="M20" s="34">
        <v>12</v>
      </c>
      <c r="N20" s="34">
        <v>2</v>
      </c>
      <c r="O20" s="34">
        <v>2</v>
      </c>
      <c r="P20" s="61">
        <f t="shared" si="3"/>
        <v>5017.68</v>
      </c>
      <c r="Q20" s="61">
        <f t="shared" si="4"/>
        <v>5017.68</v>
      </c>
      <c r="R20" s="69">
        <f t="shared" si="0"/>
        <v>0</v>
      </c>
      <c r="S20" s="70">
        <v>0.06</v>
      </c>
      <c r="T20" s="70">
        <v>0</v>
      </c>
      <c r="U20" s="282" t="s">
        <v>2431</v>
      </c>
      <c r="V20" s="35"/>
    </row>
    <row r="21" spans="1:22" s="18" customFormat="1" ht="36" customHeight="1">
      <c r="A21" s="278" t="s">
        <v>2280</v>
      </c>
      <c r="B21" s="34" t="s">
        <v>2387</v>
      </c>
      <c r="C21" s="279" t="s">
        <v>2421</v>
      </c>
      <c r="D21" s="279" t="s">
        <v>2432</v>
      </c>
      <c r="E21" s="45" t="s">
        <v>2283</v>
      </c>
      <c r="F21" s="280" t="s">
        <v>2433</v>
      </c>
      <c r="G21" s="34" t="str">
        <f>_xlfn.IFNA(IF(VLOOKUP($F21,'[1]3.框架内物料'!$A:$E,2,0)=0,"请勿填写",VLOOKUP($F21,'[1]3.框架内物料'!$A:$E,2,0)),"")</f>
        <v>M947580487912964098</v>
      </c>
      <c r="H21" s="281" t="str">
        <f>_xlfn.IFNA(VLOOKUP($F21,'[1]3.框架内物料'!$A:$E,4,0),"")</f>
        <v>搭建制作-制作-钢结构-结构钢板配重-Q215钢板，切割焊接，厚度10mm</v>
      </c>
      <c r="I21" s="34" t="str">
        <f>_xlfn.IFNA(VLOOKUP($F21,'[1]3.框架内物料'!$A:$E,5,0),"")</f>
        <v>平米</v>
      </c>
      <c r="J21" s="55">
        <f>_xlfn.IFNA(VLOOKUP($F21,'[1]3.框架内物料'!$A:$F,6,0),"")</f>
        <v>125</v>
      </c>
      <c r="K21" s="55">
        <f>_xlfn.IFNA(VLOOKUP($F21,'[2]3.框架内物料'!$A:$F,6,0),"")</f>
        <v>125</v>
      </c>
      <c r="L21" s="34">
        <v>2</v>
      </c>
      <c r="M21" s="34">
        <v>2</v>
      </c>
      <c r="N21" s="34">
        <v>2</v>
      </c>
      <c r="O21" s="34">
        <v>2</v>
      </c>
      <c r="P21" s="61">
        <f t="shared" si="3"/>
        <v>500</v>
      </c>
      <c r="Q21" s="61">
        <f t="shared" si="4"/>
        <v>500</v>
      </c>
      <c r="R21" s="69">
        <f t="shared" si="0"/>
        <v>0</v>
      </c>
      <c r="S21" s="70">
        <v>0.06</v>
      </c>
      <c r="T21" s="70">
        <v>0</v>
      </c>
      <c r="U21" s="282" t="s">
        <v>2431</v>
      </c>
      <c r="V21" s="35"/>
    </row>
    <row r="22" spans="1:22" s="18" customFormat="1" ht="21" customHeight="1">
      <c r="A22" s="278" t="s">
        <v>2280</v>
      </c>
      <c r="B22" s="34" t="s">
        <v>2387</v>
      </c>
      <c r="C22" s="279" t="s">
        <v>2421</v>
      </c>
      <c r="D22" s="34" t="s">
        <v>2434</v>
      </c>
      <c r="E22" s="45" t="s">
        <v>2283</v>
      </c>
      <c r="F22" s="280" t="s">
        <v>2397</v>
      </c>
      <c r="G22" s="34" t="str">
        <f>_xlfn.IFNA(IF(VLOOKUP($F22,'[1]3.框架内物料'!$A:$E,2,0)=0,"请勿填写",VLOOKUP($F22,'[1]3.框架内物料'!$A:$E,2,0)),"")</f>
        <v>M947580696835440641</v>
      </c>
      <c r="H22" s="281" t="str">
        <f>_xlfn.IFNA(VLOOKUP($F22,'[1]3.框架内物料'!$A:$E,4,0),"")</f>
        <v>搭建制作-制作-地台结构-地台-木质含龙骨，10-30CM</v>
      </c>
      <c r="I22" s="34" t="str">
        <f>_xlfn.IFNA(VLOOKUP($F22,'[1]3.框架内物料'!$A:$E,5,0),"")</f>
        <v>平米</v>
      </c>
      <c r="J22" s="55">
        <f>_xlfn.IFNA(VLOOKUP($F22,'[1]3.框架内物料'!$A:$F,6,0),"")</f>
        <v>120</v>
      </c>
      <c r="K22" s="55">
        <f>_xlfn.IFNA(VLOOKUP($F22,'[2]3.框架内物料'!$A:$F,6,0),"")</f>
        <v>120</v>
      </c>
      <c r="L22" s="34">
        <v>2</v>
      </c>
      <c r="M22" s="34">
        <v>2</v>
      </c>
      <c r="N22" s="34">
        <v>2</v>
      </c>
      <c r="O22" s="34">
        <v>2</v>
      </c>
      <c r="P22" s="61">
        <f>IFERROR(N22*L22*J22,0)</f>
        <v>480</v>
      </c>
      <c r="Q22" s="61">
        <f t="shared" si="4"/>
        <v>480</v>
      </c>
      <c r="R22" s="69">
        <f t="shared" si="0"/>
        <v>0</v>
      </c>
      <c r="S22" s="70">
        <v>0.06</v>
      </c>
      <c r="T22" s="70">
        <v>0</v>
      </c>
      <c r="U22" s="282" t="s">
        <v>2431</v>
      </c>
      <c r="V22" s="35"/>
    </row>
    <row r="23" spans="1:22" s="18" customFormat="1" ht="27.75">
      <c r="A23" s="278" t="s">
        <v>2280</v>
      </c>
      <c r="B23" s="34" t="s">
        <v>2387</v>
      </c>
      <c r="C23" s="279" t="s">
        <v>2435</v>
      </c>
      <c r="D23" s="34" t="s">
        <v>2435</v>
      </c>
      <c r="E23" s="45" t="s">
        <v>2283</v>
      </c>
      <c r="F23" s="280" t="s">
        <v>2436</v>
      </c>
      <c r="G23" s="34" t="str">
        <f>_xlfn.IFNA(IF(VLOOKUP($F23,'[1]3.框架内物料'!$A:$E,2,0)=0,"请勿填写",VLOOKUP($F23,'[1]3.框架内物料'!$A:$E,2,0)),"")</f>
        <v>M947580468711440385</v>
      </c>
      <c r="H23" s="281" t="str">
        <f>_xlfn.IFNA(VLOOKUP($F23,'[1]3.框架内物料'!$A:$E,4,0),"")</f>
        <v>搭建制作-制作-指引-注水道旗-高度5米，加强铝合金旗杆，5级以上抗风性，双面画面旗帜布120cmx380cm（含30升以上升注水量配重支撑）</v>
      </c>
      <c r="I23" s="34" t="str">
        <f>_xlfn.IFNA(VLOOKUP($F23,'[1]3.框架内物料'!$A:$E,5,0),"")</f>
        <v>个</v>
      </c>
      <c r="J23" s="55">
        <f>_xlfn.IFNA(VLOOKUP($F23,'[1]3.框架内物料'!$A:$F,6,0),"")</f>
        <v>424</v>
      </c>
      <c r="K23" s="55">
        <f>_xlfn.IFNA(VLOOKUP($F23,'[2]3.框架内物料'!$A:$F,6,0),"")</f>
        <v>424</v>
      </c>
      <c r="L23" s="34">
        <v>60</v>
      </c>
      <c r="M23" s="34">
        <v>60</v>
      </c>
      <c r="N23" s="34">
        <v>1</v>
      </c>
      <c r="O23" s="34">
        <v>1</v>
      </c>
      <c r="P23" s="61">
        <f>IFERROR(N23*L23*J23,0)</f>
        <v>25440</v>
      </c>
      <c r="Q23" s="61">
        <f t="shared" si="4"/>
        <v>25440</v>
      </c>
      <c r="R23" s="69">
        <f t="shared" si="0"/>
        <v>0</v>
      </c>
      <c r="S23" s="70">
        <v>0.06</v>
      </c>
      <c r="T23" s="70">
        <v>0</v>
      </c>
      <c r="U23" s="282" t="s">
        <v>2393</v>
      </c>
      <c r="V23" s="35"/>
    </row>
    <row r="24" spans="1:22" s="18" customFormat="1" ht="25.05" customHeight="1">
      <c r="A24" s="278" t="s">
        <v>2280</v>
      </c>
      <c r="B24" s="34" t="s">
        <v>2387</v>
      </c>
      <c r="C24" s="279" t="s">
        <v>2435</v>
      </c>
      <c r="D24" s="34" t="s">
        <v>2437</v>
      </c>
      <c r="E24" s="45" t="s">
        <v>2290</v>
      </c>
      <c r="F24" s="280"/>
      <c r="G24" s="34"/>
      <c r="H24" s="281"/>
      <c r="I24" s="34" t="s">
        <v>49</v>
      </c>
      <c r="J24" s="55">
        <v>200</v>
      </c>
      <c r="K24" s="55">
        <f>1.06*200</f>
        <v>212</v>
      </c>
      <c r="L24" s="34">
        <v>1</v>
      </c>
      <c r="M24" s="34">
        <v>1</v>
      </c>
      <c r="N24" s="34">
        <v>1</v>
      </c>
      <c r="O24" s="34">
        <v>1</v>
      </c>
      <c r="P24" s="61">
        <f>IFERROR(N24*L24*J24,0)</f>
        <v>200</v>
      </c>
      <c r="Q24" s="61">
        <f t="shared" si="4"/>
        <v>212</v>
      </c>
      <c r="R24" s="69">
        <f t="shared" si="0"/>
        <v>12</v>
      </c>
      <c r="S24" s="70">
        <v>0.06</v>
      </c>
      <c r="T24" s="70">
        <v>0</v>
      </c>
      <c r="U24" s="282" t="s">
        <v>2438</v>
      </c>
      <c r="V24" s="35"/>
    </row>
    <row r="25" spans="1:22" s="286" customFormat="1" ht="28.5" customHeight="1">
      <c r="A25" s="278" t="s">
        <v>2280</v>
      </c>
      <c r="B25" s="34" t="s">
        <v>2387</v>
      </c>
      <c r="C25" s="279" t="s">
        <v>2439</v>
      </c>
      <c r="D25" s="34" t="s">
        <v>3178</v>
      </c>
      <c r="E25" s="284" t="s">
        <v>2283</v>
      </c>
      <c r="F25" s="280" t="s">
        <v>2440</v>
      </c>
      <c r="G25" s="34" t="str">
        <f>_xlfn.IFNA(IF(VLOOKUP($F25,'[1]3.框架内物料'!$A:$E,2,0)=0,"请勿填写",VLOOKUP($F25,'[1]3.框架内物料'!$A:$E,2,0)),"")</f>
        <v>M947580670688149506</v>
      </c>
      <c r="H25" s="281" t="str">
        <f>_xlfn.IFNA(VLOOKUP($F25,'[1]3.框架内物料'!$A:$E,4,0),"")</f>
        <v>搭建制作-制作-指引-木质T型-0.8m X 2m，含双面写真、钢板配重</v>
      </c>
      <c r="I25" s="34" t="str">
        <f>_xlfn.IFNA(VLOOKUP($F25,'[1]3.框架内物料'!$A:$E,5,0),"")</f>
        <v>个</v>
      </c>
      <c r="J25" s="55">
        <f>_xlfn.IFNA(VLOOKUP($F25,'[1]3.框架内物料'!$A:$F,6,0),"")</f>
        <v>742</v>
      </c>
      <c r="K25" s="55">
        <f>_xlfn.IFNA(VLOOKUP($F25,'[2]3.框架内物料'!$A:$F,6,0),"")</f>
        <v>742</v>
      </c>
      <c r="L25" s="34">
        <v>3</v>
      </c>
      <c r="M25" s="34">
        <v>3</v>
      </c>
      <c r="N25" s="34">
        <v>1</v>
      </c>
      <c r="O25" s="34">
        <v>1</v>
      </c>
      <c r="P25" s="61">
        <f t="shared" ref="P25:P30" si="5">IFERROR(N25*L25*J25,0)</f>
        <v>2226</v>
      </c>
      <c r="Q25" s="61">
        <f>IFERROR(O25*M25*K25,0)</f>
        <v>2226</v>
      </c>
      <c r="R25" s="69">
        <f t="shared" si="0"/>
        <v>0</v>
      </c>
      <c r="S25" s="70">
        <v>0.06</v>
      </c>
      <c r="T25" s="70">
        <v>0</v>
      </c>
      <c r="U25" s="282" t="s">
        <v>2441</v>
      </c>
      <c r="V25" s="285"/>
    </row>
    <row r="26" spans="1:22" s="286" customFormat="1" ht="28.5" customHeight="1">
      <c r="A26" s="278" t="s">
        <v>2280</v>
      </c>
      <c r="B26" s="34" t="s">
        <v>2387</v>
      </c>
      <c r="C26" s="279" t="s">
        <v>2439</v>
      </c>
      <c r="D26" s="279" t="s">
        <v>2442</v>
      </c>
      <c r="E26" s="284" t="s">
        <v>2290</v>
      </c>
      <c r="F26" s="280"/>
      <c r="G26" s="34" t="str">
        <f>_xlfn.IFNA(IF(VLOOKUP($F26,'[1]3.框架内物料'!$A:$E,2,0)=0,"请勿填写",VLOOKUP($F26,'[1]3.框架内物料'!$A:$E,2,0)),"")</f>
        <v/>
      </c>
      <c r="H26" s="281" t="str">
        <f>_xlfn.IFNA(VLOOKUP($F26,'[1]3.框架内物料'!$A:$E,4,0),"")</f>
        <v/>
      </c>
      <c r="I26" s="34" t="s">
        <v>90</v>
      </c>
      <c r="J26" s="55">
        <f>300*1.06</f>
        <v>318</v>
      </c>
      <c r="K26" s="55">
        <f>300*1.06</f>
        <v>318</v>
      </c>
      <c r="L26" s="34">
        <v>41</v>
      </c>
      <c r="M26" s="34">
        <v>41</v>
      </c>
      <c r="N26" s="34">
        <v>1</v>
      </c>
      <c r="O26" s="34">
        <v>1</v>
      </c>
      <c r="P26" s="61">
        <f t="shared" si="5"/>
        <v>13038</v>
      </c>
      <c r="Q26" s="61">
        <f t="shared" si="4"/>
        <v>13038</v>
      </c>
      <c r="R26" s="69">
        <f t="shared" si="0"/>
        <v>0</v>
      </c>
      <c r="S26" s="70">
        <v>0.06</v>
      </c>
      <c r="T26" s="70">
        <v>0</v>
      </c>
      <c r="U26" s="282" t="s">
        <v>3183</v>
      </c>
      <c r="V26" s="285"/>
    </row>
    <row r="27" spans="1:22" s="18" customFormat="1" ht="28.5" customHeight="1">
      <c r="A27" s="278" t="s">
        <v>2292</v>
      </c>
      <c r="B27" s="34" t="s">
        <v>2387</v>
      </c>
      <c r="C27" s="279" t="s">
        <v>2292</v>
      </c>
      <c r="D27" s="34" t="s">
        <v>2444</v>
      </c>
      <c r="E27" s="45" t="s">
        <v>2283</v>
      </c>
      <c r="F27" s="280" t="s">
        <v>2445</v>
      </c>
      <c r="G27" s="34" t="str">
        <f>_xlfn.IFNA(IF(VLOOKUP($F27,'[1]3.框架内物料'!$A:$E,2,0)=0,"请勿填写",VLOOKUP($F27,'[1]3.框架内物料'!$A:$E,2,0)),"")</f>
        <v>M939882573888528385</v>
      </c>
      <c r="H27" s="281" t="str">
        <f>_xlfn.IFNA(VLOOKUP($F27,'[1]3.框架内物料'!$A:$E,4,0),"")</f>
        <v>第三方人员类-搭建人员-搭建人员-搭建人工-人员劳务费，每场不超过8小时</v>
      </c>
      <c r="I27" s="34" t="str">
        <f>_xlfn.IFNA(VLOOKUP($F27,'[1]3.框架内物料'!$A:$E,5,0),"")</f>
        <v>人/场</v>
      </c>
      <c r="J27" s="55">
        <f>_xlfn.IFNA(VLOOKUP($F27,'[1]3.框架内物料'!$A:$F,6,0),"")</f>
        <v>316.67</v>
      </c>
      <c r="K27" s="55">
        <f>_xlfn.IFNA(VLOOKUP($F27,'[2]3.框架内物料'!$A:$F,6,0),"")</f>
        <v>316.67</v>
      </c>
      <c r="L27" s="34">
        <v>12</v>
      </c>
      <c r="M27" s="34">
        <v>22</v>
      </c>
      <c r="N27" s="34">
        <v>2</v>
      </c>
      <c r="O27" s="34">
        <v>1</v>
      </c>
      <c r="P27" s="61">
        <f t="shared" si="5"/>
        <v>7600.08</v>
      </c>
      <c r="Q27" s="61">
        <f t="shared" si="4"/>
        <v>6966.7400000000007</v>
      </c>
      <c r="R27" s="69">
        <f t="shared" si="0"/>
        <v>-633.33999999999924</v>
      </c>
      <c r="S27" s="70">
        <v>0.06</v>
      </c>
      <c r="T27" s="70">
        <v>0</v>
      </c>
      <c r="U27" s="282" t="s">
        <v>3181</v>
      </c>
      <c r="V27" s="35"/>
    </row>
    <row r="28" spans="1:22" s="18" customFormat="1" ht="28.5" customHeight="1">
      <c r="A28" s="278" t="s">
        <v>2292</v>
      </c>
      <c r="B28" s="34" t="s">
        <v>2387</v>
      </c>
      <c r="C28" s="279" t="s">
        <v>2292</v>
      </c>
      <c r="D28" s="34" t="s">
        <v>2446</v>
      </c>
      <c r="E28" s="45" t="s">
        <v>2283</v>
      </c>
      <c r="F28" s="280" t="s">
        <v>2447</v>
      </c>
      <c r="G28" s="34" t="str">
        <f>_xlfn.IFNA(IF(VLOOKUP($F28,'[1]3.框架内物料'!$A:$E,2,0)=0,"请勿填写",VLOOKUP($F28,'[1]3.框架内物料'!$A:$E,2,0)),"")</f>
        <v>M939882695396282370</v>
      </c>
      <c r="H28" s="281" t="str">
        <f>_xlfn.IFNA(VLOOKUP($F28,'[1]3.框架内物料'!$A:$E,4,0),"")</f>
        <v>第三方人员类-搭建人员-搭建人员-美工-人员劳务费。不含住宿、交通、补贴等费用，白天8小时/班，夜间4小时/班</v>
      </c>
      <c r="I28" s="34" t="str">
        <f>_xlfn.IFNA(VLOOKUP($F28,'[1]3.框架内物料'!$A:$E,5,0),"")</f>
        <v>人/场</v>
      </c>
      <c r="J28" s="55">
        <f>_xlfn.IFNA(VLOOKUP($F28,'[1]3.框架内物料'!$A:$F,6,0),"")</f>
        <v>318</v>
      </c>
      <c r="K28" s="55">
        <f>_xlfn.IFNA(VLOOKUP($F28,'[2]3.框架内物料'!$A:$F,6,0),"")</f>
        <v>318</v>
      </c>
      <c r="L28" s="34">
        <v>3</v>
      </c>
      <c r="M28" s="34">
        <v>3</v>
      </c>
      <c r="N28" s="34">
        <v>1</v>
      </c>
      <c r="O28" s="34">
        <v>1</v>
      </c>
      <c r="P28" s="61">
        <f t="shared" si="5"/>
        <v>954</v>
      </c>
      <c r="Q28" s="61">
        <f t="shared" si="4"/>
        <v>954</v>
      </c>
      <c r="R28" s="69">
        <f t="shared" si="0"/>
        <v>0</v>
      </c>
      <c r="S28" s="70">
        <v>0.06</v>
      </c>
      <c r="T28" s="70">
        <v>0</v>
      </c>
      <c r="U28" s="282" t="s">
        <v>3182</v>
      </c>
      <c r="V28" s="35"/>
    </row>
    <row r="29" spans="1:22" s="286" customFormat="1" ht="28.5" customHeight="1">
      <c r="A29" s="278" t="s">
        <v>2292</v>
      </c>
      <c r="B29" s="34" t="s">
        <v>2387</v>
      </c>
      <c r="C29" s="279" t="s">
        <v>2292</v>
      </c>
      <c r="D29" s="34" t="s">
        <v>2448</v>
      </c>
      <c r="E29" s="284" t="s">
        <v>2283</v>
      </c>
      <c r="F29" s="280" t="s">
        <v>2449</v>
      </c>
      <c r="G29" s="34" t="str">
        <f>_xlfn.IFNA(IF(VLOOKUP($F29,'[1]3.框架内物料'!$A:$E,2,0)=0,"请勿填写",VLOOKUP($F29,'[1]3.框架内物料'!$A:$E,2,0)),"")</f>
        <v>M939882681055956993</v>
      </c>
      <c r="H29" s="281" t="str">
        <f>_xlfn.IFNA(VLOOKUP($F29,'[1]3.框架内物料'!$A:$E,4,0),"")</f>
        <v>第三方人员类-搭建人员-搭建人员-电工-人员劳务费。不含住宿、交通、补贴等费用，白天8小时/班，夜间4小时/班</v>
      </c>
      <c r="I29" s="34" t="str">
        <f>_xlfn.IFNA(VLOOKUP($F29,'[1]3.框架内物料'!$A:$E,5,0),"")</f>
        <v>人/场</v>
      </c>
      <c r="J29" s="55">
        <f>_xlfn.IFNA(VLOOKUP($F29,'[1]3.框架内物料'!$A:$F,6,0),"")</f>
        <v>424</v>
      </c>
      <c r="K29" s="55">
        <f>_xlfn.IFNA(VLOOKUP($F29,'[2]3.框架内物料'!$A:$F,6,0),"")</f>
        <v>424</v>
      </c>
      <c r="L29" s="34">
        <v>1</v>
      </c>
      <c r="M29" s="34">
        <v>1</v>
      </c>
      <c r="N29" s="34">
        <v>2</v>
      </c>
      <c r="O29" s="34">
        <v>2</v>
      </c>
      <c r="P29" s="61">
        <f t="shared" si="5"/>
        <v>848</v>
      </c>
      <c r="Q29" s="61">
        <f t="shared" si="4"/>
        <v>848</v>
      </c>
      <c r="R29" s="69">
        <f t="shared" si="0"/>
        <v>0</v>
      </c>
      <c r="S29" s="70">
        <v>0.06</v>
      </c>
      <c r="T29" s="70">
        <v>0</v>
      </c>
      <c r="U29" s="282" t="s">
        <v>2443</v>
      </c>
      <c r="V29" s="285"/>
    </row>
    <row r="30" spans="1:22" s="286" customFormat="1" ht="28.5" customHeight="1">
      <c r="A30" s="278" t="s">
        <v>2280</v>
      </c>
      <c r="B30" s="34" t="s">
        <v>2387</v>
      </c>
      <c r="C30" s="278" t="s">
        <v>2280</v>
      </c>
      <c r="D30" s="279" t="s">
        <v>2450</v>
      </c>
      <c r="E30" s="284" t="s">
        <v>2283</v>
      </c>
      <c r="F30" s="280" t="s">
        <v>2451</v>
      </c>
      <c r="G30" s="34" t="str">
        <f>_xlfn.IFNA(IF(VLOOKUP($F30,'[1]3.框架内物料'!$A:$E,2,0)=0,"请勿填写",VLOOKUP($F30,'[1]3.框架内物料'!$A:$E,2,0)),"")</f>
        <v>M939882570881212418</v>
      </c>
      <c r="H30" s="281" t="str">
        <f>_xlfn.IFNA(VLOOKUP($F30,'[1]3.框架内物料'!$A:$E,4,0),"")</f>
        <v>搭建制作-车辆-车辆物流-货车-市内运输-4.2m 货车，距离30km内</v>
      </c>
      <c r="I30" s="34" t="str">
        <f>_xlfn.IFNA(VLOOKUP($F30,'[1]3.框架内物料'!$A:$E,5,0),"")</f>
        <v>车次</v>
      </c>
      <c r="J30" s="55">
        <f>_xlfn.IFNA(VLOOKUP($F30,'[1]3.框架内物料'!$A:$F,6,0),"")</f>
        <v>833.33</v>
      </c>
      <c r="K30" s="55">
        <f>_xlfn.IFNA(VLOOKUP($F30,'[2]3.框架内物料'!$A:$F,6,0),"")</f>
        <v>833.33</v>
      </c>
      <c r="L30" s="34">
        <v>3</v>
      </c>
      <c r="M30" s="34">
        <v>3</v>
      </c>
      <c r="N30" s="34">
        <v>2</v>
      </c>
      <c r="O30" s="34">
        <v>2</v>
      </c>
      <c r="P30" s="61">
        <f t="shared" si="5"/>
        <v>4999.9800000000005</v>
      </c>
      <c r="Q30" s="61">
        <f t="shared" si="4"/>
        <v>4999.9800000000005</v>
      </c>
      <c r="R30" s="69">
        <f t="shared" si="0"/>
        <v>0</v>
      </c>
      <c r="S30" s="70">
        <v>0.06</v>
      </c>
      <c r="T30" s="70">
        <v>0</v>
      </c>
      <c r="U30" s="282" t="s">
        <v>2443</v>
      </c>
      <c r="V30" s="285"/>
    </row>
    <row r="31" spans="1:22" s="19" customFormat="1" ht="24.75" customHeight="1">
      <c r="A31" s="278" t="s">
        <v>2280</v>
      </c>
      <c r="B31" s="34" t="s">
        <v>2387</v>
      </c>
      <c r="C31" s="279" t="s">
        <v>2452</v>
      </c>
      <c r="D31" s="279" t="s">
        <v>3184</v>
      </c>
      <c r="E31" s="34" t="s">
        <v>2290</v>
      </c>
      <c r="F31" s="283"/>
      <c r="G31" s="34" t="s">
        <v>2453</v>
      </c>
      <c r="H31" s="299" t="s">
        <v>2454</v>
      </c>
      <c r="I31" s="34" t="s">
        <v>196</v>
      </c>
      <c r="J31" s="55">
        <f>15*1.06</f>
        <v>15.9</v>
      </c>
      <c r="K31" s="55">
        <v>15.9</v>
      </c>
      <c r="L31" s="34">
        <v>40</v>
      </c>
      <c r="M31" s="34">
        <v>40</v>
      </c>
      <c r="N31" s="34">
        <v>1</v>
      </c>
      <c r="O31" s="34">
        <v>1</v>
      </c>
      <c r="P31" s="61">
        <f t="shared" ref="P31:P39" si="6">IFERROR(N31*L31*J31,0)</f>
        <v>636</v>
      </c>
      <c r="Q31" s="61">
        <f t="shared" si="4"/>
        <v>636</v>
      </c>
      <c r="R31" s="69">
        <f t="shared" si="0"/>
        <v>0</v>
      </c>
      <c r="S31" s="70">
        <v>0.06</v>
      </c>
      <c r="T31" s="70">
        <v>0</v>
      </c>
      <c r="U31" s="300" t="s">
        <v>2455</v>
      </c>
      <c r="V31" s="35"/>
    </row>
    <row r="32" spans="1:22" s="19" customFormat="1" ht="24.75" customHeight="1">
      <c r="A32" s="278" t="s">
        <v>2280</v>
      </c>
      <c r="B32" s="34" t="s">
        <v>2387</v>
      </c>
      <c r="C32" s="279" t="s">
        <v>2452</v>
      </c>
      <c r="D32" s="279" t="s">
        <v>2452</v>
      </c>
      <c r="E32" s="34" t="s">
        <v>2290</v>
      </c>
      <c r="F32" s="283"/>
      <c r="G32" s="34" t="s">
        <v>2453</v>
      </c>
      <c r="H32" s="299" t="s">
        <v>2456</v>
      </c>
      <c r="I32" s="34" t="s">
        <v>196</v>
      </c>
      <c r="J32" s="55">
        <f>10*1.06</f>
        <v>10.600000000000001</v>
      </c>
      <c r="K32" s="55">
        <v>10.600000000000001</v>
      </c>
      <c r="L32" s="34">
        <v>90</v>
      </c>
      <c r="M32" s="34">
        <v>90</v>
      </c>
      <c r="N32" s="34">
        <v>1</v>
      </c>
      <c r="O32" s="34">
        <v>1</v>
      </c>
      <c r="P32" s="61">
        <f t="shared" si="6"/>
        <v>954.00000000000011</v>
      </c>
      <c r="Q32" s="61">
        <f t="shared" si="4"/>
        <v>954.00000000000011</v>
      </c>
      <c r="R32" s="69">
        <f t="shared" si="0"/>
        <v>0</v>
      </c>
      <c r="S32" s="70">
        <v>0.06</v>
      </c>
      <c r="T32" s="70">
        <v>0</v>
      </c>
      <c r="U32" s="300" t="s">
        <v>2457</v>
      </c>
      <c r="V32" s="35"/>
    </row>
    <row r="33" spans="1:22" s="19" customFormat="1" ht="24.75" customHeight="1">
      <c r="A33" s="278" t="s">
        <v>2280</v>
      </c>
      <c r="B33" s="34" t="s">
        <v>2387</v>
      </c>
      <c r="C33" s="279" t="s">
        <v>2452</v>
      </c>
      <c r="D33" s="279" t="s">
        <v>2458</v>
      </c>
      <c r="E33" s="34" t="s">
        <v>2290</v>
      </c>
      <c r="F33" s="283"/>
      <c r="G33" s="34" t="s">
        <v>2453</v>
      </c>
      <c r="H33" s="299" t="s">
        <v>2459</v>
      </c>
      <c r="I33" s="34" t="s">
        <v>196</v>
      </c>
      <c r="J33" s="55">
        <f>15*1.06</f>
        <v>15.9</v>
      </c>
      <c r="K33" s="55">
        <v>15.9</v>
      </c>
      <c r="L33" s="34">
        <v>74</v>
      </c>
      <c r="M33" s="34">
        <v>74</v>
      </c>
      <c r="N33" s="34">
        <v>1</v>
      </c>
      <c r="O33" s="34">
        <v>1</v>
      </c>
      <c r="P33" s="61">
        <f t="shared" si="6"/>
        <v>1176.6000000000001</v>
      </c>
      <c r="Q33" s="61">
        <f t="shared" si="4"/>
        <v>1176.6000000000001</v>
      </c>
      <c r="R33" s="69">
        <f t="shared" si="0"/>
        <v>0</v>
      </c>
      <c r="S33" s="70">
        <v>0.06</v>
      </c>
      <c r="T33" s="70">
        <v>0</v>
      </c>
      <c r="U33" s="300" t="s">
        <v>2460</v>
      </c>
      <c r="V33" s="35"/>
    </row>
    <row r="34" spans="1:22" s="18" customFormat="1" ht="37.5" customHeight="1">
      <c r="A34" s="278" t="s">
        <v>2280</v>
      </c>
      <c r="B34" s="34" t="s">
        <v>2387</v>
      </c>
      <c r="C34" s="279" t="s">
        <v>2464</v>
      </c>
      <c r="D34" s="34" t="s">
        <v>2465</v>
      </c>
      <c r="E34" s="45" t="s">
        <v>2290</v>
      </c>
      <c r="F34" s="283"/>
      <c r="G34" s="34"/>
      <c r="H34" s="297" t="s">
        <v>3186</v>
      </c>
      <c r="I34" s="34" t="s">
        <v>90</v>
      </c>
      <c r="J34" s="55">
        <f>1.06*280</f>
        <v>296.8</v>
      </c>
      <c r="K34" s="55">
        <f>1.06*280</f>
        <v>296.8</v>
      </c>
      <c r="L34" s="34">
        <v>6</v>
      </c>
      <c r="M34" s="34">
        <v>6</v>
      </c>
      <c r="N34" s="34">
        <v>1</v>
      </c>
      <c r="O34" s="34">
        <v>1</v>
      </c>
      <c r="P34" s="61">
        <f t="shared" si="6"/>
        <v>1780.8000000000002</v>
      </c>
      <c r="Q34" s="61">
        <f t="shared" si="4"/>
        <v>1780.8000000000002</v>
      </c>
      <c r="R34" s="69">
        <f t="shared" ref="R34" si="7">Q34-P34</f>
        <v>0</v>
      </c>
      <c r="S34" s="70">
        <v>0.06</v>
      </c>
      <c r="T34" s="70">
        <v>0</v>
      </c>
      <c r="U34" s="301" t="s">
        <v>2466</v>
      </c>
      <c r="V34" s="35"/>
    </row>
    <row r="35" spans="1:22" s="20" customFormat="1" ht="24.75" customHeight="1">
      <c r="A35" s="278" t="s">
        <v>2280</v>
      </c>
      <c r="B35" s="34" t="s">
        <v>2387</v>
      </c>
      <c r="C35" s="278" t="s">
        <v>2473</v>
      </c>
      <c r="D35" s="278" t="s">
        <v>3190</v>
      </c>
      <c r="E35" s="34" t="s">
        <v>2290</v>
      </c>
      <c r="F35" s="278"/>
      <c r="G35" s="300"/>
      <c r="H35" s="300" t="s">
        <v>3189</v>
      </c>
      <c r="I35" s="278" t="s">
        <v>90</v>
      </c>
      <c r="J35" s="55">
        <f>15*1.06</f>
        <v>15.9</v>
      </c>
      <c r="K35" s="55">
        <v>15.9</v>
      </c>
      <c r="L35" s="278">
        <v>3</v>
      </c>
      <c r="M35" s="34">
        <v>3</v>
      </c>
      <c r="N35" s="278">
        <v>1</v>
      </c>
      <c r="O35" s="34">
        <v>1</v>
      </c>
      <c r="P35" s="61">
        <f t="shared" si="6"/>
        <v>47.7</v>
      </c>
      <c r="Q35" s="61">
        <f t="shared" si="4"/>
        <v>47.7</v>
      </c>
      <c r="R35" s="69">
        <f t="shared" ref="R35:R52" si="8">Q35-P35</f>
        <v>0</v>
      </c>
      <c r="S35" s="70">
        <v>0.06</v>
      </c>
      <c r="T35" s="70">
        <v>0</v>
      </c>
      <c r="U35" s="300" t="s">
        <v>3194</v>
      </c>
      <c r="V35" s="278"/>
    </row>
    <row r="36" spans="1:22" s="20" customFormat="1" ht="24.75" customHeight="1">
      <c r="A36" s="278" t="s">
        <v>2280</v>
      </c>
      <c r="B36" s="34" t="s">
        <v>2387</v>
      </c>
      <c r="C36" s="278" t="s">
        <v>2473</v>
      </c>
      <c r="D36" s="278" t="s">
        <v>3196</v>
      </c>
      <c r="E36" s="34" t="s">
        <v>2290</v>
      </c>
      <c r="F36" s="278"/>
      <c r="G36" s="300"/>
      <c r="H36" s="300" t="s">
        <v>3189</v>
      </c>
      <c r="I36" s="278" t="s">
        <v>90</v>
      </c>
      <c r="J36" s="55">
        <v>0</v>
      </c>
      <c r="K36" s="55">
        <v>15.9</v>
      </c>
      <c r="L36" s="278">
        <v>0</v>
      </c>
      <c r="M36" s="34">
        <v>6</v>
      </c>
      <c r="N36" s="278">
        <v>0</v>
      </c>
      <c r="O36" s="34">
        <v>1</v>
      </c>
      <c r="P36" s="61">
        <f t="shared" ref="P36" si="9">IFERROR(N36*L36*J36,0)</f>
        <v>0</v>
      </c>
      <c r="Q36" s="61">
        <f t="shared" ref="Q36" si="10">IFERROR(O36*M36*K36,0)</f>
        <v>95.4</v>
      </c>
      <c r="R36" s="69">
        <f t="shared" ref="R36" si="11">Q36-P36</f>
        <v>95.4</v>
      </c>
      <c r="S36" s="70">
        <v>0.06</v>
      </c>
      <c r="T36" s="70">
        <v>0</v>
      </c>
      <c r="U36" s="300" t="s">
        <v>3195</v>
      </c>
      <c r="V36" s="278"/>
    </row>
    <row r="37" spans="1:22" s="286" customFormat="1" ht="26" customHeight="1">
      <c r="A37" s="285" t="s">
        <v>2280</v>
      </c>
      <c r="B37" s="34" t="s">
        <v>2387</v>
      </c>
      <c r="C37" s="279" t="s">
        <v>2474</v>
      </c>
      <c r="D37" s="279" t="s">
        <v>2474</v>
      </c>
      <c r="E37" s="284" t="s">
        <v>2290</v>
      </c>
      <c r="F37" s="302"/>
      <c r="G37" s="284" t="str">
        <f>_xlfn.IFNA(IF(VLOOKUP($F37,'[3]3.框架内物料'!$A:$E,2,0)=0,"请勿填写",VLOOKUP($F37,'[3]3.框架内物料'!$A:$E,2,0)),"")</f>
        <v/>
      </c>
      <c r="H37" s="303" t="s">
        <v>3192</v>
      </c>
      <c r="I37" s="284" t="s">
        <v>196</v>
      </c>
      <c r="J37" s="304">
        <f>1.06*5</f>
        <v>5.3000000000000007</v>
      </c>
      <c r="K37" s="55">
        <v>5.3000000000000007</v>
      </c>
      <c r="L37" s="284">
        <v>100</v>
      </c>
      <c r="M37" s="284">
        <v>100</v>
      </c>
      <c r="N37" s="284">
        <v>1</v>
      </c>
      <c r="O37" s="284">
        <v>1</v>
      </c>
      <c r="P37" s="61">
        <f t="shared" si="6"/>
        <v>530.00000000000011</v>
      </c>
      <c r="Q37" s="61">
        <f t="shared" si="4"/>
        <v>530.00000000000011</v>
      </c>
      <c r="R37" s="305">
        <f t="shared" si="8"/>
        <v>0</v>
      </c>
      <c r="S37" s="70">
        <v>0.06</v>
      </c>
      <c r="T37" s="70">
        <v>0</v>
      </c>
      <c r="U37" s="300" t="s">
        <v>2468</v>
      </c>
      <c r="V37" s="285"/>
    </row>
    <row r="38" spans="1:22" s="286" customFormat="1" ht="26" customHeight="1">
      <c r="A38" s="285" t="s">
        <v>2280</v>
      </c>
      <c r="B38" s="34" t="s">
        <v>2387</v>
      </c>
      <c r="C38" s="279" t="s">
        <v>2474</v>
      </c>
      <c r="D38" s="279" t="s">
        <v>2474</v>
      </c>
      <c r="E38" s="284" t="s">
        <v>2290</v>
      </c>
      <c r="F38" s="302"/>
      <c r="G38" s="284" t="str">
        <f>_xlfn.IFNA(IF(VLOOKUP($F38,'[3]3.框架内物料'!$A:$E,2,0)=0,"请勿填写",VLOOKUP($F38,'[3]3.框架内物料'!$A:$E,2,0)),"")</f>
        <v/>
      </c>
      <c r="H38" s="303" t="s">
        <v>3191</v>
      </c>
      <c r="I38" s="284" t="s">
        <v>196</v>
      </c>
      <c r="J38" s="304">
        <f>1.06*8</f>
        <v>8.48</v>
      </c>
      <c r="K38" s="55">
        <v>8.48</v>
      </c>
      <c r="L38" s="284">
        <v>1200</v>
      </c>
      <c r="M38" s="284">
        <v>1200</v>
      </c>
      <c r="N38" s="284">
        <v>1</v>
      </c>
      <c r="O38" s="284">
        <v>1</v>
      </c>
      <c r="P38" s="61">
        <f t="shared" si="6"/>
        <v>10176</v>
      </c>
      <c r="Q38" s="61">
        <f t="shared" si="4"/>
        <v>10176</v>
      </c>
      <c r="R38" s="305">
        <f t="shared" si="8"/>
        <v>0</v>
      </c>
      <c r="S38" s="70">
        <v>0.06</v>
      </c>
      <c r="T38" s="70">
        <v>0</v>
      </c>
      <c r="U38" s="300" t="s">
        <v>2468</v>
      </c>
      <c r="V38" s="285"/>
    </row>
    <row r="39" spans="1:22" s="286" customFormat="1" ht="25.9" customHeight="1">
      <c r="A39" s="285" t="s">
        <v>2280</v>
      </c>
      <c r="B39" s="34" t="s">
        <v>2387</v>
      </c>
      <c r="C39" s="279" t="s">
        <v>2475</v>
      </c>
      <c r="D39" s="279" t="s">
        <v>2476</v>
      </c>
      <c r="E39" s="284" t="s">
        <v>2290</v>
      </c>
      <c r="F39" s="302"/>
      <c r="G39" s="284" t="str">
        <f>_xlfn.IFNA(IF(VLOOKUP($F39,'[3]3.框架内物料'!$A:$E,2,0)=0,"请勿填写",VLOOKUP($F39,'[3]3.框架内物料'!$A:$E,2,0)),"")</f>
        <v/>
      </c>
      <c r="H39" s="303" t="s">
        <v>2477</v>
      </c>
      <c r="I39" s="284" t="s">
        <v>196</v>
      </c>
      <c r="J39" s="304">
        <f>1.06*15</f>
        <v>15.9</v>
      </c>
      <c r="K39" s="55">
        <v>15.9</v>
      </c>
      <c r="L39" s="284">
        <v>120</v>
      </c>
      <c r="M39" s="284">
        <v>120</v>
      </c>
      <c r="N39" s="284">
        <v>1</v>
      </c>
      <c r="O39" s="284">
        <v>1</v>
      </c>
      <c r="P39" s="61">
        <f t="shared" si="6"/>
        <v>1908</v>
      </c>
      <c r="Q39" s="61">
        <f t="shared" si="4"/>
        <v>1908</v>
      </c>
      <c r="R39" s="305">
        <f t="shared" si="8"/>
        <v>0</v>
      </c>
      <c r="S39" s="70">
        <v>0.06</v>
      </c>
      <c r="T39" s="70">
        <v>0</v>
      </c>
      <c r="U39" s="306" t="s">
        <v>2468</v>
      </c>
      <c r="V39" s="285"/>
    </row>
    <row r="40" spans="1:22" s="286" customFormat="1" ht="26" customHeight="1">
      <c r="A40" s="285" t="s">
        <v>2280</v>
      </c>
      <c r="B40" s="34" t="s">
        <v>2387</v>
      </c>
      <c r="C40" s="279" t="s">
        <v>2481</v>
      </c>
      <c r="D40" s="279" t="s">
        <v>2482</v>
      </c>
      <c r="E40" s="284" t="s">
        <v>2290</v>
      </c>
      <c r="F40" s="302"/>
      <c r="G40" s="284" t="str">
        <f>_xlfn.IFNA(IF(VLOOKUP($F40,'[3]3.框架内物料'!$A:$E,2,0)=0,"请勿填写",VLOOKUP($F40,'[3]3.框架内物料'!$A:$E,2,0)),"")</f>
        <v/>
      </c>
      <c r="H40" s="303" t="s">
        <v>3193</v>
      </c>
      <c r="I40" s="284" t="s">
        <v>196</v>
      </c>
      <c r="J40" s="304">
        <f>1.06*5</f>
        <v>5.3000000000000007</v>
      </c>
      <c r="K40" s="55">
        <v>5.3000000000000007</v>
      </c>
      <c r="L40" s="284">
        <v>30</v>
      </c>
      <c r="M40" s="284">
        <v>30</v>
      </c>
      <c r="N40" s="284">
        <v>1</v>
      </c>
      <c r="O40" s="284">
        <v>1</v>
      </c>
      <c r="P40" s="307">
        <f t="shared" ref="P40:P52" si="12">IFERROR(N40*L40*J40,0)</f>
        <v>159.00000000000003</v>
      </c>
      <c r="Q40" s="61">
        <f t="shared" si="4"/>
        <v>159.00000000000003</v>
      </c>
      <c r="R40" s="305">
        <f t="shared" si="8"/>
        <v>0</v>
      </c>
      <c r="S40" s="70">
        <v>0.06</v>
      </c>
      <c r="T40" s="70">
        <v>0</v>
      </c>
      <c r="U40" s="306" t="s">
        <v>2480</v>
      </c>
      <c r="V40" s="285"/>
    </row>
    <row r="41" spans="1:22" s="286" customFormat="1" ht="25.9" customHeight="1">
      <c r="A41" s="285" t="s">
        <v>2280</v>
      </c>
      <c r="B41" s="34" t="s">
        <v>2387</v>
      </c>
      <c r="C41" s="279" t="s">
        <v>3197</v>
      </c>
      <c r="D41" s="279" t="s">
        <v>3198</v>
      </c>
      <c r="E41" s="284" t="s">
        <v>2290</v>
      </c>
      <c r="F41" s="302"/>
      <c r="G41" s="284" t="str">
        <f>_xlfn.IFNA(IF(VLOOKUP($F41,'[3]3.框架内物料'!$A:$E,2,0)=0,"请勿填写",VLOOKUP($F41,'[3]3.框架内物料'!$A:$E,2,0)),"")</f>
        <v/>
      </c>
      <c r="H41" s="303" t="s">
        <v>3199</v>
      </c>
      <c r="I41" s="284" t="s">
        <v>196</v>
      </c>
      <c r="J41" s="304">
        <v>0</v>
      </c>
      <c r="K41" s="55">
        <v>5.3000000000000007</v>
      </c>
      <c r="L41" s="284">
        <v>0</v>
      </c>
      <c r="M41" s="284">
        <v>30</v>
      </c>
      <c r="N41" s="284">
        <v>0</v>
      </c>
      <c r="O41" s="284">
        <v>1</v>
      </c>
      <c r="P41" s="307">
        <f t="shared" ref="P41" si="13">IFERROR(N41*L41*J41,0)</f>
        <v>0</v>
      </c>
      <c r="Q41" s="61">
        <f t="shared" ref="Q41" si="14">IFERROR(O41*M41*K41,0)</f>
        <v>159.00000000000003</v>
      </c>
      <c r="R41" s="305">
        <f t="shared" ref="R41" si="15">Q41-P41</f>
        <v>159.00000000000003</v>
      </c>
      <c r="S41" s="70">
        <v>0.06</v>
      </c>
      <c r="T41" s="70">
        <v>0</v>
      </c>
      <c r="U41" s="306" t="s">
        <v>2480</v>
      </c>
      <c r="V41" s="285"/>
    </row>
    <row r="42" spans="1:22" s="19" customFormat="1" ht="24.75" customHeight="1">
      <c r="A42" s="278" t="s">
        <v>2280</v>
      </c>
      <c r="B42" s="34" t="s">
        <v>2387</v>
      </c>
      <c r="C42" s="279" t="s">
        <v>2461</v>
      </c>
      <c r="D42" s="279" t="s">
        <v>2461</v>
      </c>
      <c r="E42" s="34" t="s">
        <v>2283</v>
      </c>
      <c r="F42" s="283" t="s">
        <v>2462</v>
      </c>
      <c r="G42" s="34" t="s">
        <v>443</v>
      </c>
      <c r="H42" s="297" t="s">
        <v>444</v>
      </c>
      <c r="I42" s="34" t="s">
        <v>39</v>
      </c>
      <c r="J42" s="55">
        <v>50.88</v>
      </c>
      <c r="K42" s="55">
        <f>_xlfn.IFNA(VLOOKUP($F42,'[2]3.框架内物料'!$A:$F,6,0),"")</f>
        <v>50.88</v>
      </c>
      <c r="L42" s="34">
        <v>56</v>
      </c>
      <c r="M42" s="34">
        <v>56</v>
      </c>
      <c r="N42" s="34">
        <v>1</v>
      </c>
      <c r="O42" s="34">
        <v>1</v>
      </c>
      <c r="P42" s="61">
        <f t="shared" ref="P42:Q46" si="16">IFERROR(N42*L42*J42,0)</f>
        <v>2849.28</v>
      </c>
      <c r="Q42" s="61">
        <f t="shared" si="16"/>
        <v>2849.28</v>
      </c>
      <c r="R42" s="69">
        <f>Q42-P42</f>
        <v>0</v>
      </c>
      <c r="S42" s="70">
        <v>0.06</v>
      </c>
      <c r="T42" s="70">
        <v>0</v>
      </c>
      <c r="U42" s="288" t="s">
        <v>2463</v>
      </c>
      <c r="V42" s="35"/>
    </row>
    <row r="43" spans="1:22" s="286" customFormat="1" ht="26" customHeight="1">
      <c r="A43" s="285" t="s">
        <v>2280</v>
      </c>
      <c r="B43" s="34" t="s">
        <v>2387</v>
      </c>
      <c r="C43" s="279" t="s">
        <v>2478</v>
      </c>
      <c r="D43" s="279" t="s">
        <v>3720</v>
      </c>
      <c r="E43" s="284" t="s">
        <v>2290</v>
      </c>
      <c r="F43" s="302"/>
      <c r="G43" s="284" t="str">
        <f>_xlfn.IFNA(IF(VLOOKUP($F43,'[3]3.框架内物料'!$A:$E,2,0)=0,"请勿填写",VLOOKUP($F43,'[3]3.框架内物料'!$A:$E,2,0)),"")</f>
        <v/>
      </c>
      <c r="H43" s="303" t="s">
        <v>2479</v>
      </c>
      <c r="I43" s="284" t="s">
        <v>196</v>
      </c>
      <c r="J43" s="304">
        <f>1.06*10</f>
        <v>10.600000000000001</v>
      </c>
      <c r="K43" s="55">
        <v>10.600000000000001</v>
      </c>
      <c r="L43" s="284">
        <v>1300</v>
      </c>
      <c r="M43" s="284">
        <v>1300</v>
      </c>
      <c r="N43" s="284">
        <v>1</v>
      </c>
      <c r="O43" s="284">
        <v>1</v>
      </c>
      <c r="P43" s="61">
        <f t="shared" si="16"/>
        <v>13780.000000000002</v>
      </c>
      <c r="Q43" s="61">
        <f t="shared" si="16"/>
        <v>13780.000000000002</v>
      </c>
      <c r="R43" s="305">
        <f>Q43-P43</f>
        <v>0</v>
      </c>
      <c r="S43" s="70">
        <v>0.06</v>
      </c>
      <c r="T43" s="70">
        <v>0</v>
      </c>
      <c r="U43" s="306" t="s">
        <v>3200</v>
      </c>
      <c r="V43" s="285"/>
    </row>
    <row r="44" spans="1:22" s="20" customFormat="1" ht="25.05" customHeight="1">
      <c r="A44" s="278" t="s">
        <v>2280</v>
      </c>
      <c r="B44" s="34" t="s">
        <v>2387</v>
      </c>
      <c r="C44" s="278" t="s">
        <v>2469</v>
      </c>
      <c r="D44" s="278" t="s">
        <v>2470</v>
      </c>
      <c r="E44" s="34" t="s">
        <v>2290</v>
      </c>
      <c r="F44" s="278"/>
      <c r="G44" s="300"/>
      <c r="H44" s="300" t="s">
        <v>3187</v>
      </c>
      <c r="I44" s="278" t="s">
        <v>90</v>
      </c>
      <c r="J44" s="304">
        <f>1.06*5</f>
        <v>5.3000000000000007</v>
      </c>
      <c r="K44" s="55">
        <v>5.3000000000000007</v>
      </c>
      <c r="L44" s="278">
        <v>600</v>
      </c>
      <c r="M44" s="34">
        <v>600</v>
      </c>
      <c r="N44" s="278">
        <v>1</v>
      </c>
      <c r="O44" s="34">
        <v>1</v>
      </c>
      <c r="P44" s="61">
        <f>IFERROR(N44*L44*J44,0)</f>
        <v>3180.0000000000005</v>
      </c>
      <c r="Q44" s="61">
        <f>IFERROR(O44*M44*K44,0)</f>
        <v>3180.0000000000005</v>
      </c>
      <c r="R44" s="69">
        <f t="shared" ref="R44" si="17">Q44-P44</f>
        <v>0</v>
      </c>
      <c r="S44" s="70">
        <v>0.06</v>
      </c>
      <c r="T44" s="70">
        <v>0</v>
      </c>
      <c r="U44" s="300" t="s">
        <v>2468</v>
      </c>
      <c r="V44" s="278"/>
    </row>
    <row r="45" spans="1:22" s="20" customFormat="1" ht="24.75" customHeight="1">
      <c r="A45" s="278" t="s">
        <v>2280</v>
      </c>
      <c r="B45" s="34" t="s">
        <v>2387</v>
      </c>
      <c r="C45" s="278" t="s">
        <v>2471</v>
      </c>
      <c r="D45" s="278" t="s">
        <v>2472</v>
      </c>
      <c r="E45" s="34" t="s">
        <v>3171</v>
      </c>
      <c r="F45" s="278"/>
      <c r="G45" s="300"/>
      <c r="H45" s="300" t="s">
        <v>3188</v>
      </c>
      <c r="I45" s="278" t="s">
        <v>90</v>
      </c>
      <c r="J45" s="304">
        <f>1.06*1</f>
        <v>1.06</v>
      </c>
      <c r="K45" s="55">
        <v>1.06</v>
      </c>
      <c r="L45" s="278">
        <v>300</v>
      </c>
      <c r="M45" s="34">
        <v>300</v>
      </c>
      <c r="N45" s="278">
        <v>1</v>
      </c>
      <c r="O45" s="34">
        <v>1</v>
      </c>
      <c r="P45" s="61">
        <f t="shared" si="16"/>
        <v>318</v>
      </c>
      <c r="Q45" s="61">
        <f t="shared" si="16"/>
        <v>318</v>
      </c>
      <c r="R45" s="69">
        <f>Q45-P45</f>
        <v>0</v>
      </c>
      <c r="S45" s="70">
        <v>0.06</v>
      </c>
      <c r="T45" s="70">
        <v>0</v>
      </c>
      <c r="U45" s="300" t="s">
        <v>2468</v>
      </c>
      <c r="V45" s="278"/>
    </row>
    <row r="46" spans="1:22" s="20" customFormat="1" ht="24.75" customHeight="1">
      <c r="A46" s="278" t="s">
        <v>2280</v>
      </c>
      <c r="B46" s="34" t="s">
        <v>2387</v>
      </c>
      <c r="C46" s="278" t="s">
        <v>2467</v>
      </c>
      <c r="D46" s="278" t="s">
        <v>2467</v>
      </c>
      <c r="E46" s="34" t="s">
        <v>2290</v>
      </c>
      <c r="F46" s="278"/>
      <c r="G46" s="300"/>
      <c r="H46" s="300" t="s">
        <v>3185</v>
      </c>
      <c r="I46" s="278" t="s">
        <v>90</v>
      </c>
      <c r="J46" s="304">
        <f>1.06*8</f>
        <v>8.48</v>
      </c>
      <c r="K46" s="55">
        <v>8.48</v>
      </c>
      <c r="L46" s="278">
        <v>1350</v>
      </c>
      <c r="M46" s="34">
        <v>1350</v>
      </c>
      <c r="N46" s="278">
        <v>1</v>
      </c>
      <c r="O46" s="34">
        <v>1</v>
      </c>
      <c r="P46" s="61">
        <f t="shared" si="16"/>
        <v>11448</v>
      </c>
      <c r="Q46" s="61">
        <f t="shared" si="16"/>
        <v>11448</v>
      </c>
      <c r="R46" s="69">
        <f>Q46-P46</f>
        <v>0</v>
      </c>
      <c r="S46" s="70">
        <v>0.06</v>
      </c>
      <c r="T46" s="70">
        <v>0</v>
      </c>
      <c r="U46" s="300" t="s">
        <v>2468</v>
      </c>
      <c r="V46" s="278"/>
    </row>
    <row r="47" spans="1:22" s="20" customFormat="1" ht="24.75" customHeight="1">
      <c r="A47" s="278" t="s">
        <v>2280</v>
      </c>
      <c r="B47" s="34" t="s">
        <v>2387</v>
      </c>
      <c r="C47" s="278" t="s">
        <v>2485</v>
      </c>
      <c r="D47" s="278" t="s">
        <v>3202</v>
      </c>
      <c r="E47" s="34" t="s">
        <v>2290</v>
      </c>
      <c r="F47" s="283"/>
      <c r="G47" s="34"/>
      <c r="H47" s="300" t="s">
        <v>3205</v>
      </c>
      <c r="I47" s="34" t="s">
        <v>49</v>
      </c>
      <c r="J47" s="55">
        <f>1.06*1</f>
        <v>1.06</v>
      </c>
      <c r="K47" s="55">
        <f>1.06*1</f>
        <v>1.06</v>
      </c>
      <c r="L47" s="278">
        <v>890</v>
      </c>
      <c r="M47" s="34">
        <v>890</v>
      </c>
      <c r="N47" s="278">
        <v>1</v>
      </c>
      <c r="O47" s="34">
        <v>1</v>
      </c>
      <c r="P47" s="307">
        <f t="shared" si="12"/>
        <v>943.40000000000009</v>
      </c>
      <c r="Q47" s="61">
        <f t="shared" ref="Q47:Q51" si="18">IFERROR(O47*M47*K47,0)</f>
        <v>943.40000000000009</v>
      </c>
      <c r="R47" s="305">
        <f t="shared" si="8"/>
        <v>0</v>
      </c>
      <c r="S47" s="70">
        <v>0.06</v>
      </c>
      <c r="T47" s="70">
        <v>0</v>
      </c>
      <c r="U47" s="306" t="s">
        <v>3142</v>
      </c>
      <c r="V47" s="278"/>
    </row>
    <row r="48" spans="1:22" s="20" customFormat="1" ht="24.75" customHeight="1">
      <c r="A48" s="278" t="s">
        <v>2280</v>
      </c>
      <c r="B48" s="34" t="s">
        <v>2387</v>
      </c>
      <c r="C48" s="278" t="s">
        <v>2485</v>
      </c>
      <c r="D48" s="278" t="s">
        <v>3203</v>
      </c>
      <c r="E48" s="34" t="s">
        <v>2290</v>
      </c>
      <c r="F48" s="283"/>
      <c r="G48" s="34"/>
      <c r="H48" s="300" t="s">
        <v>3206</v>
      </c>
      <c r="I48" s="34" t="s">
        <v>49</v>
      </c>
      <c r="J48" s="55">
        <f>1.06*14</f>
        <v>14.84</v>
      </c>
      <c r="K48" s="55">
        <f>1.06*14</f>
        <v>14.84</v>
      </c>
      <c r="L48" s="278">
        <v>890</v>
      </c>
      <c r="M48" s="34">
        <v>890</v>
      </c>
      <c r="N48" s="278">
        <v>1</v>
      </c>
      <c r="O48" s="34">
        <v>1</v>
      </c>
      <c r="P48" s="307">
        <f t="shared" si="12"/>
        <v>13207.6</v>
      </c>
      <c r="Q48" s="61">
        <f>IFERROR(O48*M48*K48,0)</f>
        <v>13207.6</v>
      </c>
      <c r="R48" s="305">
        <f t="shared" si="8"/>
        <v>0</v>
      </c>
      <c r="S48" s="70">
        <v>0.06</v>
      </c>
      <c r="T48" s="70">
        <v>0</v>
      </c>
      <c r="U48" s="306" t="s">
        <v>3142</v>
      </c>
      <c r="V48" s="278"/>
    </row>
    <row r="49" spans="1:22" s="20" customFormat="1" ht="24.75" customHeight="1">
      <c r="A49" s="278" t="s">
        <v>2280</v>
      </c>
      <c r="B49" s="34" t="s">
        <v>2387</v>
      </c>
      <c r="C49" s="278" t="s">
        <v>2485</v>
      </c>
      <c r="D49" s="278" t="s">
        <v>3204</v>
      </c>
      <c r="E49" s="34" t="s">
        <v>2290</v>
      </c>
      <c r="F49" s="283"/>
      <c r="G49" s="34"/>
      <c r="H49" s="300" t="s">
        <v>2486</v>
      </c>
      <c r="I49" s="34" t="s">
        <v>49</v>
      </c>
      <c r="J49" s="308">
        <f>1.06*5.8</f>
        <v>6.1479999999999997</v>
      </c>
      <c r="K49" s="308">
        <f>1.06*5.8</f>
        <v>6.1479999999999997</v>
      </c>
      <c r="L49" s="278">
        <v>890</v>
      </c>
      <c r="M49" s="34">
        <v>890</v>
      </c>
      <c r="N49" s="278">
        <v>1</v>
      </c>
      <c r="O49" s="34">
        <v>1</v>
      </c>
      <c r="P49" s="307">
        <f t="shared" si="12"/>
        <v>5471.7199999999993</v>
      </c>
      <c r="Q49" s="61">
        <f t="shared" si="18"/>
        <v>5471.7199999999993</v>
      </c>
      <c r="R49" s="305">
        <f t="shared" si="8"/>
        <v>0</v>
      </c>
      <c r="S49" s="70">
        <v>0.06</v>
      </c>
      <c r="T49" s="70">
        <v>0</v>
      </c>
      <c r="U49" s="306" t="s">
        <v>3142</v>
      </c>
      <c r="V49" s="278"/>
    </row>
    <row r="50" spans="1:22" s="19" customFormat="1" ht="24.75" customHeight="1">
      <c r="A50" s="278" t="s">
        <v>2280</v>
      </c>
      <c r="B50" s="34" t="s">
        <v>2387</v>
      </c>
      <c r="C50" s="279" t="s">
        <v>2483</v>
      </c>
      <c r="D50" s="279" t="s">
        <v>2484</v>
      </c>
      <c r="E50" s="34" t="s">
        <v>2290</v>
      </c>
      <c r="F50" s="283"/>
      <c r="G50" s="34"/>
      <c r="H50" s="197" t="s">
        <v>3201</v>
      </c>
      <c r="I50" s="34" t="s">
        <v>554</v>
      </c>
      <c r="J50" s="55">
        <f>119*1.06</f>
        <v>126.14</v>
      </c>
      <c r="K50" s="55">
        <f>119*1.06</f>
        <v>126.14</v>
      </c>
      <c r="L50" s="34">
        <v>145</v>
      </c>
      <c r="M50" s="34">
        <v>145</v>
      </c>
      <c r="N50" s="34">
        <v>1</v>
      </c>
      <c r="O50" s="34">
        <v>1</v>
      </c>
      <c r="P50" s="307">
        <f t="shared" ref="P50" si="19">IFERROR(N50*L50*J50,0)</f>
        <v>18290.3</v>
      </c>
      <c r="Q50" s="61">
        <f t="shared" si="18"/>
        <v>18290.3</v>
      </c>
      <c r="R50" s="305">
        <f t="shared" ref="R50" si="20">Q50-P50</f>
        <v>0</v>
      </c>
      <c r="S50" s="70">
        <v>0.06</v>
      </c>
      <c r="T50" s="70">
        <v>0</v>
      </c>
      <c r="U50" s="288" t="s">
        <v>3207</v>
      </c>
      <c r="V50" s="35"/>
    </row>
    <row r="51" spans="1:22" s="20" customFormat="1" ht="24.75" customHeight="1">
      <c r="A51" s="278" t="s">
        <v>2280</v>
      </c>
      <c r="B51" s="34" t="s">
        <v>2387</v>
      </c>
      <c r="C51" s="278" t="s">
        <v>3722</v>
      </c>
      <c r="D51" s="278" t="s">
        <v>2487</v>
      </c>
      <c r="E51" s="34" t="s">
        <v>2290</v>
      </c>
      <c r="F51" s="283"/>
      <c r="G51" s="34"/>
      <c r="H51" s="300" t="s">
        <v>3723</v>
      </c>
      <c r="I51" s="34" t="s">
        <v>49</v>
      </c>
      <c r="J51" s="55">
        <f>1.06*3000</f>
        <v>3180</v>
      </c>
      <c r="K51" s="55">
        <f>1.06*1552</f>
        <v>1645.1200000000001</v>
      </c>
      <c r="L51" s="278">
        <v>1</v>
      </c>
      <c r="M51" s="34">
        <v>1</v>
      </c>
      <c r="N51" s="278">
        <v>1</v>
      </c>
      <c r="O51" s="34">
        <v>1</v>
      </c>
      <c r="P51" s="307">
        <f>IFERROR(N51*L51*J51,0)</f>
        <v>3180</v>
      </c>
      <c r="Q51" s="61">
        <f t="shared" si="18"/>
        <v>1645.1200000000001</v>
      </c>
      <c r="R51" s="305">
        <f>Q51-P51</f>
        <v>-1534.8799999999999</v>
      </c>
      <c r="S51" s="70">
        <v>0.06</v>
      </c>
      <c r="T51" s="70">
        <v>0</v>
      </c>
      <c r="U51" s="300" t="s">
        <v>3724</v>
      </c>
      <c r="V51" s="278"/>
    </row>
    <row r="52" spans="1:22" s="19" customFormat="1" ht="41.65">
      <c r="A52" s="278" t="s">
        <v>2280</v>
      </c>
      <c r="B52" s="279" t="s">
        <v>2387</v>
      </c>
      <c r="C52" s="35" t="s">
        <v>2488</v>
      </c>
      <c r="D52" s="35" t="s">
        <v>2488</v>
      </c>
      <c r="E52" s="34" t="s">
        <v>2283</v>
      </c>
      <c r="F52" s="283" t="s">
        <v>2489</v>
      </c>
      <c r="G52" s="34" t="str">
        <f>_xlfn.IFNA(IF(VLOOKUP($F52,'3.框架内物料'!$A:$E,2,0)=0,"请勿填写",VLOOKUP($F52,'3.框架内物料'!$A:$E,2,0)),"")</f>
        <v>M939882635918090242</v>
      </c>
      <c r="H52" s="297" t="str">
        <f>_xlfn.IFNA(VLOOKUP($F52,'3.框架内物料'!$A:$E,4,0),"")</f>
        <v>AVL设备类-音频-Other Audio Auxiliary Equipment 
其它音频辅助设备-Walking-Talkie
无线对讲机--</v>
      </c>
      <c r="I52" s="34" t="str">
        <f>_xlfn.IFNA(VLOOKUP($F52,'3.框架内物料'!$A:$E,5,0),"")</f>
        <v>台</v>
      </c>
      <c r="J52" s="55">
        <f>_xlfn.IFNA(VLOOKUP($F52,'3.框架内物料'!$A:$F,6,0),"")</f>
        <v>42.4</v>
      </c>
      <c r="K52" s="55">
        <f>_xlfn.IFNA(VLOOKUP($F52,'[2]3.框架内物料'!$A:$F,6,0),"")</f>
        <v>42.4</v>
      </c>
      <c r="L52" s="34">
        <v>20</v>
      </c>
      <c r="M52" s="34">
        <v>20</v>
      </c>
      <c r="N52" s="34">
        <v>1</v>
      </c>
      <c r="O52" s="34">
        <v>2</v>
      </c>
      <c r="P52" s="307">
        <f t="shared" si="12"/>
        <v>848</v>
      </c>
      <c r="Q52" s="61">
        <f t="shared" ref="Q52" si="21">IFERROR(O52*M52*K52,0)</f>
        <v>1696</v>
      </c>
      <c r="R52" s="305">
        <f t="shared" si="8"/>
        <v>848</v>
      </c>
      <c r="S52" s="70">
        <v>0.06</v>
      </c>
      <c r="T52" s="70">
        <v>0</v>
      </c>
      <c r="U52" s="309" t="s">
        <v>3174</v>
      </c>
      <c r="V52" s="35"/>
    </row>
    <row r="53" spans="1:22" s="19" customFormat="1" ht="22.15" customHeight="1">
      <c r="A53" s="278" t="s">
        <v>2280</v>
      </c>
      <c r="B53" s="279" t="s">
        <v>2387</v>
      </c>
      <c r="C53" s="35" t="s">
        <v>2488</v>
      </c>
      <c r="D53" s="35" t="s">
        <v>3172</v>
      </c>
      <c r="E53" s="34" t="s">
        <v>2290</v>
      </c>
      <c r="F53" s="283"/>
      <c r="G53" s="34"/>
      <c r="H53" s="297"/>
      <c r="I53" s="34" t="s">
        <v>3173</v>
      </c>
      <c r="J53" s="55">
        <v>0</v>
      </c>
      <c r="K53" s="55">
        <f>1.06*195</f>
        <v>206.70000000000002</v>
      </c>
      <c r="L53" s="34">
        <v>0</v>
      </c>
      <c r="M53" s="34">
        <v>1</v>
      </c>
      <c r="N53" s="34">
        <v>0</v>
      </c>
      <c r="O53" s="34">
        <v>1</v>
      </c>
      <c r="P53" s="307">
        <f t="shared" ref="P53" si="22">IFERROR(N53*L53*J53,0)</f>
        <v>0</v>
      </c>
      <c r="Q53" s="61">
        <f t="shared" ref="Q53" si="23">IFERROR(O53*M53*K53,0)</f>
        <v>206.70000000000002</v>
      </c>
      <c r="R53" s="305">
        <f t="shared" ref="R53" si="24">Q53-P53</f>
        <v>206.70000000000002</v>
      </c>
      <c r="S53" s="70">
        <v>0.06</v>
      </c>
      <c r="T53" s="70">
        <v>0</v>
      </c>
      <c r="U53" s="309" t="s">
        <v>3175</v>
      </c>
      <c r="V53" s="35"/>
    </row>
    <row r="54" spans="1:22" s="19" customFormat="1" ht="22.9" customHeight="1">
      <c r="A54" s="278" t="s">
        <v>2280</v>
      </c>
      <c r="B54" s="279" t="s">
        <v>2387</v>
      </c>
      <c r="C54" s="35" t="s">
        <v>3157</v>
      </c>
      <c r="D54" s="35" t="s">
        <v>3158</v>
      </c>
      <c r="E54" s="34" t="s">
        <v>2283</v>
      </c>
      <c r="F54" s="283" t="s">
        <v>3159</v>
      </c>
      <c r="G54" s="34" t="str">
        <f>_xlfn.IFNA(IF(VLOOKUP($F54,'3.框架内物料'!$A:$E,2,0)=0,"请勿填写",VLOOKUP($F54,'3.框架内物料'!$A:$E,2,0)),"")</f>
        <v>M947580775809990660</v>
      </c>
      <c r="H54" s="297" t="str">
        <f>_xlfn.IFNA(VLOOKUP($F54,'3.框架内物料'!$A:$E,4,0),"")</f>
        <v>搭建制作-隔离物-隔离物-铁质护栏-租赁价，3天为1展期</v>
      </c>
      <c r="I54" s="34" t="str">
        <f>_xlfn.IFNA(VLOOKUP($F54,'3.框架内物料'!$A:$E,5,0),"")</f>
        <v>个</v>
      </c>
      <c r="J54" s="55">
        <v>0</v>
      </c>
      <c r="K54" s="55">
        <f>_xlfn.IFNA(VLOOKUP($F54,'[2]3.框架内物料'!$A:$F,6,0),"")</f>
        <v>53</v>
      </c>
      <c r="L54" s="34">
        <v>0</v>
      </c>
      <c r="M54" s="34">
        <v>100</v>
      </c>
      <c r="N54" s="34">
        <v>0</v>
      </c>
      <c r="O54" s="34">
        <v>2</v>
      </c>
      <c r="P54" s="307">
        <f t="shared" ref="P54:P57" si="25">IFERROR(N54*L54*J54,0)</f>
        <v>0</v>
      </c>
      <c r="Q54" s="61">
        <f t="shared" ref="Q54:Q55" si="26">IFERROR(O54*M54*K54,0)</f>
        <v>10600</v>
      </c>
      <c r="R54" s="305">
        <f t="shared" ref="R54:R58" si="27">Q54-P54</f>
        <v>10600</v>
      </c>
      <c r="S54" s="70">
        <v>0.06</v>
      </c>
      <c r="T54" s="70">
        <v>0</v>
      </c>
      <c r="U54" s="309" t="s">
        <v>3161</v>
      </c>
      <c r="V54" s="35"/>
    </row>
    <row r="55" spans="1:22" s="18" customFormat="1" ht="28.5" customHeight="1">
      <c r="A55" s="278" t="s">
        <v>2292</v>
      </c>
      <c r="B55" s="34" t="s">
        <v>2387</v>
      </c>
      <c r="C55" s="279" t="s">
        <v>2292</v>
      </c>
      <c r="D55" s="34" t="s">
        <v>3209</v>
      </c>
      <c r="E55" s="45" t="s">
        <v>2283</v>
      </c>
      <c r="F55" s="280" t="s">
        <v>2445</v>
      </c>
      <c r="G55" s="34" t="str">
        <f>_xlfn.IFNA(IF(VLOOKUP($F55,'[1]3.框架内物料'!$A:$E,2,0)=0,"请勿填写",VLOOKUP($F55,'[1]3.框架内物料'!$A:$E,2,0)),"")</f>
        <v>M939882573888528385</v>
      </c>
      <c r="H55" s="281" t="str">
        <f>_xlfn.IFNA(VLOOKUP($F55,'[1]3.框架内物料'!$A:$E,4,0),"")</f>
        <v>第三方人员类-搭建人员-搭建人员-搭建人工-人员劳务费，每场不超过8小时</v>
      </c>
      <c r="I55" s="34" t="str">
        <f>_xlfn.IFNA(VLOOKUP($F55,'[1]3.框架内物料'!$A:$E,5,0),"")</f>
        <v>人/场</v>
      </c>
      <c r="J55" s="55">
        <v>0</v>
      </c>
      <c r="K55" s="55">
        <f>_xlfn.IFNA(VLOOKUP($F55,'[2]3.框架内物料'!$A:$F,6,0),"")</f>
        <v>316.67</v>
      </c>
      <c r="L55" s="34">
        <v>0</v>
      </c>
      <c r="M55" s="34">
        <v>4</v>
      </c>
      <c r="N55" s="34">
        <v>0</v>
      </c>
      <c r="O55" s="34">
        <v>2</v>
      </c>
      <c r="P55" s="61">
        <f t="shared" si="25"/>
        <v>0</v>
      </c>
      <c r="Q55" s="61">
        <f t="shared" si="26"/>
        <v>2533.36</v>
      </c>
      <c r="R55" s="69">
        <f t="shared" si="27"/>
        <v>2533.36</v>
      </c>
      <c r="S55" s="70">
        <v>0.06</v>
      </c>
      <c r="T55" s="70">
        <v>0</v>
      </c>
      <c r="U55" s="282" t="s">
        <v>3162</v>
      </c>
      <c r="V55" s="35"/>
    </row>
    <row r="56" spans="1:22" s="286" customFormat="1" ht="28.5" customHeight="1">
      <c r="A56" s="278" t="s">
        <v>2280</v>
      </c>
      <c r="B56" s="34" t="s">
        <v>2387</v>
      </c>
      <c r="C56" s="278" t="s">
        <v>2280</v>
      </c>
      <c r="D56" s="279" t="s">
        <v>3208</v>
      </c>
      <c r="E56" s="284" t="s">
        <v>2283</v>
      </c>
      <c r="F56" s="7" t="s">
        <v>3163</v>
      </c>
      <c r="G56" s="34" t="str">
        <f>_xlfn.IFNA(IF(VLOOKUP($F56,'[1]3.框架内物料'!$A:$E,2,0)=0,"请勿填写",VLOOKUP($F56,'[1]3.框架内物料'!$A:$E,2,0)),"")</f>
        <v>M939882570881212418</v>
      </c>
      <c r="H56" s="281" t="str">
        <f>_xlfn.IFNA(VLOOKUP($F56,'[1]3.框架内物料'!$A:$E,4,0),"")</f>
        <v>搭建制作-车辆-车辆物流-货车-市内运输-4.2m 货车，距离30km内</v>
      </c>
      <c r="I56" s="34" t="str">
        <f>_xlfn.IFNA(VLOOKUP($F56,'[1]3.框架内物料'!$A:$E,5,0),"")</f>
        <v>车次</v>
      </c>
      <c r="J56" s="55">
        <v>0</v>
      </c>
      <c r="K56" s="55">
        <f>_xlfn.IFNA(VLOOKUP($F56,'[2]3.框架内物料'!$A:$F,6,0),"")</f>
        <v>833.33</v>
      </c>
      <c r="L56" s="34">
        <v>0</v>
      </c>
      <c r="M56" s="34">
        <v>1</v>
      </c>
      <c r="N56" s="34">
        <v>0</v>
      </c>
      <c r="O56" s="34">
        <v>2</v>
      </c>
      <c r="P56" s="61">
        <f t="shared" si="25"/>
        <v>0</v>
      </c>
      <c r="Q56" s="61">
        <f>IFERROR(O56*M56*K56,0)</f>
        <v>1666.66</v>
      </c>
      <c r="R56" s="69">
        <f t="shared" si="27"/>
        <v>1666.66</v>
      </c>
      <c r="S56" s="70">
        <v>0.06</v>
      </c>
      <c r="T56" s="70">
        <v>0</v>
      </c>
      <c r="U56" s="282" t="s">
        <v>3164</v>
      </c>
      <c r="V56" s="285"/>
    </row>
    <row r="57" spans="1:22" s="19" customFormat="1" ht="22.9" customHeight="1">
      <c r="A57" s="278" t="s">
        <v>2280</v>
      </c>
      <c r="B57" s="279" t="s">
        <v>2387</v>
      </c>
      <c r="C57" s="35" t="s">
        <v>2490</v>
      </c>
      <c r="D57" s="35" t="s">
        <v>2491</v>
      </c>
      <c r="E57" s="34" t="s">
        <v>2283</v>
      </c>
      <c r="F57" s="283" t="s">
        <v>2492</v>
      </c>
      <c r="G57" s="34" t="str">
        <f>_xlfn.IFNA(IF(VLOOKUP($F57,'3.框架内物料'!$A:$E,2,0)=0,"请勿填写",VLOOKUP($F57,'3.框架内物料'!$A:$E,2,0)),"")</f>
        <v>M939882574878384130</v>
      </c>
      <c r="H57" s="297" t="str">
        <f>_xlfn.IFNA(VLOOKUP($F57,'3.框架内物料'!$A:$E,4,0),"")</f>
        <v>搭建制作-家具及办公设备-其他-A4彩色激光打印机-租赁价，3天为1展期</v>
      </c>
      <c r="I57" s="34" t="str">
        <f>_xlfn.IFNA(VLOOKUP($F57,'3.框架内物料'!$A:$E,5,0),"")</f>
        <v>台</v>
      </c>
      <c r="J57" s="55">
        <f>_xlfn.IFNA(VLOOKUP($F57,'3.框架内物料'!$A:$F,6,0),"")</f>
        <v>424</v>
      </c>
      <c r="K57" s="55">
        <f>_xlfn.IFNA(VLOOKUP($F57,'[2]3.框架内物料'!$A:$F,6,0),"")</f>
        <v>424</v>
      </c>
      <c r="L57" s="34">
        <v>1</v>
      </c>
      <c r="M57" s="34">
        <v>1</v>
      </c>
      <c r="N57" s="34">
        <v>2</v>
      </c>
      <c r="O57" s="34">
        <v>6</v>
      </c>
      <c r="P57" s="307">
        <f t="shared" si="25"/>
        <v>848</v>
      </c>
      <c r="Q57" s="61">
        <f t="shared" ref="Q57:Q58" si="28">IFERROR(O57*M57*K57,0)</f>
        <v>2544</v>
      </c>
      <c r="R57" s="305">
        <f t="shared" si="27"/>
        <v>1696</v>
      </c>
      <c r="S57" s="70">
        <v>0.06</v>
      </c>
      <c r="T57" s="70">
        <v>0</v>
      </c>
      <c r="U57" s="309" t="s">
        <v>3160</v>
      </c>
      <c r="V57" s="35"/>
    </row>
    <row r="58" spans="1:22" s="19" customFormat="1" ht="22.9" customHeight="1">
      <c r="A58" s="278" t="s">
        <v>2280</v>
      </c>
      <c r="B58" s="279" t="s">
        <v>2387</v>
      </c>
      <c r="C58" s="35" t="s">
        <v>3714</v>
      </c>
      <c r="D58" s="35" t="s">
        <v>3714</v>
      </c>
      <c r="E58" s="34" t="s">
        <v>2290</v>
      </c>
      <c r="F58" s="283"/>
      <c r="G58" s="34"/>
      <c r="H58" s="297" t="s">
        <v>3715</v>
      </c>
      <c r="I58" s="34" t="s">
        <v>90</v>
      </c>
      <c r="J58" s="55">
        <f>1.06*750</f>
        <v>795</v>
      </c>
      <c r="K58" s="298">
        <f>1.06*750</f>
        <v>795</v>
      </c>
      <c r="L58" s="34">
        <v>5</v>
      </c>
      <c r="M58" s="34">
        <v>5</v>
      </c>
      <c r="N58" s="34">
        <v>1</v>
      </c>
      <c r="O58" s="34">
        <v>1</v>
      </c>
      <c r="P58" s="61">
        <f>IFERROR(N58*L58*J58,0)</f>
        <v>3975</v>
      </c>
      <c r="Q58" s="61">
        <f t="shared" si="28"/>
        <v>3975</v>
      </c>
      <c r="R58" s="69">
        <f t="shared" si="27"/>
        <v>0</v>
      </c>
      <c r="S58" s="70">
        <v>0.06</v>
      </c>
      <c r="T58" s="70">
        <v>0</v>
      </c>
      <c r="U58" s="288" t="s">
        <v>2610</v>
      </c>
      <c r="V58" s="35"/>
    </row>
    <row r="59" spans="1:22" s="18" customFormat="1" ht="23" customHeight="1">
      <c r="A59" s="36"/>
      <c r="B59" s="37"/>
      <c r="C59" s="37"/>
      <c r="D59" s="37"/>
      <c r="E59" s="37"/>
      <c r="F59" s="46"/>
      <c r="G59" s="46"/>
      <c r="H59" s="47"/>
      <c r="I59" s="46"/>
      <c r="J59" s="46"/>
      <c r="K59" s="57"/>
      <c r="L59" s="46"/>
      <c r="M59" s="46"/>
      <c r="N59" s="46"/>
      <c r="O59" s="46"/>
      <c r="P59" s="347" t="s">
        <v>2288</v>
      </c>
      <c r="Q59" s="348"/>
      <c r="R59" s="349"/>
      <c r="S59" s="71"/>
      <c r="T59" s="71"/>
      <c r="U59" s="77"/>
      <c r="V59" s="78"/>
    </row>
    <row r="60" spans="1:22" s="18" customFormat="1" ht="22.9" customHeight="1">
      <c r="A60" s="38"/>
      <c r="B60" s="39"/>
      <c r="C60" s="39"/>
      <c r="D60" s="39"/>
      <c r="E60" s="39"/>
      <c r="F60" s="48"/>
      <c r="G60" s="48"/>
      <c r="H60" s="49"/>
      <c r="I60" s="48"/>
      <c r="J60" s="48"/>
      <c r="K60" s="58"/>
      <c r="L60" s="48"/>
      <c r="M60" s="48"/>
      <c r="N60" s="48"/>
      <c r="O60" s="48"/>
      <c r="P60" s="62">
        <f>SUM(P2:P58)</f>
        <v>254233.94999999998</v>
      </c>
      <c r="Q60" s="62">
        <f>SUM(Q2:Q58)</f>
        <v>265789.92599999998</v>
      </c>
      <c r="R60" s="62">
        <f>Q60-P60</f>
        <v>11555.975999999995</v>
      </c>
      <c r="S60" s="72"/>
      <c r="T60" s="73"/>
      <c r="U60" s="49"/>
      <c r="V60" s="79"/>
    </row>
    <row r="61" spans="1:22" s="18" customFormat="1" ht="35.65" customHeight="1">
      <c r="A61" s="278" t="s">
        <v>2292</v>
      </c>
      <c r="B61" s="279" t="s">
        <v>2387</v>
      </c>
      <c r="C61" s="279" t="s">
        <v>2493</v>
      </c>
      <c r="D61" s="278" t="s">
        <v>2494</v>
      </c>
      <c r="E61" s="45" t="s">
        <v>2283</v>
      </c>
      <c r="F61" s="283" t="s">
        <v>2495</v>
      </c>
      <c r="G61" s="34" t="str">
        <f>_xlfn.IFNA(IF(VLOOKUP($F61,'3.框架内物料'!$A:$E,2,0)=0,"请勿填写",VLOOKUP($F61,'3.框架内物料'!$A:$E,2,0)),"")</f>
        <v>M947580543391023106</v>
      </c>
      <c r="H61" s="281" t="str">
        <f>_xlfn.IFNA(VLOOKUP($F61,'3.框架内物料'!$A:$E,4,0),"")</f>
        <v>Onsite 人员-服务人员-项目总监-人员劳务费。不含住宿、交通、补贴等费用，每天不超过8小时</v>
      </c>
      <c r="I61" s="34" t="str">
        <f>_xlfn.IFNA(VLOOKUP($F61,'3.框架内物料'!$A:$E,5,0),"")</f>
        <v>人/天</v>
      </c>
      <c r="J61" s="55">
        <f>_xlfn.IFNA(VLOOKUP($F61,'3.框架内物料'!$A:$F,6,0),"")</f>
        <v>1060</v>
      </c>
      <c r="K61" s="55">
        <f>_xlfn.IFNA(VLOOKUP($F61,'[2]3.框架内物料'!$A:$F,6,0),"")</f>
        <v>1060</v>
      </c>
      <c r="L61" s="34">
        <v>3</v>
      </c>
      <c r="M61" s="34">
        <v>20</v>
      </c>
      <c r="N61" s="34">
        <v>8</v>
      </c>
      <c r="O61" s="34">
        <v>1</v>
      </c>
      <c r="P61" s="61">
        <f>IFERROR(N61*L61*J61,0)</f>
        <v>25440</v>
      </c>
      <c r="Q61" s="61">
        <f>IFERROR(O61*M61*K61,0)</f>
        <v>21200</v>
      </c>
      <c r="R61" s="69">
        <f t="shared" ref="R61:R76" si="29">Q61-P61</f>
        <v>-4240</v>
      </c>
      <c r="S61" s="70">
        <v>0.06</v>
      </c>
      <c r="T61" s="70">
        <v>0</v>
      </c>
      <c r="U61" s="310" t="s">
        <v>3232</v>
      </c>
      <c r="V61" s="35"/>
    </row>
    <row r="62" spans="1:22" s="18" customFormat="1" ht="32.75" customHeight="1">
      <c r="A62" s="278" t="s">
        <v>2292</v>
      </c>
      <c r="B62" s="279" t="s">
        <v>2387</v>
      </c>
      <c r="C62" s="279" t="s">
        <v>2493</v>
      </c>
      <c r="D62" s="278" t="s">
        <v>2496</v>
      </c>
      <c r="E62" s="45" t="s">
        <v>2283</v>
      </c>
      <c r="F62" s="283" t="s">
        <v>2497</v>
      </c>
      <c r="G62" s="34" t="str">
        <f>_xlfn.IFNA(IF(VLOOKUP($F62,'3.框架内物料'!$A:$E,2,0)=0,"请勿填写",VLOOKUP($F62,'3.框架内物料'!$A:$E,2,0)),"")</f>
        <v>M947580465840136193</v>
      </c>
      <c r="H62" s="281" t="str">
        <f>_xlfn.IFNA(VLOOKUP($F62,'3.框架内物料'!$A:$E,4,0),"")</f>
        <v>Onsite 人员-服务人员-项目经理-人员劳务费。不含住宿、交通、补贴等费用，每天不超过8小时</v>
      </c>
      <c r="I62" s="34" t="str">
        <f>_xlfn.IFNA(VLOOKUP($F62,'3.框架内物料'!$A:$E,5,0),"")</f>
        <v>人/天</v>
      </c>
      <c r="J62" s="55">
        <f>_xlfn.IFNA(VLOOKUP($F62,'3.框架内物料'!$A:$F,6,0),"")</f>
        <v>848</v>
      </c>
      <c r="K62" s="55">
        <f>_xlfn.IFNA(VLOOKUP($F62,'[2]3.框架内物料'!$A:$F,6,0),"")</f>
        <v>848</v>
      </c>
      <c r="L62" s="34">
        <v>3</v>
      </c>
      <c r="M62" s="34">
        <v>23</v>
      </c>
      <c r="N62" s="34">
        <v>8</v>
      </c>
      <c r="O62" s="34">
        <v>1</v>
      </c>
      <c r="P62" s="61">
        <f t="shared" ref="P62:P76" si="30">IFERROR(N62*L62*J62,0)</f>
        <v>20352</v>
      </c>
      <c r="Q62" s="61">
        <f t="shared" ref="Q62:Q64" si="31">IFERROR(O62*M62*K62,0)</f>
        <v>19504</v>
      </c>
      <c r="R62" s="69">
        <f t="shared" si="29"/>
        <v>-848</v>
      </c>
      <c r="S62" s="70">
        <v>0.06</v>
      </c>
      <c r="T62" s="70">
        <v>0</v>
      </c>
      <c r="U62" s="310" t="s">
        <v>3231</v>
      </c>
      <c r="V62" s="35"/>
    </row>
    <row r="63" spans="1:22" s="18" customFormat="1" ht="27.75">
      <c r="A63" s="278" t="s">
        <v>2292</v>
      </c>
      <c r="B63" s="279" t="s">
        <v>2387</v>
      </c>
      <c r="C63" s="279" t="s">
        <v>2493</v>
      </c>
      <c r="D63" s="278" t="s">
        <v>2496</v>
      </c>
      <c r="E63" s="45" t="s">
        <v>2283</v>
      </c>
      <c r="F63" s="283" t="s">
        <v>2497</v>
      </c>
      <c r="G63" s="34" t="str">
        <f>_xlfn.IFNA(IF(VLOOKUP($F63,'3.框架内物料'!$A:$E,2,0)=0,"请勿填写",VLOOKUP($F63,'3.框架内物料'!$A:$E,2,0)),"")</f>
        <v>M947580465840136193</v>
      </c>
      <c r="H63" s="281" t="str">
        <f>_xlfn.IFNA(VLOOKUP($F63,'3.框架内物料'!$A:$E,4,0),"")</f>
        <v>Onsite 人员-服务人员-项目经理-人员劳务费。不含住宿、交通、补贴等费用，每天不超过8小时</v>
      </c>
      <c r="I63" s="34" t="str">
        <f>_xlfn.IFNA(VLOOKUP($F63,'3.框架内物料'!$A:$E,5,0),"")</f>
        <v>人/天</v>
      </c>
      <c r="J63" s="55">
        <f>_xlfn.IFNA(VLOOKUP($F63,'3.框架内物料'!$A:$F,6,0),"")</f>
        <v>848</v>
      </c>
      <c r="K63" s="55">
        <f>_xlfn.IFNA(VLOOKUP($F63,'[2]3.框架内物料'!$A:$F,6,0),"")</f>
        <v>848</v>
      </c>
      <c r="L63" s="34">
        <v>1</v>
      </c>
      <c r="M63" s="34">
        <v>1</v>
      </c>
      <c r="N63" s="34">
        <v>20</v>
      </c>
      <c r="O63" s="34">
        <v>20</v>
      </c>
      <c r="P63" s="61">
        <f t="shared" si="30"/>
        <v>16960</v>
      </c>
      <c r="Q63" s="61">
        <f t="shared" ref="Q63" si="32">IFERROR(O63*M63*K63,0)</f>
        <v>16960</v>
      </c>
      <c r="R63" s="69">
        <f t="shared" ref="R63" si="33">Q63-P63</f>
        <v>0</v>
      </c>
      <c r="S63" s="70">
        <v>0.06</v>
      </c>
      <c r="T63" s="70">
        <v>0</v>
      </c>
      <c r="U63" s="310" t="s">
        <v>3236</v>
      </c>
      <c r="V63" s="35"/>
    </row>
    <row r="64" spans="1:22" s="18" customFormat="1" ht="30" customHeight="1">
      <c r="A64" s="278" t="s">
        <v>2292</v>
      </c>
      <c r="B64" s="279" t="s">
        <v>2387</v>
      </c>
      <c r="C64" s="279" t="s">
        <v>2493</v>
      </c>
      <c r="D64" s="278" t="s">
        <v>2498</v>
      </c>
      <c r="E64" s="45" t="s">
        <v>2283</v>
      </c>
      <c r="F64" s="283" t="s">
        <v>2499</v>
      </c>
      <c r="G64" s="311" t="str">
        <f>_xlfn.IFNA(IF(VLOOKUP($F64,'3.框架内物料'!$A:$E,2,0)=0,"请勿填写",VLOOKUP($F64,'3.框架内物料'!$A:$E,2,0)),"")</f>
        <v>M939882641945305089</v>
      </c>
      <c r="H64" s="281" t="str">
        <f>_xlfn.IFNA(VLOOKUP($F64,'3.框架内物料'!$A:$E,4,0),"")</f>
        <v>Onsite 人员-服务人员-项目助理-人员劳务费。不含住宿、交通、补贴等费用，每天不超过8小时</v>
      </c>
      <c r="I64" s="34" t="str">
        <f>_xlfn.IFNA(VLOOKUP($F64,'3.框架内物料'!$A:$E,5,0),"")</f>
        <v>人/天</v>
      </c>
      <c r="J64" s="55">
        <f>_xlfn.IFNA(VLOOKUP($F64,'3.框架内物料'!$A:$F,6,0),"")</f>
        <v>530</v>
      </c>
      <c r="K64" s="55">
        <f>_xlfn.IFNA(VLOOKUP($F64,'[2]3.框架内物料'!$A:$F,6,0),"")</f>
        <v>530</v>
      </c>
      <c r="L64" s="34">
        <v>3</v>
      </c>
      <c r="M64" s="34">
        <v>31</v>
      </c>
      <c r="N64" s="34">
        <v>7</v>
      </c>
      <c r="O64" s="34">
        <v>1</v>
      </c>
      <c r="P64" s="61">
        <f t="shared" si="30"/>
        <v>11130</v>
      </c>
      <c r="Q64" s="61">
        <f t="shared" si="31"/>
        <v>16430</v>
      </c>
      <c r="R64" s="69">
        <f t="shared" si="29"/>
        <v>5300</v>
      </c>
      <c r="S64" s="70">
        <v>0.06</v>
      </c>
      <c r="T64" s="70">
        <v>0</v>
      </c>
      <c r="U64" s="310" t="s">
        <v>3235</v>
      </c>
      <c r="V64" s="35"/>
    </row>
    <row r="65" spans="1:22" s="18" customFormat="1" ht="27.75">
      <c r="A65" s="278" t="s">
        <v>2292</v>
      </c>
      <c r="B65" s="279" t="s">
        <v>2387</v>
      </c>
      <c r="C65" s="279" t="s">
        <v>2493</v>
      </c>
      <c r="D65" s="278" t="s">
        <v>2496</v>
      </c>
      <c r="E65" s="45" t="s">
        <v>2283</v>
      </c>
      <c r="F65" s="283" t="s">
        <v>2497</v>
      </c>
      <c r="G65" s="34" t="str">
        <f>_xlfn.IFNA(IF(VLOOKUP($F65,'3.框架内物料'!$A:$E,2,0)=0,"请勿填写",VLOOKUP($F65,'3.框架内物料'!$A:$E,2,0)),"")</f>
        <v>M947580465840136193</v>
      </c>
      <c r="H65" s="281" t="str">
        <f>_xlfn.IFNA(VLOOKUP($F65,'3.框架内物料'!$A:$E,4,0),"")</f>
        <v>Onsite 人员-服务人员-项目经理-人员劳务费。不含住宿、交通、补贴等费用，每天不超过8小时</v>
      </c>
      <c r="I65" s="34" t="str">
        <f>_xlfn.IFNA(VLOOKUP($F65,'3.框架内物料'!$A:$E,5,0),"")</f>
        <v>人/天</v>
      </c>
      <c r="J65" s="55">
        <f>_xlfn.IFNA(VLOOKUP($F65,'3.框架内物料'!$A:$F,6,0),"")</f>
        <v>848</v>
      </c>
      <c r="K65" s="55">
        <f>_xlfn.IFNA(VLOOKUP($F65,'3.框架内物料'!$A:$F,6,0),"")</f>
        <v>848</v>
      </c>
      <c r="L65" s="34">
        <v>1</v>
      </c>
      <c r="M65" s="34">
        <v>1</v>
      </c>
      <c r="N65" s="34">
        <v>14</v>
      </c>
      <c r="O65" s="34">
        <v>14</v>
      </c>
      <c r="P65" s="61">
        <f>IFERROR(N65*L65*J65,0)</f>
        <v>11872</v>
      </c>
      <c r="Q65" s="61">
        <f t="shared" ref="Q65" si="34">IFERROR(O65*M65*K65,0)</f>
        <v>11872</v>
      </c>
      <c r="R65" s="69">
        <f t="shared" ref="R65" si="35">Q65-P65</f>
        <v>0</v>
      </c>
      <c r="S65" s="70">
        <v>0.06</v>
      </c>
      <c r="T65" s="70">
        <v>0</v>
      </c>
      <c r="U65" s="310" t="s">
        <v>3234</v>
      </c>
      <c r="V65" s="35"/>
    </row>
    <row r="66" spans="1:22" s="18" customFormat="1" ht="34.9" customHeight="1">
      <c r="A66" s="278" t="s">
        <v>2292</v>
      </c>
      <c r="B66" s="279" t="s">
        <v>2387</v>
      </c>
      <c r="C66" s="278" t="s">
        <v>2292</v>
      </c>
      <c r="D66" s="278" t="s">
        <v>2502</v>
      </c>
      <c r="E66" s="45" t="s">
        <v>2283</v>
      </c>
      <c r="F66" s="283" t="s">
        <v>2501</v>
      </c>
      <c r="G66" s="311" t="str">
        <f>_xlfn.IFNA(IF(VLOOKUP($F66,'3.框架内物料'!$A:$E,2,0)=0,"请勿填写",VLOOKUP($F66,'3.框架内物料'!$A:$E,2,0)),"")</f>
        <v>M939882634395557889</v>
      </c>
      <c r="H66" s="281" t="str">
        <f>_xlfn.IFNA(VLOOKUP($F66,'3.框架内物料'!$A:$E,4,0),"")</f>
        <v>Onsite 人员-服务人员-地接上会服务人员-人员劳务费。不含住宿、交通、补贴等费用，每天不超过8小时</v>
      </c>
      <c r="I66" s="34" t="str">
        <f>_xlfn.IFNA(VLOOKUP($F66,'3.框架内物料'!$A:$E,5,0),"")</f>
        <v>人/天</v>
      </c>
      <c r="J66" s="55">
        <f>_xlfn.IFNA(VLOOKUP($F66,'3.框架内物料'!$A:$F,6,0),"")</f>
        <v>530</v>
      </c>
      <c r="K66" s="55">
        <f>_xlfn.IFNA(VLOOKUP($F66,'[2]3.框架内物料'!$A:$F,6,0),"")</f>
        <v>530</v>
      </c>
      <c r="L66" s="34">
        <v>1</v>
      </c>
      <c r="M66" s="34">
        <v>1</v>
      </c>
      <c r="N66" s="34">
        <v>35</v>
      </c>
      <c r="O66" s="34">
        <v>35</v>
      </c>
      <c r="P66" s="61">
        <f>IFERROR(N66*L66*J66,0)</f>
        <v>18550</v>
      </c>
      <c r="Q66" s="61">
        <f>IFERROR(O66*M66*K66,0)</f>
        <v>18550</v>
      </c>
      <c r="R66" s="69">
        <f t="shared" ref="R66" si="36">Q66-P66</f>
        <v>0</v>
      </c>
      <c r="S66" s="70">
        <v>0.06</v>
      </c>
      <c r="T66" s="70">
        <v>0</v>
      </c>
      <c r="U66" s="310" t="s">
        <v>3721</v>
      </c>
      <c r="V66" s="35"/>
    </row>
    <row r="67" spans="1:22" s="18" customFormat="1" ht="130.15" customHeight="1">
      <c r="A67" s="278" t="s">
        <v>2292</v>
      </c>
      <c r="B67" s="279" t="s">
        <v>2387</v>
      </c>
      <c r="C67" s="278" t="s">
        <v>2292</v>
      </c>
      <c r="D67" s="278" t="s">
        <v>2500</v>
      </c>
      <c r="E67" s="45" t="s">
        <v>2283</v>
      </c>
      <c r="F67" s="283" t="s">
        <v>2501</v>
      </c>
      <c r="G67" s="311" t="str">
        <f>_xlfn.IFNA(IF(VLOOKUP($F67,'3.框架内物料'!$A:$E,2,0)=0,"请勿填写",VLOOKUP($F67,'3.框架内物料'!$A:$E,2,0)),"")</f>
        <v>M939882634395557889</v>
      </c>
      <c r="H67" s="297" t="str">
        <f>_xlfn.IFNA(VLOOKUP($F67,'3.框架内物料'!$A:$E,4,0),"")</f>
        <v>Onsite 人员-服务人员-地接上会服务人员-人员劳务费。不含住宿、交通、补贴等费用，每天不超过8小时</v>
      </c>
      <c r="I67" s="34" t="str">
        <f>_xlfn.IFNA(VLOOKUP($F67,'3.框架内物料'!$A:$E,5,0),"")</f>
        <v>人/天</v>
      </c>
      <c r="J67" s="55">
        <f>_xlfn.IFNA(VLOOKUP($F67,'3.框架内物料'!$A:$F,6,0),"")</f>
        <v>530</v>
      </c>
      <c r="K67" s="55">
        <f>_xlfn.IFNA(VLOOKUP($F67,'[2]3.框架内物料'!$A:$F,6,0),"")</f>
        <v>530</v>
      </c>
      <c r="L67" s="34">
        <v>163</v>
      </c>
      <c r="M67" s="34">
        <v>160</v>
      </c>
      <c r="N67" s="34">
        <v>1</v>
      </c>
      <c r="O67" s="34">
        <v>1</v>
      </c>
      <c r="P67" s="61">
        <f>IFERROR(N67*L67*J67,0)</f>
        <v>86390</v>
      </c>
      <c r="Q67" s="61">
        <f>IFERROR(O67*M67*K67,0)</f>
        <v>84800</v>
      </c>
      <c r="R67" s="69">
        <f t="shared" si="29"/>
        <v>-1590</v>
      </c>
      <c r="S67" s="70">
        <v>0.06</v>
      </c>
      <c r="T67" s="70">
        <v>0</v>
      </c>
      <c r="U67" s="310" t="s">
        <v>3726</v>
      </c>
      <c r="V67" s="35"/>
    </row>
    <row r="68" spans="1:22" s="235" customFormat="1" ht="27.75">
      <c r="A68" s="223" t="s">
        <v>2292</v>
      </c>
      <c r="B68" s="224" t="s">
        <v>2387</v>
      </c>
      <c r="C68" s="223" t="s">
        <v>2292</v>
      </c>
      <c r="D68" s="223" t="s">
        <v>2503</v>
      </c>
      <c r="E68" s="226" t="s">
        <v>2283</v>
      </c>
      <c r="F68" s="227" t="s">
        <v>2501</v>
      </c>
      <c r="G68" s="241" t="str">
        <f>_xlfn.IFNA(IF(VLOOKUP($F68,'3.框架内物料'!$A:$E,2,0)=0,"请勿填写",VLOOKUP($F68,'3.框架内物料'!$A:$E,2,0)),"")</f>
        <v>M939882634395557889</v>
      </c>
      <c r="H68" s="242" t="str">
        <f>_xlfn.IFNA(VLOOKUP($F68,'3.框架内物料'!$A:$E,4,0),"")</f>
        <v>Onsite 人员-服务人员-地接上会服务人员-人员劳务费。不含住宿、交通、补贴等费用，每天不超过8小时</v>
      </c>
      <c r="I68" s="225" t="str">
        <f>_xlfn.IFNA(VLOOKUP($F68,'3.框架内物料'!$A:$E,5,0),"")</f>
        <v>人/天</v>
      </c>
      <c r="J68" s="229">
        <f>_xlfn.IFNA(VLOOKUP($F68,'3.框架内物料'!$A:$F,6,0),"")</f>
        <v>530</v>
      </c>
      <c r="K68" s="229">
        <f>_xlfn.IFNA(VLOOKUP($F68,'[2]3.框架内物料'!$A:$F,6,0),"")</f>
        <v>530</v>
      </c>
      <c r="L68" s="225">
        <v>1</v>
      </c>
      <c r="M68" s="225">
        <v>0</v>
      </c>
      <c r="N68" s="225">
        <v>14</v>
      </c>
      <c r="O68" s="225">
        <v>0</v>
      </c>
      <c r="P68" s="230">
        <f>IFERROR(N68*L68*J68,0)</f>
        <v>7420</v>
      </c>
      <c r="Q68" s="230">
        <f t="shared" ref="Q68" si="37">IFERROR(O68*M68*K68,0)</f>
        <v>0</v>
      </c>
      <c r="R68" s="231">
        <f t="shared" ref="R68" si="38">Q68-P68</f>
        <v>-7420</v>
      </c>
      <c r="S68" s="232">
        <v>0.06</v>
      </c>
      <c r="T68" s="232">
        <v>0</v>
      </c>
      <c r="U68" s="244" t="s">
        <v>3233</v>
      </c>
      <c r="V68" s="234"/>
    </row>
    <row r="69" spans="1:22" s="235" customFormat="1" ht="33.85" customHeight="1">
      <c r="A69" s="223" t="s">
        <v>2292</v>
      </c>
      <c r="B69" s="224" t="s">
        <v>2387</v>
      </c>
      <c r="C69" s="223" t="s">
        <v>2292</v>
      </c>
      <c r="D69" s="223" t="s">
        <v>2504</v>
      </c>
      <c r="E69" s="226" t="s">
        <v>2283</v>
      </c>
      <c r="F69" s="227" t="s">
        <v>2505</v>
      </c>
      <c r="G69" s="241" t="str">
        <f>_xlfn.IFNA(IF(VLOOKUP($F69,'3.框架内物料'!$A:$E,2,0)=0,"请勿填写",VLOOKUP($F69,'3.框架内物料'!$A:$E,2,0)),"")</f>
        <v>M939882704493854721</v>
      </c>
      <c r="H69" s="242" t="str">
        <f>_xlfn.IFNA(VLOOKUP($F69,'3.框架内物料'!$A:$E,4,0),"")</f>
        <v>报批及安保-运营人员-保障组-高级保安-内场安保（对形象有要求）人员劳务费，每场不超过8小时，含个税</v>
      </c>
      <c r="I69" s="225" t="str">
        <f>_xlfn.IFNA(VLOOKUP($F69,'3.框架内物料'!$A:$E,5,0),"")</f>
        <v>人/场</v>
      </c>
      <c r="J69" s="229">
        <f>_xlfn.IFNA(VLOOKUP($F69,'3.框架内物料'!$A:$F,6,0),"")</f>
        <v>742</v>
      </c>
      <c r="K69" s="229">
        <f>_xlfn.IFNA(VLOOKUP($F69,'[2]3.框架内物料'!$A:$F,6,0),"")</f>
        <v>742</v>
      </c>
      <c r="L69" s="225">
        <v>94</v>
      </c>
      <c r="M69" s="225">
        <v>0</v>
      </c>
      <c r="N69" s="225">
        <v>0</v>
      </c>
      <c r="O69" s="225">
        <v>0</v>
      </c>
      <c r="P69" s="230">
        <f t="shared" si="30"/>
        <v>0</v>
      </c>
      <c r="Q69" s="230">
        <f t="shared" ref="Q69" si="39">IFERROR(O69*M69*K69,0)</f>
        <v>0</v>
      </c>
      <c r="R69" s="231">
        <f t="shared" ref="R69" si="40">Q69-P69</f>
        <v>0</v>
      </c>
      <c r="S69" s="232">
        <v>0.06</v>
      </c>
      <c r="T69" s="232">
        <v>0</v>
      </c>
      <c r="U69" s="243" t="s">
        <v>3156</v>
      </c>
      <c r="V69" s="234"/>
    </row>
    <row r="70" spans="1:22" s="235" customFormat="1" ht="33.85" customHeight="1">
      <c r="A70" s="223" t="s">
        <v>2292</v>
      </c>
      <c r="B70" s="224" t="s">
        <v>2387</v>
      </c>
      <c r="C70" s="223" t="s">
        <v>2292</v>
      </c>
      <c r="D70" s="223" t="s">
        <v>2504</v>
      </c>
      <c r="E70" s="226" t="s">
        <v>2283</v>
      </c>
      <c r="F70" s="227" t="s">
        <v>2506</v>
      </c>
      <c r="G70" s="241" t="str">
        <f>_xlfn.IFNA(IF(VLOOKUP($F70,'3.框架内物料'!$A:$E,2,0)=0,"请勿填写",VLOOKUP($F70,'3.框架内物料'!$A:$E,2,0)),"")</f>
        <v>M947580500727717890</v>
      </c>
      <c r="H70" s="242" t="str">
        <f>_xlfn.IFNA(VLOOKUP($F70,'3.框架内物料'!$A:$E,4,0),"")</f>
        <v>报批及安保-运营人员-保障组-特级保安-不含住宿、交通、补贴、餐费等费用，艺人随性，负责艺人的安全监控。</v>
      </c>
      <c r="I70" s="225" t="str">
        <f>_xlfn.IFNA(VLOOKUP($F70,'3.框架内物料'!$A:$E,5,0),"")</f>
        <v>人/场</v>
      </c>
      <c r="J70" s="229">
        <f>_xlfn.IFNA(VLOOKUP($F70,'3.框架内物料'!$A:$F,6,0),"")</f>
        <v>1272</v>
      </c>
      <c r="K70" s="229">
        <f>_xlfn.IFNA(VLOOKUP($F70,'[2]3.框架内物料'!$A:$F,6,0),"")</f>
        <v>1272</v>
      </c>
      <c r="L70" s="225">
        <v>10</v>
      </c>
      <c r="M70" s="225">
        <v>0</v>
      </c>
      <c r="N70" s="225">
        <v>0</v>
      </c>
      <c r="O70" s="225">
        <v>0</v>
      </c>
      <c r="P70" s="230">
        <f t="shared" si="30"/>
        <v>0</v>
      </c>
      <c r="Q70" s="230">
        <f t="shared" ref="Q70" si="41">IFERROR(O70*M70*K70,0)</f>
        <v>0</v>
      </c>
      <c r="R70" s="231">
        <f t="shared" ref="R70" si="42">Q70-P70</f>
        <v>0</v>
      </c>
      <c r="S70" s="232">
        <v>0.06</v>
      </c>
      <c r="T70" s="232">
        <v>0</v>
      </c>
      <c r="U70" s="243" t="s">
        <v>3156</v>
      </c>
      <c r="V70" s="234"/>
    </row>
    <row r="71" spans="1:22" s="18" customFormat="1" ht="18.399999999999999" customHeight="1">
      <c r="A71" s="278" t="s">
        <v>2292</v>
      </c>
      <c r="B71" s="279" t="s">
        <v>2387</v>
      </c>
      <c r="C71" s="278" t="s">
        <v>2292</v>
      </c>
      <c r="D71" s="278" t="s">
        <v>2507</v>
      </c>
      <c r="E71" s="34" t="s">
        <v>2290</v>
      </c>
      <c r="F71" s="283"/>
      <c r="G71" s="311" t="str">
        <f>_xlfn.IFNA(IF(VLOOKUP($F71,'3.框架内物料'!$A:$E,2,0)=0,"请勿填写",VLOOKUP($F71,'3.框架内物料'!$A:$E,2,0)),"")</f>
        <v/>
      </c>
      <c r="H71" s="281" t="s">
        <v>2508</v>
      </c>
      <c r="I71" s="34" t="s">
        <v>2509</v>
      </c>
      <c r="J71" s="55">
        <f>1.06*2500</f>
        <v>2650</v>
      </c>
      <c r="K71" s="55">
        <f>1.06*2500</f>
        <v>2650</v>
      </c>
      <c r="L71" s="34">
        <v>1</v>
      </c>
      <c r="M71" s="34">
        <v>1</v>
      </c>
      <c r="N71" s="34">
        <v>3</v>
      </c>
      <c r="O71" s="34">
        <v>4</v>
      </c>
      <c r="P71" s="61">
        <f t="shared" si="30"/>
        <v>7950</v>
      </c>
      <c r="Q71" s="61">
        <f>IFERROR(O71*M71*K71,0)</f>
        <v>10600</v>
      </c>
      <c r="R71" s="69">
        <f>Q71-P71</f>
        <v>2650</v>
      </c>
      <c r="S71" s="70">
        <v>0.06</v>
      </c>
      <c r="T71" s="70">
        <v>0</v>
      </c>
      <c r="U71" s="288" t="s">
        <v>3719</v>
      </c>
      <c r="V71" s="35"/>
    </row>
    <row r="72" spans="1:22" s="18" customFormat="1" ht="18.399999999999999" customHeight="1">
      <c r="A72" s="278" t="s">
        <v>2292</v>
      </c>
      <c r="B72" s="279" t="s">
        <v>2387</v>
      </c>
      <c r="C72" s="278" t="s">
        <v>2292</v>
      </c>
      <c r="D72" s="278" t="s">
        <v>2507</v>
      </c>
      <c r="E72" s="34" t="s">
        <v>2290</v>
      </c>
      <c r="F72" s="283"/>
      <c r="G72" s="311" t="str">
        <f>_xlfn.IFNA(IF(VLOOKUP($F72,'3.框架内物料'!$A:$E,2,0)=0,"请勿填写",VLOOKUP($F72,'3.框架内物料'!$A:$E,2,0)),"")</f>
        <v/>
      </c>
      <c r="H72" s="281" t="s">
        <v>2510</v>
      </c>
      <c r="I72" s="34" t="s">
        <v>2509</v>
      </c>
      <c r="J72" s="55">
        <f>1.06*1500</f>
        <v>1590</v>
      </c>
      <c r="K72" s="55">
        <f>1.06*1500</f>
        <v>1590</v>
      </c>
      <c r="L72" s="34">
        <v>2</v>
      </c>
      <c r="M72" s="34">
        <v>1</v>
      </c>
      <c r="N72" s="34">
        <v>3</v>
      </c>
      <c r="O72" s="34">
        <v>4</v>
      </c>
      <c r="P72" s="61">
        <f t="shared" si="30"/>
        <v>9540</v>
      </c>
      <c r="Q72" s="61">
        <f t="shared" ref="Q72:Q75" si="43">IFERROR(O72*M72*K72,0)</f>
        <v>6360</v>
      </c>
      <c r="R72" s="69">
        <f t="shared" ref="R72" si="44">Q72-P72</f>
        <v>-3180</v>
      </c>
      <c r="S72" s="70">
        <v>0.06</v>
      </c>
      <c r="T72" s="70">
        <v>0</v>
      </c>
      <c r="U72" s="288" t="s">
        <v>3719</v>
      </c>
      <c r="V72" s="35"/>
    </row>
    <row r="73" spans="1:22" s="18" customFormat="1" ht="18.399999999999999" customHeight="1">
      <c r="A73" s="278" t="s">
        <v>2292</v>
      </c>
      <c r="B73" s="279" t="s">
        <v>2387</v>
      </c>
      <c r="C73" s="278" t="s">
        <v>2292</v>
      </c>
      <c r="D73" s="278" t="s">
        <v>2507</v>
      </c>
      <c r="E73" s="34" t="s">
        <v>2290</v>
      </c>
      <c r="F73" s="283"/>
      <c r="G73" s="311" t="str">
        <f>_xlfn.IFNA(IF(VLOOKUP($F73,'3.框架内物料'!$A:$E,2,0)=0,"请勿填写",VLOOKUP($F73,'3.框架内物料'!$A:$E,2,0)),"")</f>
        <v/>
      </c>
      <c r="H73" s="281" t="s">
        <v>2511</v>
      </c>
      <c r="I73" s="34" t="s">
        <v>2509</v>
      </c>
      <c r="J73" s="55">
        <f>1.06*1200</f>
        <v>1272</v>
      </c>
      <c r="K73" s="55">
        <f>1.06*1200</f>
        <v>1272</v>
      </c>
      <c r="L73" s="34">
        <v>4</v>
      </c>
      <c r="M73" s="34">
        <v>1</v>
      </c>
      <c r="N73" s="34">
        <v>3</v>
      </c>
      <c r="O73" s="34">
        <v>4</v>
      </c>
      <c r="P73" s="61">
        <f t="shared" si="30"/>
        <v>15264</v>
      </c>
      <c r="Q73" s="61">
        <f t="shared" si="43"/>
        <v>5088</v>
      </c>
      <c r="R73" s="69">
        <f t="shared" ref="R73:R75" si="45">Q73-P73</f>
        <v>-10176</v>
      </c>
      <c r="S73" s="70">
        <v>0.06</v>
      </c>
      <c r="T73" s="70">
        <v>0</v>
      </c>
      <c r="U73" s="288" t="s">
        <v>3719</v>
      </c>
      <c r="V73" s="35"/>
    </row>
    <row r="74" spans="1:22" s="18" customFormat="1">
      <c r="A74" s="278" t="s">
        <v>2292</v>
      </c>
      <c r="B74" s="279" t="s">
        <v>2387</v>
      </c>
      <c r="C74" s="278" t="s">
        <v>2292</v>
      </c>
      <c r="D74" s="278" t="s">
        <v>3740</v>
      </c>
      <c r="E74" s="34" t="s">
        <v>2290</v>
      </c>
      <c r="F74" s="283"/>
      <c r="G74" s="311" t="str">
        <f>_xlfn.IFNA(IF(VLOOKUP($F74,'3.框架内物料'!$A:$E,2,0)=0,"请勿填写",VLOOKUP($F74,'3.框架内物料'!$A:$E,2,0)),"")</f>
        <v/>
      </c>
      <c r="H74" s="281" t="str">
        <f>_xlfn.IFNA(VLOOKUP($F74,'3.框架内物料'!$A:$E,4,0),"")</f>
        <v/>
      </c>
      <c r="I74" s="34" t="s">
        <v>49</v>
      </c>
      <c r="J74" s="55">
        <v>0</v>
      </c>
      <c r="K74" s="55">
        <f>1.06*11310</f>
        <v>11988.6</v>
      </c>
      <c r="L74" s="34">
        <v>0</v>
      </c>
      <c r="M74" s="34">
        <v>1</v>
      </c>
      <c r="N74" s="34">
        <v>0</v>
      </c>
      <c r="O74" s="34">
        <v>1</v>
      </c>
      <c r="P74" s="61">
        <f t="shared" ref="P74" si="46">IFERROR(N74*L74*J74,0)</f>
        <v>0</v>
      </c>
      <c r="Q74" s="61">
        <f>IFERROR(O74*M74*K74,0)</f>
        <v>11988.6</v>
      </c>
      <c r="R74" s="69">
        <f t="shared" si="45"/>
        <v>11988.6</v>
      </c>
      <c r="S74" s="70">
        <v>0.06</v>
      </c>
      <c r="T74" s="70">
        <v>0</v>
      </c>
      <c r="U74" s="288" t="s">
        <v>3742</v>
      </c>
      <c r="V74" s="35"/>
    </row>
    <row r="75" spans="1:22" s="18" customFormat="1" ht="27.75">
      <c r="A75" s="278" t="s">
        <v>2292</v>
      </c>
      <c r="B75" s="279" t="s">
        <v>2387</v>
      </c>
      <c r="C75" s="278" t="s">
        <v>2292</v>
      </c>
      <c r="D75" s="278" t="s">
        <v>3716</v>
      </c>
      <c r="E75" s="45" t="s">
        <v>2283</v>
      </c>
      <c r="F75" s="283" t="s">
        <v>3717</v>
      </c>
      <c r="G75" s="311" t="str">
        <f>_xlfn.IFNA(IF(VLOOKUP($F75,'3.框架内物料'!$A:$E,2,0)=0,"请勿填写",VLOOKUP($F75,'3.框架内物料'!$A:$E,2,0)),"")</f>
        <v>M939882671136428033</v>
      </c>
      <c r="H75" s="281" t="str">
        <f>_xlfn.IFNA(VLOOKUP($F75,'3.框架内物料'!$A:$E,4,0),"")</f>
        <v>Onsite 人员-导游-高级中文导游-人员劳务费。不含住宿、交通、补贴等费用，每天不超过8小时</v>
      </c>
      <c r="I75" s="34" t="str">
        <f>_xlfn.IFNA(VLOOKUP($F75,'3.框架内物料'!$A:$E,5,0),"")</f>
        <v>人/天</v>
      </c>
      <c r="J75" s="55">
        <v>0</v>
      </c>
      <c r="K75" s="55">
        <f>_xlfn.IFNA(VLOOKUP($F75,'[2]3.框架内物料'!$A:$F,6,0),"")</f>
        <v>989.33</v>
      </c>
      <c r="L75" s="34">
        <v>0</v>
      </c>
      <c r="M75" s="34">
        <v>1</v>
      </c>
      <c r="N75" s="34">
        <v>0</v>
      </c>
      <c r="O75" s="34">
        <v>1</v>
      </c>
      <c r="P75" s="61">
        <f>IFERROR(N75*L75*J75,0)</f>
        <v>0</v>
      </c>
      <c r="Q75" s="61">
        <f t="shared" si="43"/>
        <v>989.33</v>
      </c>
      <c r="R75" s="69">
        <f t="shared" si="45"/>
        <v>989.33</v>
      </c>
      <c r="S75" s="70">
        <v>0.06</v>
      </c>
      <c r="T75" s="70">
        <v>0</v>
      </c>
      <c r="U75" s="288" t="s">
        <v>3718</v>
      </c>
      <c r="V75" s="35"/>
    </row>
    <row r="76" spans="1:22" s="18" customFormat="1">
      <c r="A76" s="278" t="s">
        <v>2292</v>
      </c>
      <c r="B76" s="279" t="s">
        <v>2387</v>
      </c>
      <c r="C76" s="278" t="s">
        <v>2292</v>
      </c>
      <c r="D76" s="278" t="s">
        <v>2512</v>
      </c>
      <c r="E76" s="34" t="s">
        <v>2290</v>
      </c>
      <c r="F76" s="283"/>
      <c r="G76" s="311" t="str">
        <f>_xlfn.IFNA(IF(VLOOKUP($F76,'3.框架内物料'!$A:$E,2,0)=0,"请勿填写",VLOOKUP($F76,'3.框架内物料'!$A:$E,2,0)),"")</f>
        <v/>
      </c>
      <c r="H76" s="281" t="str">
        <f>_xlfn.IFNA(VLOOKUP($F76,'3.框架内物料'!$A:$E,4,0),"")</f>
        <v/>
      </c>
      <c r="I76" s="34" t="s">
        <v>49</v>
      </c>
      <c r="J76" s="55">
        <f>1.06*10000</f>
        <v>10600</v>
      </c>
      <c r="K76" s="55">
        <f>1.06*31560</f>
        <v>33453.599999999999</v>
      </c>
      <c r="L76" s="34">
        <v>1</v>
      </c>
      <c r="M76" s="34">
        <v>1</v>
      </c>
      <c r="N76" s="34">
        <v>1</v>
      </c>
      <c r="O76" s="34">
        <v>1</v>
      </c>
      <c r="P76" s="61">
        <f t="shared" si="30"/>
        <v>10600</v>
      </c>
      <c r="Q76" s="61">
        <f>IFERROR(O76*M76*K76,0)</f>
        <v>33453.599999999999</v>
      </c>
      <c r="R76" s="69">
        <f t="shared" si="29"/>
        <v>22853.599999999999</v>
      </c>
      <c r="S76" s="70">
        <v>0.06</v>
      </c>
      <c r="T76" s="70">
        <v>0</v>
      </c>
      <c r="U76" s="288" t="s">
        <v>3741</v>
      </c>
      <c r="V76" s="35"/>
    </row>
    <row r="77" spans="1:22" s="18" customFormat="1" ht="23" customHeight="1">
      <c r="A77" s="36"/>
      <c r="B77" s="37"/>
      <c r="C77" s="37"/>
      <c r="D77" s="37"/>
      <c r="E77" s="37"/>
      <c r="F77" s="46"/>
      <c r="G77" s="46"/>
      <c r="H77" s="47"/>
      <c r="I77" s="46"/>
      <c r="J77" s="46"/>
      <c r="K77" s="57"/>
      <c r="L77" s="46"/>
      <c r="M77" s="46"/>
      <c r="N77" s="46"/>
      <c r="O77" s="46"/>
      <c r="P77" s="347" t="s">
        <v>2293</v>
      </c>
      <c r="Q77" s="348"/>
      <c r="R77" s="349"/>
      <c r="S77" s="71"/>
      <c r="T77" s="71"/>
      <c r="U77" s="77"/>
      <c r="V77" s="78"/>
    </row>
    <row r="78" spans="1:22" s="18" customFormat="1" ht="23" customHeight="1">
      <c r="A78" s="38"/>
      <c r="B78" s="39"/>
      <c r="C78" s="39"/>
      <c r="D78" s="39"/>
      <c r="E78" s="39"/>
      <c r="F78" s="48"/>
      <c r="G78" s="48"/>
      <c r="H78" s="49"/>
      <c r="I78" s="48"/>
      <c r="J78" s="48"/>
      <c r="K78" s="58"/>
      <c r="L78" s="48"/>
      <c r="M78" s="48"/>
      <c r="N78" s="48"/>
      <c r="O78" s="48"/>
      <c r="P78" s="62">
        <f>SUM(P61:P76)</f>
        <v>241468</v>
      </c>
      <c r="Q78" s="62">
        <f>SUM(Q61:Q76)</f>
        <v>257795.53</v>
      </c>
      <c r="R78" s="62">
        <f>Q78-P78</f>
        <v>16327.529999999999</v>
      </c>
      <c r="S78" s="72"/>
      <c r="T78" s="73"/>
      <c r="U78" s="49"/>
      <c r="V78" s="79"/>
    </row>
    <row r="79" spans="1:22" s="19" customFormat="1" ht="83.25">
      <c r="A79" s="278" t="s">
        <v>2305</v>
      </c>
      <c r="B79" s="279" t="s">
        <v>2387</v>
      </c>
      <c r="C79" s="34" t="s">
        <v>2306</v>
      </c>
      <c r="D79" s="34" t="s">
        <v>2513</v>
      </c>
      <c r="E79" s="34" t="s">
        <v>2290</v>
      </c>
      <c r="F79" s="283"/>
      <c r="G79" s="34"/>
      <c r="H79" s="297" t="s">
        <v>2514</v>
      </c>
      <c r="I79" s="34" t="s">
        <v>2515</v>
      </c>
      <c r="J79" s="55">
        <f>1.06*6500</f>
        <v>6890</v>
      </c>
      <c r="K79" s="313">
        <f>1.06*(709290+20234)</f>
        <v>773295.44000000006</v>
      </c>
      <c r="L79" s="34">
        <v>100</v>
      </c>
      <c r="M79" s="34">
        <v>1</v>
      </c>
      <c r="N79" s="34">
        <v>1</v>
      </c>
      <c r="O79" s="34">
        <v>1</v>
      </c>
      <c r="P79" s="61">
        <f>IFERROR(N79*L79*J79,0)</f>
        <v>689000</v>
      </c>
      <c r="Q79" s="61">
        <f>IFERROR(O79*M79*K79,0)</f>
        <v>773295.44000000006</v>
      </c>
      <c r="R79" s="69">
        <f t="shared" ref="R79" si="47">Q79-P79</f>
        <v>84295.440000000061</v>
      </c>
      <c r="S79" s="70">
        <v>0.06</v>
      </c>
      <c r="T79" s="70">
        <v>0</v>
      </c>
      <c r="U79" s="312" t="s">
        <v>3692</v>
      </c>
      <c r="V79" s="35"/>
    </row>
    <row r="80" spans="1:22" s="19" customFormat="1" ht="42" customHeight="1">
      <c r="A80" s="278" t="s">
        <v>2305</v>
      </c>
      <c r="B80" s="279" t="s">
        <v>2387</v>
      </c>
      <c r="C80" s="34" t="s">
        <v>2516</v>
      </c>
      <c r="D80" s="34" t="s">
        <v>2517</v>
      </c>
      <c r="E80" s="34" t="s">
        <v>2290</v>
      </c>
      <c r="F80" s="283"/>
      <c r="G80" s="34"/>
      <c r="H80" s="297" t="s">
        <v>2518</v>
      </c>
      <c r="I80" s="34" t="s">
        <v>2515</v>
      </c>
      <c r="J80" s="55">
        <f>1.06*1800</f>
        <v>1908</v>
      </c>
      <c r="K80" s="313">
        <f>1.06*93626</f>
        <v>99243.560000000012</v>
      </c>
      <c r="L80" s="34">
        <v>20</v>
      </c>
      <c r="M80" s="34">
        <v>1</v>
      </c>
      <c r="N80" s="34">
        <v>1</v>
      </c>
      <c r="O80" s="34">
        <v>1</v>
      </c>
      <c r="P80" s="61">
        <f t="shared" ref="P80:P81" si="48">IFERROR(N80*L80*J80,0)</f>
        <v>38160</v>
      </c>
      <c r="Q80" s="61">
        <f>IFERROR(O80*M80*K80,0)</f>
        <v>99243.560000000012</v>
      </c>
      <c r="R80" s="69">
        <f t="shared" ref="R80:R159" si="49">Q80-P80</f>
        <v>61083.560000000012</v>
      </c>
      <c r="S80" s="70">
        <v>0.06</v>
      </c>
      <c r="T80" s="70">
        <v>0</v>
      </c>
      <c r="U80" s="312" t="s">
        <v>3690</v>
      </c>
      <c r="V80" s="35"/>
    </row>
    <row r="81" spans="1:22" s="19" customFormat="1" ht="29.65" customHeight="1">
      <c r="A81" s="278" t="s">
        <v>2305</v>
      </c>
      <c r="B81" s="279" t="s">
        <v>2387</v>
      </c>
      <c r="C81" s="34" t="s">
        <v>2306</v>
      </c>
      <c r="D81" s="34" t="s">
        <v>2519</v>
      </c>
      <c r="E81" s="34" t="s">
        <v>2290</v>
      </c>
      <c r="F81" s="283"/>
      <c r="G81" s="34"/>
      <c r="H81" s="297" t="s">
        <v>3691</v>
      </c>
      <c r="I81" s="34" t="s">
        <v>2515</v>
      </c>
      <c r="J81" s="55">
        <f>1.06*2400</f>
        <v>2544</v>
      </c>
      <c r="K81" s="313">
        <f>1.06*20627.65</f>
        <v>21865.309000000001</v>
      </c>
      <c r="L81" s="34">
        <v>500</v>
      </c>
      <c r="M81" s="34">
        <v>1</v>
      </c>
      <c r="N81" s="34">
        <v>1</v>
      </c>
      <c r="O81" s="34">
        <v>1</v>
      </c>
      <c r="P81" s="61">
        <f t="shared" si="48"/>
        <v>1272000</v>
      </c>
      <c r="Q81" s="61">
        <f>IFERROR(O81*M81*K81,0)</f>
        <v>21865.309000000001</v>
      </c>
      <c r="R81" s="69">
        <f>Q81-P81</f>
        <v>-1250134.6910000001</v>
      </c>
      <c r="S81" s="70">
        <v>0.06</v>
      </c>
      <c r="T81" s="70">
        <v>0</v>
      </c>
      <c r="U81" s="312" t="s">
        <v>3713</v>
      </c>
      <c r="V81" s="35"/>
    </row>
    <row r="82" spans="1:22" s="19" customFormat="1" ht="31.9" customHeight="1">
      <c r="A82" s="278" t="s">
        <v>2305</v>
      </c>
      <c r="B82" s="279" t="s">
        <v>2387</v>
      </c>
      <c r="C82" s="34" t="s">
        <v>2520</v>
      </c>
      <c r="D82" s="34" t="s">
        <v>2524</v>
      </c>
      <c r="E82" s="34" t="s">
        <v>2290</v>
      </c>
      <c r="F82" s="283"/>
      <c r="G82" s="34" t="str">
        <f>_xlfn.IFNA(IF(VLOOKUP($F82,'3.框架内物料'!$A:$E,2,0)=0,"请勿填写",VLOOKUP($F82,'3.框架内物料'!$A:$E,2,0)),"")</f>
        <v/>
      </c>
      <c r="H82" s="297" t="s">
        <v>3241</v>
      </c>
      <c r="I82" s="34" t="s">
        <v>2509</v>
      </c>
      <c r="J82" s="55">
        <f>2000*0.7</f>
        <v>1400</v>
      </c>
      <c r="K82" s="313">
        <v>400</v>
      </c>
      <c r="L82" s="34">
        <v>3</v>
      </c>
      <c r="M82" s="34">
        <v>1</v>
      </c>
      <c r="N82" s="34">
        <v>2</v>
      </c>
      <c r="O82" s="34">
        <v>1</v>
      </c>
      <c r="P82" s="61">
        <f>IFERROR(N82*L82*J82,0)</f>
        <v>8400</v>
      </c>
      <c r="Q82" s="61">
        <f>IFERROR(O82*M82*K82,0)</f>
        <v>400</v>
      </c>
      <c r="R82" s="69">
        <f>Q82-P82</f>
        <v>-8000</v>
      </c>
      <c r="S82" s="314">
        <v>0</v>
      </c>
      <c r="T82" s="70">
        <v>0</v>
      </c>
      <c r="U82" s="312" t="s">
        <v>3238</v>
      </c>
      <c r="V82" s="35"/>
    </row>
    <row r="83" spans="1:22" s="19" customFormat="1" ht="33.4" customHeight="1">
      <c r="A83" s="278" t="s">
        <v>2305</v>
      </c>
      <c r="B83" s="279" t="s">
        <v>2387</v>
      </c>
      <c r="C83" s="34" t="s">
        <v>2520</v>
      </c>
      <c r="D83" s="34" t="s">
        <v>3242</v>
      </c>
      <c r="E83" s="34" t="s">
        <v>2290</v>
      </c>
      <c r="F83" s="283"/>
      <c r="G83" s="34" t="str">
        <f>_xlfn.IFNA(IF(VLOOKUP($F83,'3.框架内物料'!$A:$E,2,0)=0,"请勿填写",VLOOKUP($F83,'3.框架内物料'!$A:$E,2,0)),"")</f>
        <v/>
      </c>
      <c r="H83" s="297" t="s">
        <v>3240</v>
      </c>
      <c r="I83" s="34" t="s">
        <v>2509</v>
      </c>
      <c r="J83" s="55">
        <f>800*0.7</f>
        <v>560</v>
      </c>
      <c r="K83" s="55">
        <f>800*0.7</f>
        <v>560</v>
      </c>
      <c r="L83" s="34">
        <v>86</v>
      </c>
      <c r="M83" s="34">
        <f>56+77</f>
        <v>133</v>
      </c>
      <c r="N83" s="34">
        <v>2</v>
      </c>
      <c r="O83" s="34">
        <v>1</v>
      </c>
      <c r="P83" s="61">
        <f>IFERROR(N83*L83*J83,0)</f>
        <v>96320</v>
      </c>
      <c r="Q83" s="61">
        <f t="shared" ref="Q83:Q99" si="50">IFERROR(O83*M83*K83,0)</f>
        <v>74480</v>
      </c>
      <c r="R83" s="69">
        <f t="shared" si="49"/>
        <v>-21840</v>
      </c>
      <c r="S83" s="314">
        <v>0</v>
      </c>
      <c r="T83" s="70">
        <v>0</v>
      </c>
      <c r="U83" s="312" t="s">
        <v>3243</v>
      </c>
      <c r="V83" s="35"/>
    </row>
    <row r="84" spans="1:22" s="19" customFormat="1" ht="31.15" customHeight="1">
      <c r="A84" s="278" t="s">
        <v>2305</v>
      </c>
      <c r="B84" s="279" t="s">
        <v>2387</v>
      </c>
      <c r="C84" s="34" t="s">
        <v>2520</v>
      </c>
      <c r="D84" s="34" t="s">
        <v>3284</v>
      </c>
      <c r="E84" s="34" t="s">
        <v>2290</v>
      </c>
      <c r="F84" s="283"/>
      <c r="G84" s="34" t="str">
        <f>_xlfn.IFNA(IF(VLOOKUP($F84,'3.框架内物料'!$A:$E,2,0)=0,"请勿填写",VLOOKUP($F84,'3.框架内物料'!$A:$E,2,0)),"")</f>
        <v/>
      </c>
      <c r="H84" s="297" t="s">
        <v>3239</v>
      </c>
      <c r="I84" s="34" t="s">
        <v>2509</v>
      </c>
      <c r="J84" s="55">
        <v>400</v>
      </c>
      <c r="K84" s="313">
        <v>400</v>
      </c>
      <c r="L84" s="34">
        <v>191</v>
      </c>
      <c r="M84" s="34">
        <f>3+119+149</f>
        <v>271</v>
      </c>
      <c r="N84" s="34">
        <v>2</v>
      </c>
      <c r="O84" s="34">
        <v>1</v>
      </c>
      <c r="P84" s="61">
        <f t="shared" ref="P84:P106" si="51">IFERROR(N84*L84*J84,0)</f>
        <v>152800</v>
      </c>
      <c r="Q84" s="61">
        <f t="shared" si="50"/>
        <v>108400</v>
      </c>
      <c r="R84" s="69">
        <f t="shared" si="49"/>
        <v>-44400</v>
      </c>
      <c r="S84" s="314">
        <v>0</v>
      </c>
      <c r="T84" s="70">
        <v>0</v>
      </c>
      <c r="U84" s="312" t="s">
        <v>3244</v>
      </c>
      <c r="V84" s="35"/>
    </row>
    <row r="85" spans="1:22" s="19" customFormat="1" ht="32" customHeight="1">
      <c r="A85" s="278" t="s">
        <v>2305</v>
      </c>
      <c r="B85" s="279" t="s">
        <v>2387</v>
      </c>
      <c r="C85" s="34" t="s">
        <v>2520</v>
      </c>
      <c r="D85" s="34" t="s">
        <v>2521</v>
      </c>
      <c r="E85" s="34" t="s">
        <v>2290</v>
      </c>
      <c r="F85" s="283"/>
      <c r="G85" s="34" t="str">
        <f>_xlfn.IFNA(IF(VLOOKUP($F85,'3.框架内物料'!$A:$E,2,0)=0,"请勿填写",VLOOKUP($F85,'3.框架内物料'!$A:$E,2,0)),"")</f>
        <v/>
      </c>
      <c r="H85" s="297" t="s">
        <v>3237</v>
      </c>
      <c r="I85" s="34" t="s">
        <v>2509</v>
      </c>
      <c r="J85" s="55">
        <v>0</v>
      </c>
      <c r="K85" s="313">
        <v>450</v>
      </c>
      <c r="L85" s="34">
        <v>0</v>
      </c>
      <c r="M85" s="34">
        <f>1+29+29</f>
        <v>59</v>
      </c>
      <c r="N85" s="34">
        <v>0</v>
      </c>
      <c r="O85" s="34">
        <v>1</v>
      </c>
      <c r="P85" s="61">
        <f t="shared" ref="P85" si="52">IFERROR(N85*L85*J85,0)</f>
        <v>0</v>
      </c>
      <c r="Q85" s="61">
        <f t="shared" si="50"/>
        <v>26550</v>
      </c>
      <c r="R85" s="69">
        <f t="shared" ref="R85" si="53">Q85-P85</f>
        <v>26550</v>
      </c>
      <c r="S85" s="314">
        <v>0</v>
      </c>
      <c r="T85" s="70">
        <v>0</v>
      </c>
      <c r="U85" s="312" t="s">
        <v>3245</v>
      </c>
      <c r="V85" s="35"/>
    </row>
    <row r="86" spans="1:22" s="19" customFormat="1" ht="32" customHeight="1">
      <c r="A86" s="278" t="s">
        <v>2305</v>
      </c>
      <c r="B86" s="279" t="s">
        <v>2387</v>
      </c>
      <c r="C86" s="34" t="s">
        <v>2520</v>
      </c>
      <c r="D86" s="34" t="s">
        <v>3246</v>
      </c>
      <c r="E86" s="34" t="s">
        <v>2290</v>
      </c>
      <c r="F86" s="283"/>
      <c r="G86" s="34" t="str">
        <f>_xlfn.IFNA(IF(VLOOKUP($F86,'3.框架内物料'!$A:$E,2,0)=0,"请勿填写",VLOOKUP($F86,'3.框架内物料'!$A:$E,2,0)),"")</f>
        <v/>
      </c>
      <c r="H86" s="297" t="s">
        <v>3247</v>
      </c>
      <c r="I86" s="34" t="s">
        <v>3248</v>
      </c>
      <c r="J86" s="55">
        <v>0</v>
      </c>
      <c r="K86" s="313">
        <f>1.06*1860</f>
        <v>1971.6000000000001</v>
      </c>
      <c r="L86" s="34">
        <v>0</v>
      </c>
      <c r="M86" s="34">
        <v>1</v>
      </c>
      <c r="N86" s="34">
        <v>0</v>
      </c>
      <c r="O86" s="34">
        <v>1</v>
      </c>
      <c r="P86" s="61">
        <f>IFERROR(N86*L86*J86,0)</f>
        <v>0</v>
      </c>
      <c r="Q86" s="61">
        <f t="shared" si="50"/>
        <v>1971.6000000000001</v>
      </c>
      <c r="R86" s="69">
        <f>Q86-P86</f>
        <v>1971.6000000000001</v>
      </c>
      <c r="S86" s="70">
        <v>0.06</v>
      </c>
      <c r="T86" s="70">
        <v>0</v>
      </c>
      <c r="U86" s="312" t="s">
        <v>3249</v>
      </c>
      <c r="V86" s="35"/>
    </row>
    <row r="87" spans="1:22" s="19" customFormat="1" ht="22.9" customHeight="1">
      <c r="A87" s="278" t="s">
        <v>2305</v>
      </c>
      <c r="B87" s="279" t="s">
        <v>2387</v>
      </c>
      <c r="C87" s="34" t="s">
        <v>2527</v>
      </c>
      <c r="D87" s="34" t="s">
        <v>3251</v>
      </c>
      <c r="E87" s="34" t="s">
        <v>2290</v>
      </c>
      <c r="F87" s="283"/>
      <c r="G87" s="34"/>
      <c r="H87" s="297" t="s">
        <v>3254</v>
      </c>
      <c r="I87" s="34" t="s">
        <v>2529</v>
      </c>
      <c r="J87" s="55">
        <v>0</v>
      </c>
      <c r="K87" s="55">
        <f>1.06*614</f>
        <v>650.84</v>
      </c>
      <c r="L87" s="34">
        <v>0</v>
      </c>
      <c r="M87" s="34">
        <v>1</v>
      </c>
      <c r="N87" s="34">
        <v>0</v>
      </c>
      <c r="O87" s="34">
        <v>1</v>
      </c>
      <c r="P87" s="61">
        <f t="shared" ref="P87:P98" si="54">IFERROR(N87*L87*J87,0)</f>
        <v>0</v>
      </c>
      <c r="Q87" s="61">
        <f t="shared" si="50"/>
        <v>650.84</v>
      </c>
      <c r="R87" s="69">
        <f>Q87-P87</f>
        <v>650.84</v>
      </c>
      <c r="S87" s="70">
        <v>0.06</v>
      </c>
      <c r="T87" s="70">
        <v>0</v>
      </c>
      <c r="U87" s="309" t="s">
        <v>3250</v>
      </c>
      <c r="V87" s="35"/>
    </row>
    <row r="88" spans="1:22" s="19" customFormat="1" ht="23" customHeight="1">
      <c r="A88" s="278" t="s">
        <v>2305</v>
      </c>
      <c r="B88" s="279" t="s">
        <v>2387</v>
      </c>
      <c r="C88" s="34" t="s">
        <v>2527</v>
      </c>
      <c r="D88" s="34" t="s">
        <v>3251</v>
      </c>
      <c r="E88" s="34" t="s">
        <v>2290</v>
      </c>
      <c r="F88" s="283"/>
      <c r="G88" s="34"/>
      <c r="H88" s="297" t="s">
        <v>3255</v>
      </c>
      <c r="I88" s="34" t="s">
        <v>2529</v>
      </c>
      <c r="J88" s="55">
        <v>0</v>
      </c>
      <c r="K88" s="55">
        <f>1.06*168</f>
        <v>178.08</v>
      </c>
      <c r="L88" s="34">
        <v>0</v>
      </c>
      <c r="M88" s="34">
        <v>31</v>
      </c>
      <c r="N88" s="34">
        <v>0</v>
      </c>
      <c r="O88" s="34">
        <v>1</v>
      </c>
      <c r="P88" s="61">
        <f t="shared" si="54"/>
        <v>0</v>
      </c>
      <c r="Q88" s="61">
        <f t="shared" si="50"/>
        <v>5520.4800000000005</v>
      </c>
      <c r="R88" s="69">
        <f t="shared" ref="R88:R98" si="55">Q88-P88</f>
        <v>5520.4800000000005</v>
      </c>
      <c r="S88" s="70">
        <v>0.06</v>
      </c>
      <c r="T88" s="70">
        <v>0</v>
      </c>
      <c r="U88" s="309" t="s">
        <v>3266</v>
      </c>
      <c r="V88" s="35"/>
    </row>
    <row r="89" spans="1:22" s="19" customFormat="1" ht="23" customHeight="1">
      <c r="A89" s="278" t="s">
        <v>2305</v>
      </c>
      <c r="B89" s="279" t="s">
        <v>2387</v>
      </c>
      <c r="C89" s="34" t="s">
        <v>2527</v>
      </c>
      <c r="D89" s="34" t="s">
        <v>3252</v>
      </c>
      <c r="E89" s="34" t="s">
        <v>2290</v>
      </c>
      <c r="F89" s="283"/>
      <c r="G89" s="34"/>
      <c r="H89" s="297" t="s">
        <v>3263</v>
      </c>
      <c r="I89" s="34" t="s">
        <v>2529</v>
      </c>
      <c r="J89" s="55">
        <v>0</v>
      </c>
      <c r="K89" s="313">
        <f>1.06*960</f>
        <v>1017.6</v>
      </c>
      <c r="L89" s="34">
        <v>0</v>
      </c>
      <c r="M89" s="34">
        <v>1</v>
      </c>
      <c r="N89" s="34">
        <v>0</v>
      </c>
      <c r="O89" s="34">
        <v>1</v>
      </c>
      <c r="P89" s="61">
        <f t="shared" ref="P89:P90" si="56">IFERROR(N89*L89*J89,0)</f>
        <v>0</v>
      </c>
      <c r="Q89" s="61">
        <f t="shared" si="50"/>
        <v>1017.6</v>
      </c>
      <c r="R89" s="69">
        <f t="shared" ref="R89:R90" si="57">Q89-P89</f>
        <v>1017.6</v>
      </c>
      <c r="S89" s="70">
        <v>0.06</v>
      </c>
      <c r="T89" s="70">
        <v>0</v>
      </c>
      <c r="U89" s="309" t="s">
        <v>3253</v>
      </c>
      <c r="V89" s="35"/>
    </row>
    <row r="90" spans="1:22" s="19" customFormat="1" ht="23" customHeight="1">
      <c r="A90" s="278" t="s">
        <v>2305</v>
      </c>
      <c r="B90" s="279" t="s">
        <v>2387</v>
      </c>
      <c r="C90" s="34" t="s">
        <v>2527</v>
      </c>
      <c r="D90" s="34" t="s">
        <v>3220</v>
      </c>
      <c r="E90" s="34" t="s">
        <v>2290</v>
      </c>
      <c r="F90" s="283"/>
      <c r="G90" s="34"/>
      <c r="H90" s="297" t="s">
        <v>3256</v>
      </c>
      <c r="I90" s="34" t="s">
        <v>2529</v>
      </c>
      <c r="J90" s="55">
        <v>0</v>
      </c>
      <c r="K90" s="55">
        <f>1.06*168</f>
        <v>178.08</v>
      </c>
      <c r="L90" s="34">
        <v>0</v>
      </c>
      <c r="M90" s="34">
        <v>220</v>
      </c>
      <c r="N90" s="34">
        <v>0</v>
      </c>
      <c r="O90" s="34">
        <v>1</v>
      </c>
      <c r="P90" s="61">
        <f t="shared" si="56"/>
        <v>0</v>
      </c>
      <c r="Q90" s="61">
        <f t="shared" si="50"/>
        <v>39177.600000000006</v>
      </c>
      <c r="R90" s="69">
        <f t="shared" si="57"/>
        <v>39177.600000000006</v>
      </c>
      <c r="S90" s="70">
        <v>0.06</v>
      </c>
      <c r="T90" s="70">
        <v>0</v>
      </c>
      <c r="U90" s="309" t="s">
        <v>3258</v>
      </c>
      <c r="V90" s="35"/>
    </row>
    <row r="91" spans="1:22" s="19" customFormat="1" ht="22.9" customHeight="1">
      <c r="A91" s="278" t="s">
        <v>2305</v>
      </c>
      <c r="B91" s="279" t="s">
        <v>2387</v>
      </c>
      <c r="C91" s="34" t="s">
        <v>2527</v>
      </c>
      <c r="D91" s="34" t="s">
        <v>3220</v>
      </c>
      <c r="E91" s="34" t="s">
        <v>2290</v>
      </c>
      <c r="F91" s="283"/>
      <c r="G91" s="34"/>
      <c r="H91" s="297" t="s">
        <v>3257</v>
      </c>
      <c r="I91" s="34" t="s">
        <v>2529</v>
      </c>
      <c r="J91" s="55">
        <v>0</v>
      </c>
      <c r="K91" s="55">
        <f>1.06*168</f>
        <v>178.08</v>
      </c>
      <c r="L91" s="34">
        <v>0</v>
      </c>
      <c r="M91" s="34">
        <v>50</v>
      </c>
      <c r="N91" s="34">
        <v>0</v>
      </c>
      <c r="O91" s="34">
        <v>1</v>
      </c>
      <c r="P91" s="61">
        <f t="shared" si="54"/>
        <v>0</v>
      </c>
      <c r="Q91" s="61">
        <f t="shared" si="50"/>
        <v>8904</v>
      </c>
      <c r="R91" s="69">
        <f t="shared" si="55"/>
        <v>8904</v>
      </c>
      <c r="S91" s="70">
        <v>0.06</v>
      </c>
      <c r="T91" s="70">
        <v>0</v>
      </c>
      <c r="U91" s="309" t="s">
        <v>3258</v>
      </c>
      <c r="V91" s="35"/>
    </row>
    <row r="92" spans="1:22" s="19" customFormat="1" ht="22.9" customHeight="1">
      <c r="A92" s="278" t="s">
        <v>2305</v>
      </c>
      <c r="B92" s="279" t="s">
        <v>2387</v>
      </c>
      <c r="C92" s="34" t="s">
        <v>2527</v>
      </c>
      <c r="D92" s="34" t="s">
        <v>2534</v>
      </c>
      <c r="E92" s="34" t="s">
        <v>2290</v>
      </c>
      <c r="F92" s="283"/>
      <c r="G92" s="34"/>
      <c r="H92" s="297" t="s">
        <v>3259</v>
      </c>
      <c r="I92" s="34" t="s">
        <v>2529</v>
      </c>
      <c r="J92" s="55">
        <v>0</v>
      </c>
      <c r="K92" s="55">
        <f t="shared" ref="K92:K97" si="58">1.06*168</f>
        <v>178.08</v>
      </c>
      <c r="L92" s="34">
        <v>0</v>
      </c>
      <c r="M92" s="34">
        <v>250</v>
      </c>
      <c r="N92" s="34">
        <v>0</v>
      </c>
      <c r="O92" s="34">
        <v>1</v>
      </c>
      <c r="P92" s="61">
        <f t="shared" si="54"/>
        <v>0</v>
      </c>
      <c r="Q92" s="61">
        <f t="shared" si="50"/>
        <v>44520</v>
      </c>
      <c r="R92" s="69">
        <f t="shared" si="55"/>
        <v>44520</v>
      </c>
      <c r="S92" s="70">
        <v>0.06</v>
      </c>
      <c r="T92" s="70">
        <v>0</v>
      </c>
      <c r="U92" s="309" t="s">
        <v>3258</v>
      </c>
      <c r="V92" s="35"/>
    </row>
    <row r="93" spans="1:22" s="19" customFormat="1" ht="23" customHeight="1">
      <c r="A93" s="278" t="s">
        <v>2305</v>
      </c>
      <c r="B93" s="279" t="s">
        <v>2387</v>
      </c>
      <c r="C93" s="34" t="s">
        <v>2527</v>
      </c>
      <c r="D93" s="34" t="s">
        <v>3273</v>
      </c>
      <c r="E93" s="34" t="s">
        <v>2290</v>
      </c>
      <c r="F93" s="283"/>
      <c r="G93" s="34"/>
      <c r="H93" s="297" t="s">
        <v>3269</v>
      </c>
      <c r="I93" s="34" t="s">
        <v>2529</v>
      </c>
      <c r="J93" s="55">
        <v>0</v>
      </c>
      <c r="K93" s="55">
        <f>1.06*168</f>
        <v>178.08</v>
      </c>
      <c r="L93" s="34">
        <v>0</v>
      </c>
      <c r="M93" s="34">
        <v>146</v>
      </c>
      <c r="N93" s="34">
        <v>0</v>
      </c>
      <c r="O93" s="34">
        <v>1</v>
      </c>
      <c r="P93" s="61">
        <f t="shared" ref="P93" si="59">IFERROR(N93*L93*J93,0)</f>
        <v>0</v>
      </c>
      <c r="Q93" s="61">
        <f t="shared" si="50"/>
        <v>25999.68</v>
      </c>
      <c r="R93" s="69">
        <f t="shared" ref="R93" si="60">Q93-P93</f>
        <v>25999.68</v>
      </c>
      <c r="S93" s="70">
        <v>0.06</v>
      </c>
      <c r="T93" s="70">
        <v>0</v>
      </c>
      <c r="U93" s="309" t="s">
        <v>3267</v>
      </c>
      <c r="V93" s="35"/>
    </row>
    <row r="94" spans="1:22" s="19" customFormat="1" ht="22.9" customHeight="1">
      <c r="A94" s="278" t="s">
        <v>2305</v>
      </c>
      <c r="B94" s="279" t="s">
        <v>2387</v>
      </c>
      <c r="C94" s="34" t="s">
        <v>2527</v>
      </c>
      <c r="D94" s="34" t="s">
        <v>3261</v>
      </c>
      <c r="E94" s="34" t="s">
        <v>2290</v>
      </c>
      <c r="F94" s="283"/>
      <c r="G94" s="34"/>
      <c r="H94" s="297" t="s">
        <v>3264</v>
      </c>
      <c r="I94" s="34" t="s">
        <v>2529</v>
      </c>
      <c r="J94" s="55">
        <v>0</v>
      </c>
      <c r="K94" s="313">
        <f>1.06*2408</f>
        <v>2552.48</v>
      </c>
      <c r="L94" s="34">
        <v>0</v>
      </c>
      <c r="M94" s="34">
        <v>1</v>
      </c>
      <c r="N94" s="34">
        <v>0</v>
      </c>
      <c r="O94" s="34">
        <v>1</v>
      </c>
      <c r="P94" s="61">
        <f t="shared" si="54"/>
        <v>0</v>
      </c>
      <c r="Q94" s="61">
        <f t="shared" si="50"/>
        <v>2552.48</v>
      </c>
      <c r="R94" s="69">
        <f t="shared" si="55"/>
        <v>2552.48</v>
      </c>
      <c r="S94" s="70">
        <v>0.06</v>
      </c>
      <c r="T94" s="70">
        <v>0</v>
      </c>
      <c r="U94" s="309" t="s">
        <v>3265</v>
      </c>
      <c r="V94" s="35"/>
    </row>
    <row r="95" spans="1:22" s="19" customFormat="1" ht="22.9" customHeight="1">
      <c r="A95" s="278" t="s">
        <v>2305</v>
      </c>
      <c r="B95" s="279" t="s">
        <v>2387</v>
      </c>
      <c r="C95" s="34" t="s">
        <v>2527</v>
      </c>
      <c r="D95" s="34" t="s">
        <v>2535</v>
      </c>
      <c r="E95" s="34" t="s">
        <v>2290</v>
      </c>
      <c r="F95" s="283"/>
      <c r="G95" s="34"/>
      <c r="H95" s="297" t="s">
        <v>3260</v>
      </c>
      <c r="I95" s="34" t="s">
        <v>2529</v>
      </c>
      <c r="J95" s="55">
        <v>0</v>
      </c>
      <c r="K95" s="55">
        <f t="shared" si="58"/>
        <v>178.08</v>
      </c>
      <c r="L95" s="34">
        <v>0</v>
      </c>
      <c r="M95" s="34">
        <v>200</v>
      </c>
      <c r="N95" s="34">
        <v>0</v>
      </c>
      <c r="O95" s="34">
        <v>1</v>
      </c>
      <c r="P95" s="61">
        <f t="shared" si="54"/>
        <v>0</v>
      </c>
      <c r="Q95" s="61">
        <f t="shared" si="50"/>
        <v>35616</v>
      </c>
      <c r="R95" s="69">
        <f t="shared" si="55"/>
        <v>35616</v>
      </c>
      <c r="S95" s="70">
        <v>0.06</v>
      </c>
      <c r="T95" s="70">
        <v>0</v>
      </c>
      <c r="U95" s="309" t="s">
        <v>3258</v>
      </c>
      <c r="V95" s="35"/>
    </row>
    <row r="96" spans="1:22" s="19" customFormat="1" ht="22.9" customHeight="1">
      <c r="A96" s="278" t="s">
        <v>2305</v>
      </c>
      <c r="B96" s="279" t="s">
        <v>2387</v>
      </c>
      <c r="C96" s="34" t="s">
        <v>2527</v>
      </c>
      <c r="D96" s="34" t="s">
        <v>3271</v>
      </c>
      <c r="E96" s="34" t="s">
        <v>2290</v>
      </c>
      <c r="F96" s="283"/>
      <c r="G96" s="34"/>
      <c r="H96" s="297" t="s">
        <v>3272</v>
      </c>
      <c r="I96" s="34" t="s">
        <v>2529</v>
      </c>
      <c r="J96" s="55">
        <v>0</v>
      </c>
      <c r="K96" s="55">
        <f>1.06*168</f>
        <v>178.08</v>
      </c>
      <c r="L96" s="34">
        <v>0</v>
      </c>
      <c r="M96" s="34">
        <v>100</v>
      </c>
      <c r="N96" s="34">
        <v>0</v>
      </c>
      <c r="O96" s="34">
        <v>1</v>
      </c>
      <c r="P96" s="61">
        <f t="shared" ref="P96" si="61">IFERROR(N96*L96*J96,0)</f>
        <v>0</v>
      </c>
      <c r="Q96" s="61">
        <f t="shared" si="50"/>
        <v>17808</v>
      </c>
      <c r="R96" s="69">
        <f t="shared" ref="R96" si="62">Q96-P96</f>
        <v>17808</v>
      </c>
      <c r="S96" s="70">
        <v>0.06</v>
      </c>
      <c r="T96" s="70">
        <v>0</v>
      </c>
      <c r="U96" s="309" t="s">
        <v>3258</v>
      </c>
      <c r="V96" s="35"/>
    </row>
    <row r="97" spans="1:22" s="19" customFormat="1" ht="22.9" customHeight="1">
      <c r="A97" s="278" t="s">
        <v>2305</v>
      </c>
      <c r="B97" s="279" t="s">
        <v>2387</v>
      </c>
      <c r="C97" s="34" t="s">
        <v>2527</v>
      </c>
      <c r="D97" s="34" t="s">
        <v>2535</v>
      </c>
      <c r="E97" s="34" t="s">
        <v>2290</v>
      </c>
      <c r="F97" s="283"/>
      <c r="G97" s="34"/>
      <c r="H97" s="297" t="s">
        <v>3270</v>
      </c>
      <c r="I97" s="34" t="s">
        <v>2529</v>
      </c>
      <c r="J97" s="55">
        <v>0</v>
      </c>
      <c r="K97" s="55">
        <f t="shared" si="58"/>
        <v>178.08</v>
      </c>
      <c r="L97" s="34">
        <v>0</v>
      </c>
      <c r="M97" s="34">
        <v>70</v>
      </c>
      <c r="N97" s="34">
        <v>0</v>
      </c>
      <c r="O97" s="34">
        <v>1</v>
      </c>
      <c r="P97" s="61">
        <f t="shared" si="54"/>
        <v>0</v>
      </c>
      <c r="Q97" s="61">
        <f t="shared" si="50"/>
        <v>12465.6</v>
      </c>
      <c r="R97" s="69">
        <f t="shared" si="55"/>
        <v>12465.6</v>
      </c>
      <c r="S97" s="70">
        <v>0.06</v>
      </c>
      <c r="T97" s="70">
        <v>0</v>
      </c>
      <c r="U97" s="309" t="s">
        <v>3274</v>
      </c>
      <c r="V97" s="35"/>
    </row>
    <row r="98" spans="1:22" s="19" customFormat="1" ht="23" customHeight="1">
      <c r="A98" s="278" t="s">
        <v>2305</v>
      </c>
      <c r="B98" s="279" t="s">
        <v>2387</v>
      </c>
      <c r="C98" s="34" t="s">
        <v>2527</v>
      </c>
      <c r="D98" s="34" t="s">
        <v>3268</v>
      </c>
      <c r="E98" s="34" t="s">
        <v>2290</v>
      </c>
      <c r="F98" s="283"/>
      <c r="G98" s="34"/>
      <c r="H98" s="297" t="s">
        <v>3278</v>
      </c>
      <c r="I98" s="34" t="s">
        <v>2529</v>
      </c>
      <c r="J98" s="55">
        <v>0</v>
      </c>
      <c r="K98" s="55">
        <f>1.06*168</f>
        <v>178.08</v>
      </c>
      <c r="L98" s="34">
        <v>0</v>
      </c>
      <c r="M98" s="34">
        <v>42</v>
      </c>
      <c r="N98" s="34">
        <v>0</v>
      </c>
      <c r="O98" s="34">
        <v>1</v>
      </c>
      <c r="P98" s="61">
        <f t="shared" si="54"/>
        <v>0</v>
      </c>
      <c r="Q98" s="61">
        <f t="shared" si="50"/>
        <v>7479.3600000000006</v>
      </c>
      <c r="R98" s="69">
        <f t="shared" si="55"/>
        <v>7479.3600000000006</v>
      </c>
      <c r="S98" s="70">
        <v>0.06</v>
      </c>
      <c r="T98" s="70">
        <v>0</v>
      </c>
      <c r="U98" s="309" t="s">
        <v>3277</v>
      </c>
      <c r="V98" s="35"/>
    </row>
    <row r="99" spans="1:22" s="19" customFormat="1" ht="23" customHeight="1">
      <c r="A99" s="278" t="s">
        <v>2305</v>
      </c>
      <c r="B99" s="279" t="s">
        <v>2387</v>
      </c>
      <c r="C99" s="34" t="s">
        <v>2527</v>
      </c>
      <c r="D99" s="34" t="s">
        <v>3275</v>
      </c>
      <c r="E99" s="34" t="s">
        <v>2290</v>
      </c>
      <c r="F99" s="283"/>
      <c r="G99" s="34"/>
      <c r="H99" s="297" t="s">
        <v>3276</v>
      </c>
      <c r="I99" s="34" t="s">
        <v>2529</v>
      </c>
      <c r="J99" s="55">
        <v>0</v>
      </c>
      <c r="K99" s="55">
        <f>1.06*298</f>
        <v>315.88</v>
      </c>
      <c r="L99" s="34">
        <v>0</v>
      </c>
      <c r="M99" s="34">
        <v>4</v>
      </c>
      <c r="N99" s="34">
        <v>0</v>
      </c>
      <c r="O99" s="34">
        <v>1</v>
      </c>
      <c r="P99" s="61">
        <f t="shared" ref="P99" si="63">IFERROR(N99*L99*J99,0)</f>
        <v>0</v>
      </c>
      <c r="Q99" s="61">
        <f t="shared" si="50"/>
        <v>1263.52</v>
      </c>
      <c r="R99" s="69">
        <f t="shared" ref="R99" si="64">Q99-P99</f>
        <v>1263.52</v>
      </c>
      <c r="S99" s="70">
        <v>0.06</v>
      </c>
      <c r="T99" s="70">
        <v>0</v>
      </c>
      <c r="U99" s="309" t="s">
        <v>3258</v>
      </c>
      <c r="V99" s="35"/>
    </row>
    <row r="100" spans="1:22" s="19" customFormat="1" ht="32" customHeight="1">
      <c r="A100" s="278" t="s">
        <v>2305</v>
      </c>
      <c r="B100" s="279" t="s">
        <v>2387</v>
      </c>
      <c r="C100" s="34" t="s">
        <v>2520</v>
      </c>
      <c r="D100" s="34" t="s">
        <v>2522</v>
      </c>
      <c r="E100" s="34" t="s">
        <v>2290</v>
      </c>
      <c r="F100" s="283"/>
      <c r="G100" s="34" t="str">
        <f>_xlfn.IFNA(IF(VLOOKUP($F100,'3.框架内物料'!$A:$E,2,0)=0,"请勿填写",VLOOKUP($F100,'3.框架内物料'!$A:$E,2,0)),"")</f>
        <v/>
      </c>
      <c r="H100" s="297" t="s">
        <v>3288</v>
      </c>
      <c r="I100" s="34" t="s">
        <v>2509</v>
      </c>
      <c r="J100" s="55">
        <f>350</f>
        <v>350</v>
      </c>
      <c r="K100" s="55">
        <f>350</f>
        <v>350</v>
      </c>
      <c r="L100" s="34">
        <v>318</v>
      </c>
      <c r="M100" s="34">
        <f>1+239+252</f>
        <v>492</v>
      </c>
      <c r="N100" s="34">
        <v>2</v>
      </c>
      <c r="O100" s="34">
        <v>1</v>
      </c>
      <c r="P100" s="61">
        <f t="shared" si="51"/>
        <v>222600</v>
      </c>
      <c r="Q100" s="61">
        <f>IFERROR(O100*M100*K100,0)</f>
        <v>172200</v>
      </c>
      <c r="R100" s="69">
        <f t="shared" si="49"/>
        <v>-50400</v>
      </c>
      <c r="S100" s="314">
        <v>0</v>
      </c>
      <c r="T100" s="70">
        <v>0</v>
      </c>
      <c r="U100" s="312" t="s">
        <v>3285</v>
      </c>
      <c r="V100" s="35"/>
    </row>
    <row r="101" spans="1:22" s="19" customFormat="1" ht="32" customHeight="1">
      <c r="A101" s="278" t="s">
        <v>2305</v>
      </c>
      <c r="B101" s="279" t="s">
        <v>2387</v>
      </c>
      <c r="C101" s="34" t="s">
        <v>2520</v>
      </c>
      <c r="D101" s="34" t="s">
        <v>2522</v>
      </c>
      <c r="E101" s="34" t="s">
        <v>2290</v>
      </c>
      <c r="F101" s="283"/>
      <c r="G101" s="34" t="str">
        <f>_xlfn.IFNA(IF(VLOOKUP($F101,'3.框架内物料'!$A:$E,2,0)=0,"请勿填写",VLOOKUP($F101,'3.框架内物料'!$A:$E,2,0)),"")</f>
        <v/>
      </c>
      <c r="H101" s="297" t="s">
        <v>3287</v>
      </c>
      <c r="I101" s="34" t="s">
        <v>2509</v>
      </c>
      <c r="J101" s="55">
        <v>0</v>
      </c>
      <c r="K101" s="55">
        <v>400</v>
      </c>
      <c r="L101" s="34">
        <v>0</v>
      </c>
      <c r="M101" s="34">
        <f>1+24+24</f>
        <v>49</v>
      </c>
      <c r="N101" s="34">
        <v>0</v>
      </c>
      <c r="O101" s="34">
        <v>1</v>
      </c>
      <c r="P101" s="61">
        <f t="shared" ref="P101" si="65">IFERROR(N101*L101*J101,0)</f>
        <v>0</v>
      </c>
      <c r="Q101" s="61">
        <f>IFERROR(O101*M101*K101,0)</f>
        <v>19600</v>
      </c>
      <c r="R101" s="69">
        <f t="shared" ref="R101" si="66">Q101-P101</f>
        <v>19600</v>
      </c>
      <c r="S101" s="314">
        <v>0</v>
      </c>
      <c r="T101" s="70">
        <v>0</v>
      </c>
      <c r="U101" s="312" t="s">
        <v>3286</v>
      </c>
      <c r="V101" s="35"/>
    </row>
    <row r="102" spans="1:22" s="19" customFormat="1" ht="32" customHeight="1">
      <c r="A102" s="278" t="s">
        <v>2305</v>
      </c>
      <c r="B102" s="279" t="s">
        <v>2387</v>
      </c>
      <c r="C102" s="34" t="s">
        <v>2520</v>
      </c>
      <c r="D102" s="34" t="s">
        <v>2523</v>
      </c>
      <c r="E102" s="34" t="s">
        <v>2290</v>
      </c>
      <c r="F102" s="283"/>
      <c r="G102" s="34" t="str">
        <f>_xlfn.IFNA(IF(VLOOKUP($F102,'3.框架内物料'!$A:$E,2,0)=0,"请勿填写",VLOOKUP($F102,'3.框架内物料'!$A:$E,2,0)),"")</f>
        <v/>
      </c>
      <c r="H102" s="297" t="s">
        <v>3289</v>
      </c>
      <c r="I102" s="34" t="s">
        <v>2509</v>
      </c>
      <c r="J102" s="55">
        <f>350</f>
        <v>350</v>
      </c>
      <c r="K102" s="55">
        <f>350</f>
        <v>350</v>
      </c>
      <c r="L102" s="34">
        <v>50</v>
      </c>
      <c r="M102" s="34">
        <f>39+48</f>
        <v>87</v>
      </c>
      <c r="N102" s="34">
        <v>2</v>
      </c>
      <c r="O102" s="34">
        <v>1</v>
      </c>
      <c r="P102" s="61">
        <f t="shared" si="51"/>
        <v>35000</v>
      </c>
      <c r="Q102" s="61">
        <f>IFERROR(O102*M102*K102,0)</f>
        <v>30450</v>
      </c>
      <c r="R102" s="69">
        <f t="shared" si="49"/>
        <v>-4550</v>
      </c>
      <c r="S102" s="314">
        <v>0</v>
      </c>
      <c r="T102" s="70">
        <v>0</v>
      </c>
      <c r="U102" s="312" t="s">
        <v>3292</v>
      </c>
      <c r="V102" s="35"/>
    </row>
    <row r="103" spans="1:22" s="19" customFormat="1" ht="32" customHeight="1">
      <c r="A103" s="278" t="s">
        <v>2305</v>
      </c>
      <c r="B103" s="279" t="s">
        <v>2387</v>
      </c>
      <c r="C103" s="34" t="s">
        <v>2520</v>
      </c>
      <c r="D103" s="34" t="s">
        <v>2523</v>
      </c>
      <c r="E103" s="34" t="s">
        <v>2290</v>
      </c>
      <c r="F103" s="283"/>
      <c r="G103" s="34" t="str">
        <f>_xlfn.IFNA(IF(VLOOKUP($F103,'3.框架内物料'!$A:$E,2,0)=0,"请勿填写",VLOOKUP($F103,'3.框架内物料'!$A:$E,2,0)),"")</f>
        <v/>
      </c>
      <c r="H103" s="297" t="s">
        <v>3290</v>
      </c>
      <c r="I103" s="34" t="s">
        <v>2509</v>
      </c>
      <c r="J103" s="55">
        <v>0</v>
      </c>
      <c r="K103" s="55">
        <v>400</v>
      </c>
      <c r="L103" s="34">
        <v>0</v>
      </c>
      <c r="M103" s="34">
        <v>1</v>
      </c>
      <c r="N103" s="34">
        <v>0</v>
      </c>
      <c r="O103" s="34">
        <v>2</v>
      </c>
      <c r="P103" s="61">
        <f t="shared" ref="P103" si="67">IFERROR(N103*L103*J103,0)</f>
        <v>0</v>
      </c>
      <c r="Q103" s="61">
        <f>IFERROR(O103*M103*K103,0)</f>
        <v>800</v>
      </c>
      <c r="R103" s="69">
        <f t="shared" ref="R103" si="68">Q103-P103</f>
        <v>800</v>
      </c>
      <c r="S103" s="314">
        <v>0</v>
      </c>
      <c r="T103" s="70">
        <v>0</v>
      </c>
      <c r="U103" s="312" t="s">
        <v>3291</v>
      </c>
      <c r="V103" s="35"/>
    </row>
    <row r="104" spans="1:22" s="248" customFormat="1" ht="32" customHeight="1">
      <c r="A104" s="223" t="s">
        <v>2305</v>
      </c>
      <c r="B104" s="224" t="s">
        <v>2387</v>
      </c>
      <c r="C104" s="225" t="s">
        <v>2520</v>
      </c>
      <c r="D104" s="225" t="s">
        <v>2524</v>
      </c>
      <c r="E104" s="225" t="s">
        <v>2290</v>
      </c>
      <c r="F104" s="227"/>
      <c r="G104" s="225" t="str">
        <f>_xlfn.IFNA(IF(VLOOKUP($F104,'3.框架内物料'!$A:$E,2,0)=0,"请勿填写",VLOOKUP($F104,'3.框架内物料'!$A:$E,2,0)),"")</f>
        <v/>
      </c>
      <c r="H104" s="228" t="s">
        <v>2525</v>
      </c>
      <c r="I104" s="225" t="s">
        <v>2509</v>
      </c>
      <c r="J104" s="229">
        <f>1800*0.7</f>
        <v>1260</v>
      </c>
      <c r="K104" s="245">
        <v>0</v>
      </c>
      <c r="L104" s="225">
        <v>2</v>
      </c>
      <c r="M104" s="225">
        <v>0</v>
      </c>
      <c r="N104" s="225">
        <v>2</v>
      </c>
      <c r="O104" s="225">
        <v>0</v>
      </c>
      <c r="P104" s="230">
        <f t="shared" ref="P104" si="69">IFERROR(N104*L104*J104,0)</f>
        <v>5040</v>
      </c>
      <c r="Q104" s="230">
        <f t="shared" ref="Q104:Q151" si="70">IFERROR(O104*M104*K104,0)</f>
        <v>0</v>
      </c>
      <c r="R104" s="231">
        <f t="shared" si="49"/>
        <v>-5040</v>
      </c>
      <c r="S104" s="246">
        <v>0</v>
      </c>
      <c r="T104" s="232">
        <v>0</v>
      </c>
      <c r="U104" s="247" t="s">
        <v>3283</v>
      </c>
      <c r="V104" s="234"/>
    </row>
    <row r="105" spans="1:22" s="248" customFormat="1" ht="32" customHeight="1">
      <c r="A105" s="223" t="s">
        <v>2305</v>
      </c>
      <c r="B105" s="224" t="s">
        <v>2387</v>
      </c>
      <c r="C105" s="225" t="s">
        <v>2520</v>
      </c>
      <c r="D105" s="225" t="s">
        <v>2524</v>
      </c>
      <c r="E105" s="225" t="s">
        <v>2290</v>
      </c>
      <c r="F105" s="227"/>
      <c r="G105" s="225" t="str">
        <f>_xlfn.IFNA(IF(VLOOKUP($F105,'3.框架内物料'!$A:$E,2,0)=0,"请勿填写",VLOOKUP($F105,'3.框架内物料'!$A:$E,2,0)),"")</f>
        <v/>
      </c>
      <c r="H105" s="228" t="s">
        <v>2526</v>
      </c>
      <c r="I105" s="225" t="s">
        <v>2509</v>
      </c>
      <c r="J105" s="229">
        <f>800*0.7</f>
        <v>560</v>
      </c>
      <c r="K105" s="245">
        <v>0</v>
      </c>
      <c r="L105" s="225">
        <v>38</v>
      </c>
      <c r="M105" s="225">
        <v>0</v>
      </c>
      <c r="N105" s="225">
        <v>2</v>
      </c>
      <c r="O105" s="225">
        <v>0</v>
      </c>
      <c r="P105" s="230">
        <f t="shared" si="51"/>
        <v>42560</v>
      </c>
      <c r="Q105" s="230">
        <f t="shared" si="70"/>
        <v>0</v>
      </c>
      <c r="R105" s="231">
        <f t="shared" si="49"/>
        <v>-42560</v>
      </c>
      <c r="S105" s="246">
        <v>0</v>
      </c>
      <c r="T105" s="232">
        <v>0</v>
      </c>
      <c r="U105" s="247" t="s">
        <v>3283</v>
      </c>
      <c r="V105" s="234"/>
    </row>
    <row r="106" spans="1:22" s="19" customFormat="1" ht="22.9" customHeight="1">
      <c r="A106" s="278" t="s">
        <v>2305</v>
      </c>
      <c r="B106" s="279" t="s">
        <v>2387</v>
      </c>
      <c r="C106" s="34" t="s">
        <v>2527</v>
      </c>
      <c r="D106" s="34" t="s">
        <v>3307</v>
      </c>
      <c r="E106" s="34" t="s">
        <v>2290</v>
      </c>
      <c r="F106" s="283"/>
      <c r="G106" s="34"/>
      <c r="H106" s="297" t="s">
        <v>3308</v>
      </c>
      <c r="I106" s="34" t="s">
        <v>2529</v>
      </c>
      <c r="J106" s="55">
        <v>0</v>
      </c>
      <c r="K106" s="55">
        <f>1.06*198</f>
        <v>209.88000000000002</v>
      </c>
      <c r="L106" s="34">
        <v>0</v>
      </c>
      <c r="M106" s="34">
        <f>15+26</f>
        <v>41</v>
      </c>
      <c r="N106" s="34">
        <v>0</v>
      </c>
      <c r="O106" s="34">
        <v>1</v>
      </c>
      <c r="P106" s="61">
        <f t="shared" si="51"/>
        <v>0</v>
      </c>
      <c r="Q106" s="61">
        <f>IFERROR(O106*M106*K106,0)</f>
        <v>8605.0800000000017</v>
      </c>
      <c r="R106" s="69">
        <f t="shared" ref="R106" si="71">Q106-P106</f>
        <v>8605.0800000000017</v>
      </c>
      <c r="S106" s="70">
        <v>0.06</v>
      </c>
      <c r="T106" s="70">
        <v>0</v>
      </c>
      <c r="U106" s="309" t="s">
        <v>3309</v>
      </c>
      <c r="V106" s="35"/>
    </row>
    <row r="107" spans="1:22" s="19" customFormat="1" ht="23" customHeight="1">
      <c r="A107" s="278" t="s">
        <v>2305</v>
      </c>
      <c r="B107" s="279" t="s">
        <v>2387</v>
      </c>
      <c r="C107" s="34" t="s">
        <v>2527</v>
      </c>
      <c r="D107" s="34" t="s">
        <v>3252</v>
      </c>
      <c r="E107" s="34" t="s">
        <v>2290</v>
      </c>
      <c r="F107" s="283"/>
      <c r="G107" s="34"/>
      <c r="H107" s="297" t="s">
        <v>3263</v>
      </c>
      <c r="I107" s="34" t="s">
        <v>2529</v>
      </c>
      <c r="J107" s="55">
        <v>0</v>
      </c>
      <c r="K107" s="313">
        <f>1.06*6960</f>
        <v>7377.6</v>
      </c>
      <c r="L107" s="34">
        <v>0</v>
      </c>
      <c r="M107" s="34">
        <v>1</v>
      </c>
      <c r="N107" s="34">
        <v>0</v>
      </c>
      <c r="O107" s="34">
        <v>1</v>
      </c>
      <c r="P107" s="61">
        <f>IFERROR(N107*L107*J107,0)</f>
        <v>0</v>
      </c>
      <c r="Q107" s="61">
        <f>IFERROR(O107*M107*K107,0)</f>
        <v>7377.6</v>
      </c>
      <c r="R107" s="69">
        <f>Q107-P107</f>
        <v>7377.6</v>
      </c>
      <c r="S107" s="70">
        <v>0.06</v>
      </c>
      <c r="T107" s="70">
        <v>0</v>
      </c>
      <c r="U107" s="309" t="s">
        <v>3303</v>
      </c>
      <c r="V107" s="35"/>
    </row>
    <row r="108" spans="1:22" s="19" customFormat="1" ht="22.9" customHeight="1">
      <c r="A108" s="278" t="s">
        <v>2305</v>
      </c>
      <c r="B108" s="279" t="s">
        <v>2387</v>
      </c>
      <c r="C108" s="34" t="s">
        <v>2527</v>
      </c>
      <c r="D108" s="34" t="s">
        <v>3294</v>
      </c>
      <c r="E108" s="34" t="s">
        <v>2290</v>
      </c>
      <c r="F108" s="283"/>
      <c r="G108" s="34"/>
      <c r="H108" s="297" t="s">
        <v>2528</v>
      </c>
      <c r="I108" s="34" t="s">
        <v>2529</v>
      </c>
      <c r="J108" s="55">
        <f t="shared" ref="J108:K110" si="72">1.06*168</f>
        <v>178.08</v>
      </c>
      <c r="K108" s="55">
        <f t="shared" si="72"/>
        <v>178.08</v>
      </c>
      <c r="L108" s="34">
        <v>100</v>
      </c>
      <c r="M108" s="34">
        <v>50</v>
      </c>
      <c r="N108" s="34">
        <v>1</v>
      </c>
      <c r="O108" s="34">
        <v>1</v>
      </c>
      <c r="P108" s="61">
        <f t="shared" ref="P108:P159" si="73">IFERROR(N108*L108*J108,0)</f>
        <v>17808</v>
      </c>
      <c r="Q108" s="61">
        <f t="shared" si="70"/>
        <v>8904</v>
      </c>
      <c r="R108" s="69">
        <f t="shared" si="49"/>
        <v>-8904</v>
      </c>
      <c r="S108" s="70">
        <v>0.06</v>
      </c>
      <c r="T108" s="70">
        <v>0</v>
      </c>
      <c r="U108" s="309" t="s">
        <v>3295</v>
      </c>
      <c r="V108" s="35"/>
    </row>
    <row r="109" spans="1:22" s="19" customFormat="1" ht="23" customHeight="1">
      <c r="A109" s="278" t="s">
        <v>2305</v>
      </c>
      <c r="B109" s="279" t="s">
        <v>2387</v>
      </c>
      <c r="C109" s="34" t="s">
        <v>2527</v>
      </c>
      <c r="D109" s="34" t="s">
        <v>2531</v>
      </c>
      <c r="E109" s="34" t="s">
        <v>2290</v>
      </c>
      <c r="F109" s="283"/>
      <c r="G109" s="34"/>
      <c r="H109" s="297" t="s">
        <v>2532</v>
      </c>
      <c r="I109" s="34" t="s">
        <v>2529</v>
      </c>
      <c r="J109" s="55">
        <f t="shared" si="72"/>
        <v>178.08</v>
      </c>
      <c r="K109" s="55">
        <f t="shared" si="72"/>
        <v>178.08</v>
      </c>
      <c r="L109" s="34">
        <v>758</v>
      </c>
      <c r="M109" s="34">
        <v>469</v>
      </c>
      <c r="N109" s="34">
        <v>1</v>
      </c>
      <c r="O109" s="34">
        <v>1</v>
      </c>
      <c r="P109" s="61">
        <f t="shared" ref="P109:P111" si="74">IFERROR(N109*L109*J109,0)</f>
        <v>134984.64000000001</v>
      </c>
      <c r="Q109" s="61">
        <f t="shared" si="70"/>
        <v>83519.520000000004</v>
      </c>
      <c r="R109" s="69">
        <f t="shared" si="49"/>
        <v>-51465.12000000001</v>
      </c>
      <c r="S109" s="70">
        <v>0.06</v>
      </c>
      <c r="T109" s="70">
        <v>0</v>
      </c>
      <c r="U109" s="309" t="s">
        <v>3312</v>
      </c>
      <c r="V109" s="35"/>
    </row>
    <row r="110" spans="1:22" s="19" customFormat="1" ht="23" customHeight="1">
      <c r="A110" s="278" t="s">
        <v>2305</v>
      </c>
      <c r="B110" s="279" t="s">
        <v>2387</v>
      </c>
      <c r="C110" s="34" t="s">
        <v>2527</v>
      </c>
      <c r="D110" s="34" t="s">
        <v>3220</v>
      </c>
      <c r="E110" s="34" t="s">
        <v>2290</v>
      </c>
      <c r="F110" s="283"/>
      <c r="G110" s="34"/>
      <c r="H110" s="297" t="s">
        <v>2533</v>
      </c>
      <c r="I110" s="34" t="s">
        <v>2529</v>
      </c>
      <c r="J110" s="55">
        <f t="shared" si="72"/>
        <v>178.08</v>
      </c>
      <c r="K110" s="55">
        <f t="shared" si="72"/>
        <v>178.08</v>
      </c>
      <c r="L110" s="34">
        <v>100</v>
      </c>
      <c r="M110" s="34">
        <v>100</v>
      </c>
      <c r="N110" s="34">
        <v>1</v>
      </c>
      <c r="O110" s="34">
        <v>1</v>
      </c>
      <c r="P110" s="61">
        <f t="shared" si="74"/>
        <v>17808</v>
      </c>
      <c r="Q110" s="61">
        <f t="shared" si="70"/>
        <v>17808</v>
      </c>
      <c r="R110" s="69">
        <f t="shared" si="49"/>
        <v>0</v>
      </c>
      <c r="S110" s="70">
        <v>0.06</v>
      </c>
      <c r="T110" s="70">
        <v>0</v>
      </c>
      <c r="U110" s="309" t="s">
        <v>3296</v>
      </c>
      <c r="V110" s="35"/>
    </row>
    <row r="111" spans="1:22" s="19" customFormat="1" ht="23" customHeight="1">
      <c r="A111" s="278" t="s">
        <v>2305</v>
      </c>
      <c r="B111" s="279" t="s">
        <v>2387</v>
      </c>
      <c r="C111" s="34" t="s">
        <v>2527</v>
      </c>
      <c r="D111" s="34" t="s">
        <v>3251</v>
      </c>
      <c r="E111" s="34" t="s">
        <v>2290</v>
      </c>
      <c r="F111" s="283"/>
      <c r="G111" s="34"/>
      <c r="H111" s="297" t="s">
        <v>3297</v>
      </c>
      <c r="I111" s="34" t="s">
        <v>2529</v>
      </c>
      <c r="J111" s="55">
        <v>0</v>
      </c>
      <c r="K111" s="55">
        <f>1.06*790</f>
        <v>837.40000000000009</v>
      </c>
      <c r="L111" s="34">
        <v>0</v>
      </c>
      <c r="M111" s="34">
        <v>1</v>
      </c>
      <c r="N111" s="34">
        <v>0</v>
      </c>
      <c r="O111" s="34">
        <v>1</v>
      </c>
      <c r="P111" s="61">
        <f t="shared" si="74"/>
        <v>0</v>
      </c>
      <c r="Q111" s="61">
        <f t="shared" si="70"/>
        <v>837.40000000000009</v>
      </c>
      <c r="R111" s="69">
        <f t="shared" si="49"/>
        <v>837.40000000000009</v>
      </c>
      <c r="S111" s="70">
        <v>0.06</v>
      </c>
      <c r="T111" s="70">
        <v>0</v>
      </c>
      <c r="U111" s="309" t="s">
        <v>3296</v>
      </c>
      <c r="V111" s="35"/>
    </row>
    <row r="112" spans="1:22" s="19" customFormat="1" ht="23" customHeight="1">
      <c r="A112" s="278" t="s">
        <v>2305</v>
      </c>
      <c r="B112" s="279" t="s">
        <v>2387</v>
      </c>
      <c r="C112" s="34" t="s">
        <v>2527</v>
      </c>
      <c r="D112" s="34" t="s">
        <v>2534</v>
      </c>
      <c r="E112" s="34" t="s">
        <v>2290</v>
      </c>
      <c r="F112" s="283"/>
      <c r="G112" s="34"/>
      <c r="H112" s="297" t="s">
        <v>2528</v>
      </c>
      <c r="I112" s="34" t="s">
        <v>2529</v>
      </c>
      <c r="J112" s="55">
        <f t="shared" ref="J112:K114" si="75">1.06*168</f>
        <v>178.08</v>
      </c>
      <c r="K112" s="55">
        <f t="shared" si="75"/>
        <v>178.08</v>
      </c>
      <c r="L112" s="34">
        <v>800</v>
      </c>
      <c r="M112" s="34">
        <v>496</v>
      </c>
      <c r="N112" s="34">
        <v>1</v>
      </c>
      <c r="O112" s="34">
        <v>1</v>
      </c>
      <c r="P112" s="61">
        <f>IFERROR(N112*L112*J112,0)</f>
        <v>142464</v>
      </c>
      <c r="Q112" s="61">
        <f>IFERROR(O112*M112*K112,0)</f>
        <v>88327.680000000008</v>
      </c>
      <c r="R112" s="69">
        <f t="shared" si="49"/>
        <v>-54136.319999999992</v>
      </c>
      <c r="S112" s="70">
        <v>0.06</v>
      </c>
      <c r="T112" s="70">
        <v>0</v>
      </c>
      <c r="U112" s="309" t="s">
        <v>3313</v>
      </c>
      <c r="V112" s="35"/>
    </row>
    <row r="113" spans="1:22" s="19" customFormat="1" ht="23" customHeight="1">
      <c r="A113" s="278" t="s">
        <v>2305</v>
      </c>
      <c r="B113" s="279" t="s">
        <v>2387</v>
      </c>
      <c r="C113" s="34" t="s">
        <v>2527</v>
      </c>
      <c r="D113" s="34" t="s">
        <v>2535</v>
      </c>
      <c r="E113" s="34" t="s">
        <v>2290</v>
      </c>
      <c r="F113" s="283"/>
      <c r="G113" s="34"/>
      <c r="H113" s="297" t="s">
        <v>2532</v>
      </c>
      <c r="I113" s="34" t="s">
        <v>2529</v>
      </c>
      <c r="J113" s="55">
        <f t="shared" si="75"/>
        <v>178.08</v>
      </c>
      <c r="K113" s="55">
        <f t="shared" si="75"/>
        <v>178.08</v>
      </c>
      <c r="L113" s="34">
        <v>758</v>
      </c>
      <c r="M113" s="34">
        <v>439</v>
      </c>
      <c r="N113" s="34">
        <v>1</v>
      </c>
      <c r="O113" s="34">
        <v>1</v>
      </c>
      <c r="P113" s="61">
        <f t="shared" si="73"/>
        <v>134984.64000000001</v>
      </c>
      <c r="Q113" s="61">
        <f t="shared" si="70"/>
        <v>78177.12000000001</v>
      </c>
      <c r="R113" s="69">
        <f t="shared" si="49"/>
        <v>-56807.520000000004</v>
      </c>
      <c r="S113" s="70">
        <v>0.06</v>
      </c>
      <c r="T113" s="70">
        <v>0</v>
      </c>
      <c r="U113" s="309" t="s">
        <v>3314</v>
      </c>
      <c r="V113" s="35"/>
    </row>
    <row r="114" spans="1:22" s="19" customFormat="1" ht="23" customHeight="1">
      <c r="A114" s="278" t="s">
        <v>2305</v>
      </c>
      <c r="B114" s="279" t="s">
        <v>2387</v>
      </c>
      <c r="C114" s="34" t="s">
        <v>2527</v>
      </c>
      <c r="D114" s="34" t="s">
        <v>2535</v>
      </c>
      <c r="E114" s="34" t="s">
        <v>2290</v>
      </c>
      <c r="F114" s="283"/>
      <c r="G114" s="34"/>
      <c r="H114" s="297" t="s">
        <v>2537</v>
      </c>
      <c r="I114" s="34" t="s">
        <v>2529</v>
      </c>
      <c r="J114" s="55">
        <f t="shared" si="75"/>
        <v>178.08</v>
      </c>
      <c r="K114" s="55">
        <f t="shared" si="75"/>
        <v>178.08</v>
      </c>
      <c r="L114" s="34">
        <v>200</v>
      </c>
      <c r="M114" s="34">
        <v>100</v>
      </c>
      <c r="N114" s="34">
        <v>1</v>
      </c>
      <c r="O114" s="34">
        <v>1</v>
      </c>
      <c r="P114" s="61">
        <f t="shared" si="73"/>
        <v>35616</v>
      </c>
      <c r="Q114" s="61">
        <f t="shared" ref="Q114:Q115" si="76">IFERROR(O114*M114*K114,0)</f>
        <v>17808</v>
      </c>
      <c r="R114" s="69">
        <f t="shared" ref="R114:R115" si="77">Q114-P114</f>
        <v>-17808</v>
      </c>
      <c r="S114" s="70">
        <v>0.06</v>
      </c>
      <c r="T114" s="70">
        <v>0</v>
      </c>
      <c r="U114" s="309" t="s">
        <v>3296</v>
      </c>
      <c r="V114" s="35"/>
    </row>
    <row r="115" spans="1:22" s="19" customFormat="1" ht="23" customHeight="1">
      <c r="A115" s="278" t="s">
        <v>2305</v>
      </c>
      <c r="B115" s="279" t="s">
        <v>2387</v>
      </c>
      <c r="C115" s="34" t="s">
        <v>2527</v>
      </c>
      <c r="D115" s="34" t="s">
        <v>3262</v>
      </c>
      <c r="E115" s="34" t="s">
        <v>2290</v>
      </c>
      <c r="F115" s="283"/>
      <c r="G115" s="34"/>
      <c r="H115" s="297" t="s">
        <v>3298</v>
      </c>
      <c r="I115" s="34" t="s">
        <v>2529</v>
      </c>
      <c r="J115" s="55">
        <v>0</v>
      </c>
      <c r="K115" s="55">
        <f>1.06*968</f>
        <v>1026.0800000000002</v>
      </c>
      <c r="L115" s="34">
        <v>0</v>
      </c>
      <c r="M115" s="34">
        <v>1</v>
      </c>
      <c r="N115" s="34">
        <v>0</v>
      </c>
      <c r="O115" s="34">
        <v>1</v>
      </c>
      <c r="P115" s="61">
        <f t="shared" si="73"/>
        <v>0</v>
      </c>
      <c r="Q115" s="61">
        <f t="shared" si="76"/>
        <v>1026.0800000000002</v>
      </c>
      <c r="R115" s="69">
        <f t="shared" si="77"/>
        <v>1026.0800000000002</v>
      </c>
      <c r="S115" s="70">
        <v>0.06</v>
      </c>
      <c r="T115" s="70">
        <v>0</v>
      </c>
      <c r="U115" s="309" t="s">
        <v>3296</v>
      </c>
      <c r="V115" s="35"/>
    </row>
    <row r="116" spans="1:22" s="19" customFormat="1" ht="22.9" customHeight="1">
      <c r="A116" s="278" t="s">
        <v>2305</v>
      </c>
      <c r="B116" s="279" t="s">
        <v>2387</v>
      </c>
      <c r="C116" s="34" t="s">
        <v>2527</v>
      </c>
      <c r="D116" s="34" t="s">
        <v>2536</v>
      </c>
      <c r="E116" s="34" t="s">
        <v>2290</v>
      </c>
      <c r="F116" s="283"/>
      <c r="G116" s="34"/>
      <c r="H116" s="297" t="s">
        <v>3299</v>
      </c>
      <c r="I116" s="34" t="s">
        <v>2529</v>
      </c>
      <c r="J116" s="308">
        <f>1.06*468</f>
        <v>496.08000000000004</v>
      </c>
      <c r="K116" s="313">
        <f>1.06*368</f>
        <v>390.08000000000004</v>
      </c>
      <c r="L116" s="34">
        <v>0</v>
      </c>
      <c r="M116" s="34">
        <v>129</v>
      </c>
      <c r="N116" s="34">
        <v>1</v>
      </c>
      <c r="O116" s="34">
        <v>1</v>
      </c>
      <c r="P116" s="61">
        <f t="shared" si="73"/>
        <v>0</v>
      </c>
      <c r="Q116" s="61">
        <f t="shared" si="70"/>
        <v>50320.320000000007</v>
      </c>
      <c r="R116" s="69">
        <f t="shared" si="49"/>
        <v>50320.320000000007</v>
      </c>
      <c r="S116" s="70">
        <v>0.06</v>
      </c>
      <c r="T116" s="70">
        <v>0</v>
      </c>
      <c r="U116" s="309" t="s">
        <v>3296</v>
      </c>
      <c r="V116" s="35"/>
    </row>
    <row r="117" spans="1:22" s="19" customFormat="1" ht="38.65" customHeight="1">
      <c r="A117" s="278" t="s">
        <v>2305</v>
      </c>
      <c r="B117" s="279" t="s">
        <v>2387</v>
      </c>
      <c r="C117" s="34" t="s">
        <v>2527</v>
      </c>
      <c r="D117" s="34" t="s">
        <v>3304</v>
      </c>
      <c r="E117" s="34" t="s">
        <v>2290</v>
      </c>
      <c r="F117" s="283"/>
      <c r="G117" s="34"/>
      <c r="H117" s="297" t="s">
        <v>3306</v>
      </c>
      <c r="I117" s="34" t="s">
        <v>2529</v>
      </c>
      <c r="J117" s="55">
        <v>0</v>
      </c>
      <c r="K117" s="55">
        <f>1.06*30</f>
        <v>31.8</v>
      </c>
      <c r="L117" s="34">
        <v>0</v>
      </c>
      <c r="M117" s="34">
        <f>40+320+320</f>
        <v>680</v>
      </c>
      <c r="N117" s="34">
        <v>0</v>
      </c>
      <c r="O117" s="34">
        <v>1</v>
      </c>
      <c r="P117" s="61">
        <f t="shared" ref="P117" si="78">IFERROR(N117*L117*J117,0)</f>
        <v>0</v>
      </c>
      <c r="Q117" s="61">
        <f t="shared" si="70"/>
        <v>21624</v>
      </c>
      <c r="R117" s="69">
        <f t="shared" si="49"/>
        <v>21624</v>
      </c>
      <c r="S117" s="70">
        <v>0.06</v>
      </c>
      <c r="T117" s="70">
        <v>0</v>
      </c>
      <c r="U117" s="312" t="s">
        <v>3305</v>
      </c>
      <c r="V117" s="35"/>
    </row>
    <row r="118" spans="1:22" s="19" customFormat="1" ht="22.9" customHeight="1">
      <c r="A118" s="278" t="s">
        <v>2305</v>
      </c>
      <c r="B118" s="279" t="s">
        <v>2387</v>
      </c>
      <c r="C118" s="34" t="s">
        <v>2527</v>
      </c>
      <c r="D118" s="34" t="s">
        <v>2539</v>
      </c>
      <c r="E118" s="34" t="s">
        <v>2290</v>
      </c>
      <c r="F118" s="283"/>
      <c r="G118" s="34"/>
      <c r="H118" s="297" t="s">
        <v>2540</v>
      </c>
      <c r="I118" s="34" t="s">
        <v>2529</v>
      </c>
      <c r="J118" s="55">
        <f t="shared" ref="J118:K126" si="79">1.06*50</f>
        <v>53</v>
      </c>
      <c r="K118" s="55">
        <f t="shared" si="79"/>
        <v>53</v>
      </c>
      <c r="L118" s="34">
        <v>10</v>
      </c>
      <c r="M118" s="34">
        <v>10</v>
      </c>
      <c r="N118" s="34">
        <v>1</v>
      </c>
      <c r="O118" s="34">
        <v>1</v>
      </c>
      <c r="P118" s="61">
        <f t="shared" ref="P118:P119" si="80">IFERROR(N118*L118*J118,0)</f>
        <v>530</v>
      </c>
      <c r="Q118" s="61">
        <f t="shared" si="70"/>
        <v>530</v>
      </c>
      <c r="R118" s="69">
        <f t="shared" ref="R118:R119" si="81">Q118-P118</f>
        <v>0</v>
      </c>
      <c r="S118" s="70">
        <v>0.06</v>
      </c>
      <c r="T118" s="70">
        <v>0</v>
      </c>
      <c r="U118" s="309" t="s">
        <v>3293</v>
      </c>
      <c r="V118" s="35"/>
    </row>
    <row r="119" spans="1:22" s="19" customFormat="1" ht="23" customHeight="1">
      <c r="A119" s="278" t="s">
        <v>2305</v>
      </c>
      <c r="B119" s="279" t="s">
        <v>2387</v>
      </c>
      <c r="C119" s="34" t="s">
        <v>2527</v>
      </c>
      <c r="D119" s="34" t="s">
        <v>2541</v>
      </c>
      <c r="E119" s="34" t="s">
        <v>2290</v>
      </c>
      <c r="F119" s="283"/>
      <c r="G119" s="34"/>
      <c r="H119" s="297" t="s">
        <v>2540</v>
      </c>
      <c r="I119" s="34" t="s">
        <v>2529</v>
      </c>
      <c r="J119" s="55">
        <f t="shared" si="79"/>
        <v>53</v>
      </c>
      <c r="K119" s="55">
        <f t="shared" si="79"/>
        <v>53</v>
      </c>
      <c r="L119" s="34">
        <v>27</v>
      </c>
      <c r="M119" s="34">
        <v>27</v>
      </c>
      <c r="N119" s="34">
        <v>1</v>
      </c>
      <c r="O119" s="34">
        <v>1</v>
      </c>
      <c r="P119" s="61">
        <f t="shared" si="80"/>
        <v>1431</v>
      </c>
      <c r="Q119" s="61">
        <f t="shared" si="70"/>
        <v>1431</v>
      </c>
      <c r="R119" s="69">
        <f t="shared" si="81"/>
        <v>0</v>
      </c>
      <c r="S119" s="70">
        <v>0.06</v>
      </c>
      <c r="T119" s="70">
        <v>0</v>
      </c>
      <c r="U119" s="309" t="s">
        <v>3293</v>
      </c>
      <c r="V119" s="35"/>
    </row>
    <row r="120" spans="1:22" s="19" customFormat="1" ht="22.9" customHeight="1">
      <c r="A120" s="278" t="s">
        <v>2305</v>
      </c>
      <c r="B120" s="279" t="s">
        <v>2387</v>
      </c>
      <c r="C120" s="34" t="s">
        <v>2527</v>
      </c>
      <c r="D120" s="34" t="s">
        <v>2542</v>
      </c>
      <c r="E120" s="34" t="s">
        <v>2290</v>
      </c>
      <c r="F120" s="283"/>
      <c r="G120" s="34"/>
      <c r="H120" s="297" t="s">
        <v>2540</v>
      </c>
      <c r="I120" s="34" t="s">
        <v>2529</v>
      </c>
      <c r="J120" s="55">
        <f t="shared" si="79"/>
        <v>53</v>
      </c>
      <c r="K120" s="55">
        <f t="shared" si="79"/>
        <v>53</v>
      </c>
      <c r="L120" s="34">
        <v>25</v>
      </c>
      <c r="M120" s="34">
        <v>31</v>
      </c>
      <c r="N120" s="34">
        <v>1</v>
      </c>
      <c r="O120" s="34">
        <v>1</v>
      </c>
      <c r="P120" s="61">
        <f t="shared" si="73"/>
        <v>1325</v>
      </c>
      <c r="Q120" s="61">
        <f t="shared" si="70"/>
        <v>1643</v>
      </c>
      <c r="R120" s="69">
        <f t="shared" si="49"/>
        <v>318</v>
      </c>
      <c r="S120" s="70">
        <v>0.06</v>
      </c>
      <c r="T120" s="70">
        <v>0</v>
      </c>
      <c r="U120" s="309" t="s">
        <v>3293</v>
      </c>
      <c r="V120" s="35"/>
    </row>
    <row r="121" spans="1:22" s="19" customFormat="1" ht="23" customHeight="1">
      <c r="A121" s="278" t="s">
        <v>2305</v>
      </c>
      <c r="B121" s="279" t="s">
        <v>2387</v>
      </c>
      <c r="C121" s="34" t="s">
        <v>2527</v>
      </c>
      <c r="D121" s="34" t="s">
        <v>2543</v>
      </c>
      <c r="E121" s="34" t="s">
        <v>2290</v>
      </c>
      <c r="F121" s="283"/>
      <c r="G121" s="34"/>
      <c r="H121" s="297" t="s">
        <v>2540</v>
      </c>
      <c r="I121" s="34" t="s">
        <v>2529</v>
      </c>
      <c r="J121" s="55">
        <f t="shared" si="79"/>
        <v>53</v>
      </c>
      <c r="K121" s="55">
        <f t="shared" si="79"/>
        <v>53</v>
      </c>
      <c r="L121" s="34">
        <v>30</v>
      </c>
      <c r="M121" s="34">
        <v>30</v>
      </c>
      <c r="N121" s="34">
        <v>1</v>
      </c>
      <c r="O121" s="34">
        <v>1</v>
      </c>
      <c r="P121" s="61">
        <f t="shared" si="73"/>
        <v>1590</v>
      </c>
      <c r="Q121" s="61">
        <f t="shared" si="70"/>
        <v>1590</v>
      </c>
      <c r="R121" s="69">
        <f t="shared" si="49"/>
        <v>0</v>
      </c>
      <c r="S121" s="70">
        <v>0.06</v>
      </c>
      <c r="T121" s="70">
        <v>0</v>
      </c>
      <c r="U121" s="309" t="s">
        <v>3293</v>
      </c>
      <c r="V121" s="35"/>
    </row>
    <row r="122" spans="1:22" s="19" customFormat="1" ht="22.9" customHeight="1">
      <c r="A122" s="278" t="s">
        <v>2305</v>
      </c>
      <c r="B122" s="279" t="s">
        <v>2387</v>
      </c>
      <c r="C122" s="34" t="s">
        <v>2527</v>
      </c>
      <c r="D122" s="34" t="s">
        <v>2544</v>
      </c>
      <c r="E122" s="34" t="s">
        <v>2290</v>
      </c>
      <c r="F122" s="283"/>
      <c r="G122" s="34"/>
      <c r="H122" s="297" t="s">
        <v>2540</v>
      </c>
      <c r="I122" s="34" t="s">
        <v>2529</v>
      </c>
      <c r="J122" s="55">
        <f t="shared" si="79"/>
        <v>53</v>
      </c>
      <c r="K122" s="55">
        <f t="shared" si="79"/>
        <v>53</v>
      </c>
      <c r="L122" s="34">
        <v>40</v>
      </c>
      <c r="M122" s="34">
        <v>40</v>
      </c>
      <c r="N122" s="34">
        <v>1</v>
      </c>
      <c r="O122" s="34">
        <v>1</v>
      </c>
      <c r="P122" s="61">
        <f t="shared" ref="P122:P123" si="82">IFERROR(N122*L122*J122,0)</f>
        <v>2120</v>
      </c>
      <c r="Q122" s="61">
        <f t="shared" si="70"/>
        <v>2120</v>
      </c>
      <c r="R122" s="69">
        <f t="shared" ref="R122:R123" si="83">Q122-P122</f>
        <v>0</v>
      </c>
      <c r="S122" s="70">
        <v>0.06</v>
      </c>
      <c r="T122" s="70">
        <v>0</v>
      </c>
      <c r="U122" s="309" t="s">
        <v>3293</v>
      </c>
      <c r="V122" s="35"/>
    </row>
    <row r="123" spans="1:22" s="19" customFormat="1" ht="23" customHeight="1">
      <c r="A123" s="278" t="s">
        <v>2305</v>
      </c>
      <c r="B123" s="279" t="s">
        <v>2387</v>
      </c>
      <c r="C123" s="34" t="s">
        <v>2527</v>
      </c>
      <c r="D123" s="34" t="s">
        <v>2545</v>
      </c>
      <c r="E123" s="34" t="s">
        <v>2290</v>
      </c>
      <c r="F123" s="283"/>
      <c r="G123" s="34"/>
      <c r="H123" s="297" t="s">
        <v>2540</v>
      </c>
      <c r="I123" s="34" t="s">
        <v>2529</v>
      </c>
      <c r="J123" s="55">
        <f t="shared" si="79"/>
        <v>53</v>
      </c>
      <c r="K123" s="55">
        <f t="shared" si="79"/>
        <v>53</v>
      </c>
      <c r="L123" s="34">
        <v>45</v>
      </c>
      <c r="M123" s="34">
        <v>45</v>
      </c>
      <c r="N123" s="34">
        <v>1</v>
      </c>
      <c r="O123" s="34">
        <v>1</v>
      </c>
      <c r="P123" s="61">
        <f t="shared" si="82"/>
        <v>2385</v>
      </c>
      <c r="Q123" s="61">
        <f t="shared" si="70"/>
        <v>2385</v>
      </c>
      <c r="R123" s="69">
        <f t="shared" si="83"/>
        <v>0</v>
      </c>
      <c r="S123" s="70">
        <v>0.06</v>
      </c>
      <c r="T123" s="70">
        <v>0</v>
      </c>
      <c r="U123" s="309" t="s">
        <v>3293</v>
      </c>
      <c r="V123" s="35"/>
    </row>
    <row r="124" spans="1:22" s="19" customFormat="1" ht="22.9" customHeight="1">
      <c r="A124" s="278" t="s">
        <v>2305</v>
      </c>
      <c r="B124" s="279" t="s">
        <v>2387</v>
      </c>
      <c r="C124" s="34" t="s">
        <v>2527</v>
      </c>
      <c r="D124" s="34" t="s">
        <v>2546</v>
      </c>
      <c r="E124" s="34" t="s">
        <v>2290</v>
      </c>
      <c r="F124" s="283"/>
      <c r="G124" s="34"/>
      <c r="H124" s="297" t="s">
        <v>2547</v>
      </c>
      <c r="I124" s="34" t="s">
        <v>2529</v>
      </c>
      <c r="J124" s="55">
        <f t="shared" si="79"/>
        <v>53</v>
      </c>
      <c r="K124" s="55">
        <f t="shared" si="79"/>
        <v>53</v>
      </c>
      <c r="L124" s="34">
        <v>120</v>
      </c>
      <c r="M124" s="34">
        <v>130</v>
      </c>
      <c r="N124" s="34">
        <v>1</v>
      </c>
      <c r="O124" s="34">
        <v>1</v>
      </c>
      <c r="P124" s="61">
        <f>IFERROR(N124*L124*J124,0)</f>
        <v>6360</v>
      </c>
      <c r="Q124" s="61">
        <f>IFERROR(O124*M124*K124,0)</f>
        <v>6890</v>
      </c>
      <c r="R124" s="69">
        <f t="shared" ref="R124:R125" si="84">Q124-P124</f>
        <v>530</v>
      </c>
      <c r="S124" s="70">
        <v>0.06</v>
      </c>
      <c r="T124" s="70">
        <v>0</v>
      </c>
      <c r="U124" s="309" t="s">
        <v>3217</v>
      </c>
      <c r="V124" s="35"/>
    </row>
    <row r="125" spans="1:22" s="19" customFormat="1" ht="23" customHeight="1">
      <c r="A125" s="278" t="s">
        <v>2305</v>
      </c>
      <c r="B125" s="279" t="s">
        <v>2387</v>
      </c>
      <c r="C125" s="34" t="s">
        <v>2527</v>
      </c>
      <c r="D125" s="34" t="s">
        <v>2548</v>
      </c>
      <c r="E125" s="34" t="s">
        <v>2290</v>
      </c>
      <c r="F125" s="283"/>
      <c r="G125" s="34"/>
      <c r="H125" s="297" t="s">
        <v>2547</v>
      </c>
      <c r="I125" s="34" t="s">
        <v>2529</v>
      </c>
      <c r="J125" s="55">
        <f t="shared" si="79"/>
        <v>53</v>
      </c>
      <c r="K125" s="55">
        <f t="shared" si="79"/>
        <v>53</v>
      </c>
      <c r="L125" s="34">
        <v>140</v>
      </c>
      <c r="M125" s="34">
        <v>151</v>
      </c>
      <c r="N125" s="34">
        <v>1</v>
      </c>
      <c r="O125" s="34">
        <v>1</v>
      </c>
      <c r="P125" s="61">
        <f t="shared" si="73"/>
        <v>7420</v>
      </c>
      <c r="Q125" s="61">
        <f t="shared" ref="Q125:Q131" si="85">IFERROR(O125*M125*K125,0)</f>
        <v>8003</v>
      </c>
      <c r="R125" s="69">
        <f t="shared" si="84"/>
        <v>583</v>
      </c>
      <c r="S125" s="70">
        <v>0.06</v>
      </c>
      <c r="T125" s="70">
        <v>0</v>
      </c>
      <c r="U125" s="309" t="s">
        <v>3217</v>
      </c>
      <c r="V125" s="35"/>
    </row>
    <row r="126" spans="1:22" s="19" customFormat="1" ht="22.9" customHeight="1">
      <c r="A126" s="278" t="s">
        <v>2305</v>
      </c>
      <c r="B126" s="279" t="s">
        <v>2387</v>
      </c>
      <c r="C126" s="34" t="s">
        <v>2527</v>
      </c>
      <c r="D126" s="34" t="s">
        <v>2549</v>
      </c>
      <c r="E126" s="34" t="s">
        <v>2290</v>
      </c>
      <c r="F126" s="283"/>
      <c r="G126" s="34"/>
      <c r="H126" s="297" t="s">
        <v>2547</v>
      </c>
      <c r="I126" s="34" t="s">
        <v>2529</v>
      </c>
      <c r="J126" s="55">
        <f t="shared" si="79"/>
        <v>53</v>
      </c>
      <c r="K126" s="55">
        <f t="shared" si="79"/>
        <v>53</v>
      </c>
      <c r="L126" s="34">
        <v>300</v>
      </c>
      <c r="M126" s="34">
        <v>310</v>
      </c>
      <c r="N126" s="34">
        <v>1</v>
      </c>
      <c r="O126" s="34">
        <v>1</v>
      </c>
      <c r="P126" s="61">
        <f t="shared" ref="P126:P127" si="86">IFERROR(N126*L126*J126,0)</f>
        <v>15900</v>
      </c>
      <c r="Q126" s="61">
        <f t="shared" si="85"/>
        <v>16430</v>
      </c>
      <c r="R126" s="69">
        <f t="shared" si="49"/>
        <v>530</v>
      </c>
      <c r="S126" s="70">
        <v>0.06</v>
      </c>
      <c r="T126" s="70">
        <v>0</v>
      </c>
      <c r="U126" s="309" t="s">
        <v>3217</v>
      </c>
      <c r="V126" s="35"/>
    </row>
    <row r="127" spans="1:22" s="19" customFormat="1" ht="23" customHeight="1">
      <c r="A127" s="278" t="s">
        <v>2305</v>
      </c>
      <c r="B127" s="279" t="s">
        <v>2387</v>
      </c>
      <c r="C127" s="34" t="s">
        <v>2527</v>
      </c>
      <c r="D127" s="34" t="s">
        <v>2550</v>
      </c>
      <c r="E127" s="34" t="s">
        <v>2290</v>
      </c>
      <c r="F127" s="283"/>
      <c r="G127" s="34"/>
      <c r="H127" s="297" t="s">
        <v>2547</v>
      </c>
      <c r="I127" s="34" t="s">
        <v>2529</v>
      </c>
      <c r="J127" s="55">
        <f t="shared" ref="J127:K130" si="87">1.06*50</f>
        <v>53</v>
      </c>
      <c r="K127" s="55">
        <f t="shared" si="87"/>
        <v>53</v>
      </c>
      <c r="L127" s="34">
        <v>200</v>
      </c>
      <c r="M127" s="34">
        <v>210</v>
      </c>
      <c r="N127" s="34">
        <v>1</v>
      </c>
      <c r="O127" s="34">
        <v>1</v>
      </c>
      <c r="P127" s="61">
        <f t="shared" si="86"/>
        <v>10600</v>
      </c>
      <c r="Q127" s="61">
        <f t="shared" si="85"/>
        <v>11130</v>
      </c>
      <c r="R127" s="69">
        <f t="shared" si="49"/>
        <v>530</v>
      </c>
      <c r="S127" s="70">
        <v>0.06</v>
      </c>
      <c r="T127" s="70">
        <v>0</v>
      </c>
      <c r="U127" s="309" t="s">
        <v>3217</v>
      </c>
      <c r="V127" s="35"/>
    </row>
    <row r="128" spans="1:22" s="19" customFormat="1" ht="22.9" customHeight="1">
      <c r="A128" s="278" t="s">
        <v>2305</v>
      </c>
      <c r="B128" s="279" t="s">
        <v>2387</v>
      </c>
      <c r="C128" s="34" t="s">
        <v>2527</v>
      </c>
      <c r="D128" s="34" t="s">
        <v>2551</v>
      </c>
      <c r="E128" s="34" t="s">
        <v>2290</v>
      </c>
      <c r="F128" s="283"/>
      <c r="G128" s="34"/>
      <c r="H128" s="297" t="s">
        <v>2547</v>
      </c>
      <c r="I128" s="34" t="s">
        <v>2529</v>
      </c>
      <c r="J128" s="55">
        <f t="shared" si="87"/>
        <v>53</v>
      </c>
      <c r="K128" s="55">
        <f t="shared" si="87"/>
        <v>53</v>
      </c>
      <c r="L128" s="34">
        <v>200</v>
      </c>
      <c r="M128" s="34">
        <v>210</v>
      </c>
      <c r="N128" s="34">
        <v>1</v>
      </c>
      <c r="O128" s="34">
        <v>1</v>
      </c>
      <c r="P128" s="61">
        <f t="shared" ref="P128:P130" si="88">IFERROR(N128*L128*J128,0)</f>
        <v>10600</v>
      </c>
      <c r="Q128" s="61">
        <f t="shared" si="85"/>
        <v>11130</v>
      </c>
      <c r="R128" s="69">
        <f t="shared" si="49"/>
        <v>530</v>
      </c>
      <c r="S128" s="70">
        <v>0.06</v>
      </c>
      <c r="T128" s="70">
        <v>0</v>
      </c>
      <c r="U128" s="309" t="s">
        <v>3218</v>
      </c>
      <c r="V128" s="35"/>
    </row>
    <row r="129" spans="1:22" s="19" customFormat="1" ht="22.9" customHeight="1">
      <c r="A129" s="278" t="s">
        <v>2305</v>
      </c>
      <c r="B129" s="279" t="s">
        <v>2387</v>
      </c>
      <c r="C129" s="34" t="s">
        <v>2527</v>
      </c>
      <c r="D129" s="34" t="s">
        <v>2552</v>
      </c>
      <c r="E129" s="34" t="s">
        <v>2290</v>
      </c>
      <c r="F129" s="283"/>
      <c r="G129" s="34"/>
      <c r="H129" s="297" t="s">
        <v>2547</v>
      </c>
      <c r="I129" s="34" t="s">
        <v>2529</v>
      </c>
      <c r="J129" s="55">
        <f t="shared" si="87"/>
        <v>53</v>
      </c>
      <c r="K129" s="55">
        <f t="shared" si="87"/>
        <v>53</v>
      </c>
      <c r="L129" s="34">
        <v>200</v>
      </c>
      <c r="M129" s="34">
        <v>210</v>
      </c>
      <c r="N129" s="34">
        <v>1</v>
      </c>
      <c r="O129" s="34">
        <v>1</v>
      </c>
      <c r="P129" s="61">
        <f t="shared" si="88"/>
        <v>10600</v>
      </c>
      <c r="Q129" s="61">
        <f t="shared" si="85"/>
        <v>11130</v>
      </c>
      <c r="R129" s="69">
        <f t="shared" si="49"/>
        <v>530</v>
      </c>
      <c r="S129" s="70">
        <v>0.06</v>
      </c>
      <c r="T129" s="70">
        <v>0</v>
      </c>
      <c r="U129" s="309" t="s">
        <v>3219</v>
      </c>
      <c r="V129" s="35"/>
    </row>
    <row r="130" spans="1:22" s="19" customFormat="1" ht="22.9" customHeight="1">
      <c r="A130" s="278" t="s">
        <v>2305</v>
      </c>
      <c r="B130" s="279" t="s">
        <v>2387</v>
      </c>
      <c r="C130" s="34" t="s">
        <v>2527</v>
      </c>
      <c r="D130" s="34" t="s">
        <v>2553</v>
      </c>
      <c r="E130" s="34" t="s">
        <v>2290</v>
      </c>
      <c r="F130" s="283"/>
      <c r="G130" s="34"/>
      <c r="H130" s="297" t="s">
        <v>2547</v>
      </c>
      <c r="I130" s="34" t="s">
        <v>2529</v>
      </c>
      <c r="J130" s="55">
        <f t="shared" si="87"/>
        <v>53</v>
      </c>
      <c r="K130" s="55">
        <f t="shared" si="87"/>
        <v>53</v>
      </c>
      <c r="L130" s="34">
        <v>150</v>
      </c>
      <c r="M130" s="34">
        <v>160</v>
      </c>
      <c r="N130" s="34">
        <v>1</v>
      </c>
      <c r="O130" s="34">
        <v>1</v>
      </c>
      <c r="P130" s="61">
        <f t="shared" si="88"/>
        <v>7950</v>
      </c>
      <c r="Q130" s="61">
        <f t="shared" si="85"/>
        <v>8480</v>
      </c>
      <c r="R130" s="69">
        <f t="shared" si="49"/>
        <v>530</v>
      </c>
      <c r="S130" s="70">
        <v>0.06</v>
      </c>
      <c r="T130" s="70">
        <v>0</v>
      </c>
      <c r="U130" s="309" t="s">
        <v>3216</v>
      </c>
      <c r="V130" s="35"/>
    </row>
    <row r="131" spans="1:22" s="19" customFormat="1" ht="27.75">
      <c r="A131" s="278" t="s">
        <v>2305</v>
      </c>
      <c r="B131" s="279" t="s">
        <v>2387</v>
      </c>
      <c r="C131" s="34" t="s">
        <v>2527</v>
      </c>
      <c r="D131" s="34" t="s">
        <v>3213</v>
      </c>
      <c r="E131" s="34" t="s">
        <v>2290</v>
      </c>
      <c r="F131" s="283"/>
      <c r="G131" s="34"/>
      <c r="H131" s="297" t="s">
        <v>3214</v>
      </c>
      <c r="I131" s="34" t="s">
        <v>2529</v>
      </c>
      <c r="J131" s="55">
        <f>1.06*30</f>
        <v>31.8</v>
      </c>
      <c r="K131" s="313">
        <f>1.06*30</f>
        <v>31.8</v>
      </c>
      <c r="L131" s="34">
        <v>2309</v>
      </c>
      <c r="M131" s="34">
        <v>1794</v>
      </c>
      <c r="N131" s="34">
        <v>1</v>
      </c>
      <c r="O131" s="34">
        <v>1</v>
      </c>
      <c r="P131" s="61">
        <f t="shared" ref="P131" si="89">IFERROR(N131*L131*J131,0)</f>
        <v>73426.2</v>
      </c>
      <c r="Q131" s="61">
        <f t="shared" si="85"/>
        <v>57049.200000000004</v>
      </c>
      <c r="R131" s="69">
        <f t="shared" ref="R131" si="90">Q131-P131</f>
        <v>-16376.999999999993</v>
      </c>
      <c r="S131" s="70">
        <v>0.06</v>
      </c>
      <c r="T131" s="70">
        <v>0</v>
      </c>
      <c r="U131" s="312" t="s">
        <v>3212</v>
      </c>
      <c r="V131" s="35"/>
    </row>
    <row r="132" spans="1:22" s="19" customFormat="1" ht="23" customHeight="1">
      <c r="A132" s="278" t="s">
        <v>2305</v>
      </c>
      <c r="B132" s="279" t="s">
        <v>2387</v>
      </c>
      <c r="C132" s="34" t="s">
        <v>2527</v>
      </c>
      <c r="D132" s="34" t="s">
        <v>3224</v>
      </c>
      <c r="E132" s="34" t="s">
        <v>2290</v>
      </c>
      <c r="F132" s="283"/>
      <c r="G132" s="34"/>
      <c r="H132" s="297" t="s">
        <v>2538</v>
      </c>
      <c r="I132" s="34" t="s">
        <v>2529</v>
      </c>
      <c r="J132" s="55">
        <f>1.06*68</f>
        <v>72.08</v>
      </c>
      <c r="K132" s="313">
        <f>1.06*68</f>
        <v>72.08</v>
      </c>
      <c r="L132" s="34">
        <v>450</v>
      </c>
      <c r="M132" s="34">
        <v>900</v>
      </c>
      <c r="N132" s="34">
        <v>2</v>
      </c>
      <c r="O132" s="34">
        <v>1</v>
      </c>
      <c r="P132" s="61">
        <f t="shared" ref="P132:Q136" si="91">IFERROR(N132*L132*J132,0)</f>
        <v>64872</v>
      </c>
      <c r="Q132" s="61">
        <f t="shared" si="91"/>
        <v>64872</v>
      </c>
      <c r="R132" s="69">
        <f>Q132-P132</f>
        <v>0</v>
      </c>
      <c r="S132" s="70">
        <v>0.06</v>
      </c>
      <c r="T132" s="70">
        <v>0</v>
      </c>
      <c r="U132" s="309" t="s">
        <v>3228</v>
      </c>
      <c r="V132" s="35"/>
    </row>
    <row r="133" spans="1:22" s="19" customFormat="1" ht="22.9" customHeight="1">
      <c r="A133" s="278" t="s">
        <v>2305</v>
      </c>
      <c r="B133" s="279" t="s">
        <v>2387</v>
      </c>
      <c r="C133" s="34" t="s">
        <v>2527</v>
      </c>
      <c r="D133" s="34" t="s">
        <v>3221</v>
      </c>
      <c r="E133" s="34" t="s">
        <v>2290</v>
      </c>
      <c r="F133" s="283"/>
      <c r="G133" s="34"/>
      <c r="H133" s="297" t="s">
        <v>3225</v>
      </c>
      <c r="I133" s="34" t="s">
        <v>2529</v>
      </c>
      <c r="J133" s="308">
        <f>1.06*468</f>
        <v>496.08000000000004</v>
      </c>
      <c r="K133" s="313">
        <f>1.06*319</f>
        <v>338.14000000000004</v>
      </c>
      <c r="L133" s="34">
        <v>400</v>
      </c>
      <c r="M133" s="34">
        <v>476</v>
      </c>
      <c r="N133" s="34">
        <v>1</v>
      </c>
      <c r="O133" s="34">
        <v>1</v>
      </c>
      <c r="P133" s="61">
        <f t="shared" si="91"/>
        <v>198432.00000000003</v>
      </c>
      <c r="Q133" s="61">
        <f t="shared" si="91"/>
        <v>160954.64000000001</v>
      </c>
      <c r="R133" s="69">
        <f>Q133-P133</f>
        <v>-37477.360000000015</v>
      </c>
      <c r="S133" s="70">
        <v>0.06</v>
      </c>
      <c r="T133" s="70">
        <v>0</v>
      </c>
      <c r="U133" s="309" t="s">
        <v>3216</v>
      </c>
      <c r="V133" s="35"/>
    </row>
    <row r="134" spans="1:22" s="19" customFormat="1" ht="23" customHeight="1">
      <c r="A134" s="278" t="s">
        <v>2305</v>
      </c>
      <c r="B134" s="279" t="s">
        <v>2387</v>
      </c>
      <c r="C134" s="34" t="s">
        <v>2527</v>
      </c>
      <c r="D134" s="34" t="s">
        <v>3222</v>
      </c>
      <c r="E134" s="34" t="s">
        <v>2290</v>
      </c>
      <c r="F134" s="283"/>
      <c r="G134" s="34"/>
      <c r="H134" s="297" t="s">
        <v>3225</v>
      </c>
      <c r="I134" s="34" t="s">
        <v>2529</v>
      </c>
      <c r="J134" s="308">
        <f>1.06*328</f>
        <v>347.68</v>
      </c>
      <c r="K134" s="313">
        <f>1.06*319</f>
        <v>338.14000000000004</v>
      </c>
      <c r="L134" s="34">
        <v>300</v>
      </c>
      <c r="M134" s="34">
        <v>500</v>
      </c>
      <c r="N134" s="34">
        <v>1</v>
      </c>
      <c r="O134" s="34">
        <v>1</v>
      </c>
      <c r="P134" s="61">
        <f t="shared" si="91"/>
        <v>104304</v>
      </c>
      <c r="Q134" s="61">
        <f t="shared" si="91"/>
        <v>169070.00000000003</v>
      </c>
      <c r="R134" s="69">
        <f>Q134-P134</f>
        <v>64766.000000000029</v>
      </c>
      <c r="S134" s="70">
        <v>0.06</v>
      </c>
      <c r="T134" s="70">
        <v>0</v>
      </c>
      <c r="U134" s="309" t="s">
        <v>3215</v>
      </c>
      <c r="V134" s="35"/>
    </row>
    <row r="135" spans="1:22" s="19" customFormat="1" ht="23" customHeight="1">
      <c r="A135" s="278" t="s">
        <v>2305</v>
      </c>
      <c r="B135" s="279" t="s">
        <v>2387</v>
      </c>
      <c r="C135" s="34" t="s">
        <v>2527</v>
      </c>
      <c r="D135" s="34" t="s">
        <v>3226</v>
      </c>
      <c r="E135" s="34" t="s">
        <v>2290</v>
      </c>
      <c r="F135" s="283"/>
      <c r="G135" s="34"/>
      <c r="H135" s="297" t="s">
        <v>3227</v>
      </c>
      <c r="I135" s="34" t="s">
        <v>2529</v>
      </c>
      <c r="J135" s="308">
        <v>0</v>
      </c>
      <c r="K135" s="313">
        <f>1.06*128</f>
        <v>135.68</v>
      </c>
      <c r="L135" s="34">
        <v>0</v>
      </c>
      <c r="M135" s="34">
        <v>300</v>
      </c>
      <c r="N135" s="34">
        <v>0</v>
      </c>
      <c r="O135" s="34">
        <v>1</v>
      </c>
      <c r="P135" s="61">
        <f t="shared" si="91"/>
        <v>0</v>
      </c>
      <c r="Q135" s="61">
        <f t="shared" si="91"/>
        <v>40704</v>
      </c>
      <c r="R135" s="69">
        <f>Q135-P135</f>
        <v>40704</v>
      </c>
      <c r="S135" s="70">
        <v>0.06</v>
      </c>
      <c r="T135" s="70">
        <v>0</v>
      </c>
      <c r="U135" s="309" t="s">
        <v>3216</v>
      </c>
      <c r="V135" s="35"/>
    </row>
    <row r="136" spans="1:22" s="19" customFormat="1" ht="37.5" customHeight="1">
      <c r="A136" s="278" t="s">
        <v>2305</v>
      </c>
      <c r="B136" s="279" t="s">
        <v>2387</v>
      </c>
      <c r="C136" s="34" t="s">
        <v>2527</v>
      </c>
      <c r="D136" s="34" t="s">
        <v>3223</v>
      </c>
      <c r="E136" s="34" t="s">
        <v>2290</v>
      </c>
      <c r="F136" s="283"/>
      <c r="G136" s="34"/>
      <c r="H136" s="297" t="s">
        <v>2528</v>
      </c>
      <c r="I136" s="34" t="s">
        <v>2529</v>
      </c>
      <c r="J136" s="55">
        <f>1.06*168</f>
        <v>178.08</v>
      </c>
      <c r="K136" s="313">
        <f>1.06*168</f>
        <v>178.08</v>
      </c>
      <c r="L136" s="34">
        <v>300</v>
      </c>
      <c r="M136" s="34">
        <v>297</v>
      </c>
      <c r="N136" s="34">
        <v>1</v>
      </c>
      <c r="O136" s="34">
        <v>1</v>
      </c>
      <c r="P136" s="61">
        <f t="shared" si="91"/>
        <v>53424.000000000007</v>
      </c>
      <c r="Q136" s="61">
        <f t="shared" si="91"/>
        <v>52889.760000000002</v>
      </c>
      <c r="R136" s="69">
        <f>Q136-P136</f>
        <v>-534.24000000000524</v>
      </c>
      <c r="S136" s="70">
        <v>0.06</v>
      </c>
      <c r="T136" s="70">
        <v>0</v>
      </c>
      <c r="U136" s="312" t="s">
        <v>3229</v>
      </c>
      <c r="V136" s="35"/>
    </row>
    <row r="137" spans="1:22" s="19" customFormat="1" ht="23" customHeight="1">
      <c r="A137" s="278" t="s">
        <v>2305</v>
      </c>
      <c r="B137" s="279" t="s">
        <v>2387</v>
      </c>
      <c r="C137" s="34" t="s">
        <v>2527</v>
      </c>
      <c r="D137" s="34" t="s">
        <v>3300</v>
      </c>
      <c r="E137" s="34" t="s">
        <v>2290</v>
      </c>
      <c r="F137" s="283"/>
      <c r="G137" s="34"/>
      <c r="H137" s="297" t="s">
        <v>3301</v>
      </c>
      <c r="I137" s="34" t="s">
        <v>2529</v>
      </c>
      <c r="J137" s="308">
        <f>4000*0.8*1.06</f>
        <v>3392</v>
      </c>
      <c r="K137" s="313">
        <f>1.06*4042.2</f>
        <v>4284.732</v>
      </c>
      <c r="L137" s="34">
        <v>7</v>
      </c>
      <c r="M137" s="34">
        <v>1</v>
      </c>
      <c r="N137" s="34">
        <v>3</v>
      </c>
      <c r="O137" s="34">
        <v>1</v>
      </c>
      <c r="P137" s="61">
        <f t="shared" si="73"/>
        <v>71232</v>
      </c>
      <c r="Q137" s="61">
        <f t="shared" ref="Q137:Q142" si="92">IFERROR(O137*M137*K137,0)</f>
        <v>4284.732</v>
      </c>
      <c r="R137" s="69">
        <f t="shared" si="49"/>
        <v>-66947.267999999996</v>
      </c>
      <c r="S137" s="70">
        <v>0.06</v>
      </c>
      <c r="T137" s="70">
        <v>0</v>
      </c>
      <c r="U137" s="309" t="s">
        <v>3302</v>
      </c>
      <c r="V137" s="35"/>
    </row>
    <row r="138" spans="1:22" s="19" customFormat="1" ht="23" customHeight="1">
      <c r="A138" s="278" t="s">
        <v>2305</v>
      </c>
      <c r="B138" s="279" t="s">
        <v>2387</v>
      </c>
      <c r="C138" s="34" t="s">
        <v>2527</v>
      </c>
      <c r="D138" s="34" t="s">
        <v>3320</v>
      </c>
      <c r="E138" s="34" t="s">
        <v>2290</v>
      </c>
      <c r="F138" s="283"/>
      <c r="G138" s="34"/>
      <c r="H138" s="297" t="s">
        <v>3321</v>
      </c>
      <c r="I138" s="34" t="s">
        <v>2529</v>
      </c>
      <c r="J138" s="308">
        <v>0</v>
      </c>
      <c r="K138" s="313">
        <f>1.06*5355</f>
        <v>5676.3</v>
      </c>
      <c r="L138" s="34">
        <v>0</v>
      </c>
      <c r="M138" s="34">
        <v>1</v>
      </c>
      <c r="N138" s="34">
        <v>0</v>
      </c>
      <c r="O138" s="34">
        <v>1</v>
      </c>
      <c r="P138" s="61">
        <f t="shared" ref="P138" si="93">IFERROR(N138*L138*J138,0)</f>
        <v>0</v>
      </c>
      <c r="Q138" s="61">
        <f t="shared" si="92"/>
        <v>5676.3</v>
      </c>
      <c r="R138" s="69">
        <f t="shared" ref="R138" si="94">Q138-P138</f>
        <v>5676.3</v>
      </c>
      <c r="S138" s="70">
        <v>0.06</v>
      </c>
      <c r="T138" s="70">
        <v>0</v>
      </c>
      <c r="U138" s="309"/>
      <c r="V138" s="35"/>
    </row>
    <row r="139" spans="1:22" s="19" customFormat="1" ht="22.9" customHeight="1">
      <c r="A139" s="278" t="s">
        <v>2305</v>
      </c>
      <c r="B139" s="279" t="s">
        <v>2387</v>
      </c>
      <c r="C139" s="34" t="s">
        <v>2527</v>
      </c>
      <c r="D139" s="34" t="s">
        <v>2554</v>
      </c>
      <c r="E139" s="34" t="s">
        <v>2290</v>
      </c>
      <c r="F139" s="283"/>
      <c r="G139" s="34"/>
      <c r="H139" s="297" t="s">
        <v>2555</v>
      </c>
      <c r="I139" s="34" t="s">
        <v>49</v>
      </c>
      <c r="J139" s="308">
        <f>1.06*200</f>
        <v>212</v>
      </c>
      <c r="K139" s="313">
        <f>1.06*100167.9</f>
        <v>106177.974</v>
      </c>
      <c r="L139" s="34">
        <v>300</v>
      </c>
      <c r="M139" s="34">
        <v>1</v>
      </c>
      <c r="N139" s="34">
        <v>3</v>
      </c>
      <c r="O139" s="34">
        <v>1</v>
      </c>
      <c r="P139" s="61">
        <f t="shared" si="73"/>
        <v>190800</v>
      </c>
      <c r="Q139" s="61">
        <f t="shared" si="92"/>
        <v>106177.974</v>
      </c>
      <c r="R139" s="69">
        <f t="shared" si="49"/>
        <v>-84622.025999999998</v>
      </c>
      <c r="S139" s="70">
        <v>0.06</v>
      </c>
      <c r="T139" s="70">
        <v>0</v>
      </c>
      <c r="U139" s="312" t="s">
        <v>3730</v>
      </c>
      <c r="V139" s="35"/>
    </row>
    <row r="140" spans="1:22" s="18" customFormat="1" ht="32" customHeight="1">
      <c r="A140" s="278" t="s">
        <v>2305</v>
      </c>
      <c r="B140" s="279" t="s">
        <v>2387</v>
      </c>
      <c r="C140" s="278" t="s">
        <v>2556</v>
      </c>
      <c r="D140" s="278" t="s">
        <v>3728</v>
      </c>
      <c r="E140" s="45" t="s">
        <v>2283</v>
      </c>
      <c r="F140" s="283" t="s">
        <v>2558</v>
      </c>
      <c r="G140" s="34" t="str">
        <f>_xlfn.IFNA(IF(VLOOKUP($F140,'3.框架内物料'!$A:$E,2,0)=0,"请勿填写",VLOOKUP($F140,'3.框架内物料'!$A:$E,2,0)),"")</f>
        <v>M939882605761044482</v>
      </c>
      <c r="H140" s="297" t="str">
        <f>_xlfn.IFNA(VLOOKUP($F140,'3.框架内物料'!$A:$E,4,0),"")</f>
        <v>接待用车-车辆-车辆物流-运营车辆-接送机-GL8，60公里内，高速费另计</v>
      </c>
      <c r="I140" s="34" t="str">
        <f>_xlfn.IFNA(VLOOKUP($F140,'3.框架内物料'!$A:$E,5,0),"")</f>
        <v>辆/趟</v>
      </c>
      <c r="J140" s="55">
        <f>_xlfn.IFNA(VLOOKUP($F140,'3.框架内物料'!$A:$F,6,0),"")</f>
        <v>530</v>
      </c>
      <c r="K140" s="55">
        <f>_xlfn.IFNA(VLOOKUP($F140,'[2]3.框架内物料'!$A:$F,6,0),"")</f>
        <v>530</v>
      </c>
      <c r="L140" s="55">
        <f>_xlfn.IFNA(VLOOKUP($F140,'[2]3.框架内物料'!$A:$F,6,0),"")</f>
        <v>530</v>
      </c>
      <c r="M140" s="34">
        <v>33</v>
      </c>
      <c r="N140" s="34">
        <v>2</v>
      </c>
      <c r="O140" s="34">
        <v>1</v>
      </c>
      <c r="P140" s="61">
        <f>IFERROR(N140*L140*J140,0)</f>
        <v>561800</v>
      </c>
      <c r="Q140" s="61">
        <f t="shared" si="92"/>
        <v>17490</v>
      </c>
      <c r="R140" s="69">
        <f>Q140-P140</f>
        <v>-544310</v>
      </c>
      <c r="S140" s="70">
        <v>0.06</v>
      </c>
      <c r="T140" s="70">
        <v>0</v>
      </c>
      <c r="U140" s="309" t="s">
        <v>3729</v>
      </c>
      <c r="V140" s="35"/>
    </row>
    <row r="141" spans="1:22" s="18" customFormat="1" ht="32" customHeight="1">
      <c r="A141" s="278" t="s">
        <v>2305</v>
      </c>
      <c r="B141" s="279" t="s">
        <v>2387</v>
      </c>
      <c r="C141" s="278" t="s">
        <v>2556</v>
      </c>
      <c r="D141" s="278" t="s">
        <v>3727</v>
      </c>
      <c r="E141" s="45" t="s">
        <v>2283</v>
      </c>
      <c r="F141" s="283" t="s">
        <v>2557</v>
      </c>
      <c r="G141" s="34" t="str">
        <f>_xlfn.IFNA(IF(VLOOKUP($F141,'3.框架内物料'!$A:$E,2,0)=0,"请勿填写",VLOOKUP($F141,'3.框架内物料'!$A:$E,2,0)),"")</f>
        <v>M939882596713930754</v>
      </c>
      <c r="H141" s="297" t="str">
        <f>_xlfn.IFNA(VLOOKUP($F141,'3.框架内物料'!$A:$E,4,0),"")</f>
        <v>接待用车-车辆-车辆物流-运营车辆-商务乘用车-GL8，可使用同等类型车辆，1天8小时 or 100km计算，超出公里数及时间另计费</v>
      </c>
      <c r="I141" s="34" t="str">
        <f>_xlfn.IFNA(VLOOKUP($F141,'3.框架内物料'!$A:$E,5,0),"")</f>
        <v>辆/天</v>
      </c>
      <c r="J141" s="55">
        <f>_xlfn.IFNA(VLOOKUP($F141,'3.框架内物料'!$A:$F,6,0),"")</f>
        <v>1060</v>
      </c>
      <c r="K141" s="55">
        <f>_xlfn.IFNA(VLOOKUP($F141,'[2]3.框架内物料'!$A:$F,6,0),"")</f>
        <v>1060</v>
      </c>
      <c r="L141" s="34">
        <v>10</v>
      </c>
      <c r="M141" s="34">
        <v>2</v>
      </c>
      <c r="N141" s="34">
        <v>3</v>
      </c>
      <c r="O141" s="34">
        <v>3</v>
      </c>
      <c r="P141" s="61">
        <f t="shared" si="73"/>
        <v>31800</v>
      </c>
      <c r="Q141" s="61">
        <f t="shared" si="92"/>
        <v>6360</v>
      </c>
      <c r="R141" s="69">
        <f t="shared" si="49"/>
        <v>-25440</v>
      </c>
      <c r="S141" s="70">
        <v>0.06</v>
      </c>
      <c r="T141" s="70">
        <v>0</v>
      </c>
      <c r="U141" s="309" t="s">
        <v>3733</v>
      </c>
      <c r="V141" s="35"/>
    </row>
    <row r="142" spans="1:22" s="18" customFormat="1" ht="46.15" customHeight="1">
      <c r="A142" s="278" t="s">
        <v>2305</v>
      </c>
      <c r="B142" s="279" t="s">
        <v>2387</v>
      </c>
      <c r="C142" s="278" t="s">
        <v>2556</v>
      </c>
      <c r="D142" s="278" t="s">
        <v>2559</v>
      </c>
      <c r="E142" s="45" t="s">
        <v>2283</v>
      </c>
      <c r="F142" s="283" t="s">
        <v>2557</v>
      </c>
      <c r="G142" s="34" t="str">
        <f>_xlfn.IFNA(IF(VLOOKUP($F142,'3.框架内物料'!$A:$E,2,0)=0,"请勿填写",VLOOKUP($F142,'3.框架内物料'!$A:$E,2,0)),"")</f>
        <v>M939882596713930754</v>
      </c>
      <c r="H142" s="297" t="str">
        <f>_xlfn.IFNA(VLOOKUP($F142,'3.框架内物料'!$A:$E,4,0),"")</f>
        <v>接待用车-车辆-车辆物流-运营车辆-商务乘用车-GL8，可使用同等类型车辆，1天8小时 or 100km计算，超出公里数及时间另计费</v>
      </c>
      <c r="I142" s="34" t="str">
        <f>_xlfn.IFNA(VLOOKUP($F142,'3.框架内物料'!$A:$E,5,0),"")</f>
        <v>辆/天</v>
      </c>
      <c r="J142" s="55">
        <f>_xlfn.IFNA(VLOOKUP($F142,'3.框架内物料'!$A:$F,6,0),"")</f>
        <v>1060</v>
      </c>
      <c r="K142" s="55">
        <f>_xlfn.IFNA(VLOOKUP($F142,'[2]3.框架内物料'!$A:$F,6,0),"")</f>
        <v>1060</v>
      </c>
      <c r="L142" s="34">
        <v>5</v>
      </c>
      <c r="M142" s="34">
        <v>6</v>
      </c>
      <c r="N142" s="34">
        <v>2</v>
      </c>
      <c r="O142" s="34">
        <v>3</v>
      </c>
      <c r="P142" s="61">
        <f t="shared" ref="P142" si="95">IFERROR(N142*L142*J142,0)</f>
        <v>10600</v>
      </c>
      <c r="Q142" s="61">
        <f t="shared" si="92"/>
        <v>19080</v>
      </c>
      <c r="R142" s="69">
        <f t="shared" si="49"/>
        <v>8480</v>
      </c>
      <c r="S142" s="70">
        <v>0.06</v>
      </c>
      <c r="T142" s="70">
        <v>0</v>
      </c>
      <c r="U142" s="312" t="s">
        <v>3731</v>
      </c>
      <c r="V142" s="35"/>
    </row>
    <row r="143" spans="1:22" s="277" customFormat="1" ht="31.9" customHeight="1">
      <c r="A143" s="265" t="s">
        <v>2305</v>
      </c>
      <c r="B143" s="266" t="s">
        <v>2387</v>
      </c>
      <c r="C143" s="265" t="s">
        <v>2556</v>
      </c>
      <c r="D143" s="265" t="s">
        <v>2560</v>
      </c>
      <c r="E143" s="267" t="s">
        <v>2283</v>
      </c>
      <c r="F143" s="268" t="s">
        <v>2561</v>
      </c>
      <c r="G143" s="269" t="str">
        <f>_xlfn.IFNA(IF(VLOOKUP($F143,'3.框架内物料'!$A:$E,2,0)=0,"请勿填写",VLOOKUP($F143,'3.框架内物料'!$A:$E,2,0)),"")</f>
        <v>M939882624185389057</v>
      </c>
      <c r="H143" s="270" t="str">
        <f>_xlfn.IFNA(VLOOKUP($F143,'3.框架内物料'!$A:$E,4,0),"")</f>
        <v>接待用车-车辆-车辆物流-运营车辆-接送机-考斯特，60公里内，高速费另计</v>
      </c>
      <c r="I143" s="269" t="str">
        <f>_xlfn.IFNA(VLOOKUP($F143,'3.框架内物料'!$A:$E,5,0),"")</f>
        <v>辆/趟</v>
      </c>
      <c r="J143" s="271">
        <f>_xlfn.IFNA(VLOOKUP($F143,'3.框架内物料'!$A:$F,6,0),"")</f>
        <v>848</v>
      </c>
      <c r="K143" s="271">
        <f>_xlfn.IFNA(VLOOKUP($F143,'[2]3.框架内物料'!$A:$F,6,0),"")</f>
        <v>848</v>
      </c>
      <c r="L143" s="269">
        <v>14</v>
      </c>
      <c r="M143" s="269">
        <v>0</v>
      </c>
      <c r="N143" s="269">
        <v>2</v>
      </c>
      <c r="O143" s="269">
        <v>0</v>
      </c>
      <c r="P143" s="272">
        <f t="shared" ref="P143:P152" si="96">IFERROR(N143*L143*J143,0)</f>
        <v>23744</v>
      </c>
      <c r="Q143" s="272">
        <f t="shared" si="70"/>
        <v>0</v>
      </c>
      <c r="R143" s="273">
        <f t="shared" si="49"/>
        <v>-23744</v>
      </c>
      <c r="S143" s="274">
        <v>0.06</v>
      </c>
      <c r="T143" s="274">
        <v>0</v>
      </c>
      <c r="U143" s="275" t="s">
        <v>3734</v>
      </c>
      <c r="V143" s="276"/>
    </row>
    <row r="144" spans="1:22" s="277" customFormat="1" ht="32.65" customHeight="1">
      <c r="A144" s="265" t="s">
        <v>2305</v>
      </c>
      <c r="B144" s="266" t="s">
        <v>2387</v>
      </c>
      <c r="C144" s="265" t="s">
        <v>2556</v>
      </c>
      <c r="D144" s="265" t="s">
        <v>2560</v>
      </c>
      <c r="E144" s="267" t="s">
        <v>2283</v>
      </c>
      <c r="F144" s="268" t="s">
        <v>2562</v>
      </c>
      <c r="G144" s="269" t="str">
        <f>_xlfn.IFNA(IF(VLOOKUP($F144,'3.框架内物料'!$A:$E,2,0)=0,"请勿填写",VLOOKUP($F144,'3.框架内物料'!$A:$E,2,0)),"")</f>
        <v>M939882614325813250</v>
      </c>
      <c r="H144" s="270" t="str">
        <f>_xlfn.IFNA(VLOOKUP($F144,'3.框架内物料'!$A:$E,4,0),"")</f>
        <v>接待用车-车辆-车辆物流-运营车辆-接送机-50座大巴车，60公里内，高速费另计</v>
      </c>
      <c r="I144" s="269" t="str">
        <f>_xlfn.IFNA(VLOOKUP($F144,'3.框架内物料'!$A:$E,5,0),"")</f>
        <v>辆/趟</v>
      </c>
      <c r="J144" s="271">
        <f>_xlfn.IFNA(VLOOKUP($F144,'3.框架内物料'!$A:$F,6,0),"")</f>
        <v>1272</v>
      </c>
      <c r="K144" s="271">
        <f>_xlfn.IFNA(VLOOKUP($F144,'[2]3.框架内物料'!$A:$F,6,0),"")</f>
        <v>1272</v>
      </c>
      <c r="L144" s="269">
        <v>13</v>
      </c>
      <c r="M144" s="269">
        <v>0</v>
      </c>
      <c r="N144" s="269">
        <v>2</v>
      </c>
      <c r="O144" s="269">
        <v>0</v>
      </c>
      <c r="P144" s="272">
        <f t="shared" ref="P144" si="97">IFERROR(N144*L144*J144,0)</f>
        <v>33072</v>
      </c>
      <c r="Q144" s="272">
        <f t="shared" si="70"/>
        <v>0</v>
      </c>
      <c r="R144" s="273">
        <f t="shared" si="49"/>
        <v>-33072</v>
      </c>
      <c r="S144" s="274">
        <v>0.06</v>
      </c>
      <c r="T144" s="274">
        <v>0</v>
      </c>
      <c r="U144" s="275" t="s">
        <v>3734</v>
      </c>
      <c r="V144" s="276"/>
    </row>
    <row r="145" spans="1:22" s="18" customFormat="1" ht="32" customHeight="1">
      <c r="A145" s="278" t="s">
        <v>2305</v>
      </c>
      <c r="B145" s="279" t="s">
        <v>2387</v>
      </c>
      <c r="C145" s="278" t="s">
        <v>2556</v>
      </c>
      <c r="D145" s="278" t="s">
        <v>3735</v>
      </c>
      <c r="E145" s="45" t="s">
        <v>2283</v>
      </c>
      <c r="F145" s="283" t="s">
        <v>2557</v>
      </c>
      <c r="G145" s="34" t="str">
        <f>_xlfn.IFNA(IF(VLOOKUP($F145,'3.框架内物料'!$A:$E,2,0)=0,"请勿填写",VLOOKUP($F145,'3.框架内物料'!$A:$E,2,0)),"")</f>
        <v>M939882596713930754</v>
      </c>
      <c r="H145" s="297" t="str">
        <f>_xlfn.IFNA(VLOOKUP($F145,'3.框架内物料'!$A:$E,4,0),"")</f>
        <v>接待用车-车辆-车辆物流-运营车辆-商务乘用车-GL8，可使用同等类型车辆，1天8小时 or 100km计算，超出公里数及时间另计费</v>
      </c>
      <c r="I145" s="34" t="str">
        <f>_xlfn.IFNA(VLOOKUP($F145,'3.框架内物料'!$A:$E,5,0),"")</f>
        <v>辆/天</v>
      </c>
      <c r="J145" s="55">
        <f>_xlfn.IFNA(VLOOKUP($F145,'3.框架内物料'!$A:$F,6,0),"")</f>
        <v>1060</v>
      </c>
      <c r="K145" s="55">
        <f>_xlfn.IFNA(VLOOKUP($F145,'[2]3.框架内物料'!$A:$F,6,0),"")</f>
        <v>1060</v>
      </c>
      <c r="L145" s="34">
        <v>40</v>
      </c>
      <c r="M145" s="34">
        <v>45</v>
      </c>
      <c r="N145" s="34">
        <v>1</v>
      </c>
      <c r="O145" s="34">
        <v>1</v>
      </c>
      <c r="P145" s="61">
        <f t="shared" si="96"/>
        <v>42400</v>
      </c>
      <c r="Q145" s="61">
        <f t="shared" si="70"/>
        <v>47700</v>
      </c>
      <c r="R145" s="69">
        <f t="shared" si="49"/>
        <v>5300</v>
      </c>
      <c r="S145" s="70">
        <v>0.06</v>
      </c>
      <c r="T145" s="70">
        <v>0</v>
      </c>
      <c r="U145" s="309" t="s">
        <v>3736</v>
      </c>
      <c r="V145" s="35"/>
    </row>
    <row r="146" spans="1:22" s="277" customFormat="1" ht="31.9" customHeight="1">
      <c r="A146" s="265" t="s">
        <v>2305</v>
      </c>
      <c r="B146" s="266" t="s">
        <v>2387</v>
      </c>
      <c r="C146" s="265" t="s">
        <v>2556</v>
      </c>
      <c r="D146" s="265" t="s">
        <v>2563</v>
      </c>
      <c r="E146" s="267" t="s">
        <v>2283</v>
      </c>
      <c r="F146" s="268" t="s">
        <v>2564</v>
      </c>
      <c r="G146" s="269" t="str">
        <f>_xlfn.IFNA(IF(VLOOKUP($F146,'3.框架内物料'!$A:$E,2,0)=0,"请勿填写",VLOOKUP($F146,'3.框架内物料'!$A:$E,2,0)),"")</f>
        <v>M939882629038198786</v>
      </c>
      <c r="H146" s="270" t="str">
        <f>_xlfn.IFNA(VLOOKUP($F146,'3.框架内物料'!$A:$E,4,0),"")</f>
        <v>接待用车-车辆-车辆物流-运营车辆-中型车-考斯特，可使用同等类型车辆，1天8小时 or 100km计算，超出公里数及时间另计费</v>
      </c>
      <c r="I146" s="269" t="str">
        <f>_xlfn.IFNA(VLOOKUP($F146,'3.框架内物料'!$A:$E,5,0),"")</f>
        <v>辆/天</v>
      </c>
      <c r="J146" s="271">
        <f>_xlfn.IFNA(VLOOKUP($F146,'3.框架内物料'!$A:$F,6,0),"")</f>
        <v>1500</v>
      </c>
      <c r="K146" s="271">
        <f>_xlfn.IFNA(VLOOKUP($F146,'[2]3.框架内物料'!$A:$F,6,0),"")</f>
        <v>1500</v>
      </c>
      <c r="L146" s="269">
        <v>10</v>
      </c>
      <c r="M146" s="269">
        <v>0</v>
      </c>
      <c r="N146" s="269">
        <v>1</v>
      </c>
      <c r="O146" s="269">
        <v>0</v>
      </c>
      <c r="P146" s="272">
        <f t="shared" ref="P146" si="98">IFERROR(N146*L146*J146,0)</f>
        <v>15000</v>
      </c>
      <c r="Q146" s="272">
        <f t="shared" si="70"/>
        <v>0</v>
      </c>
      <c r="R146" s="273">
        <f t="shared" si="49"/>
        <v>-15000</v>
      </c>
      <c r="S146" s="274">
        <v>0.06</v>
      </c>
      <c r="T146" s="274">
        <v>0</v>
      </c>
      <c r="U146" s="275" t="s">
        <v>3737</v>
      </c>
      <c r="V146" s="276"/>
    </row>
    <row r="147" spans="1:22" s="18" customFormat="1" ht="31.9" customHeight="1">
      <c r="A147" s="278" t="s">
        <v>2305</v>
      </c>
      <c r="B147" s="279" t="s">
        <v>2387</v>
      </c>
      <c r="C147" s="278" t="s">
        <v>2556</v>
      </c>
      <c r="D147" s="278" t="s">
        <v>2563</v>
      </c>
      <c r="E147" s="45" t="s">
        <v>2283</v>
      </c>
      <c r="F147" s="283" t="s">
        <v>3739</v>
      </c>
      <c r="G147" s="34" t="str">
        <f>_xlfn.IFNA(IF(VLOOKUP($F147,'3.框架内物料'!$A:$E,2,0)=0,"请勿填写",VLOOKUP($F147,'3.框架内物料'!$A:$E,2,0)),"")</f>
        <v>M939882641622343681</v>
      </c>
      <c r="H147" s="297" t="str">
        <f>_xlfn.IFNA(VLOOKUP($F147,'3.框架内物料'!$A:$E,4,0),"")</f>
        <v>接待用车-车辆-车辆物流-运营车辆-50人座大巴车，1天8小时 or 100km计算，超出公里数及时间另计费</v>
      </c>
      <c r="I147" s="34" t="str">
        <f>_xlfn.IFNA(VLOOKUP($F147,'3.框架内物料'!$A:$E,5,0),"")</f>
        <v>辆/天</v>
      </c>
      <c r="J147" s="55">
        <v>0</v>
      </c>
      <c r="K147" s="55">
        <f>_xlfn.IFNA(VLOOKUP($F147,'[2]3.框架内物料'!$A:$F,6,0),"")</f>
        <v>1866.67</v>
      </c>
      <c r="L147" s="34">
        <v>0</v>
      </c>
      <c r="M147" s="34">
        <v>4</v>
      </c>
      <c r="N147" s="34">
        <v>0</v>
      </c>
      <c r="O147" s="34">
        <v>2</v>
      </c>
      <c r="P147" s="61">
        <f t="shared" ref="P147" si="99">IFERROR(N147*L147*J147,0)</f>
        <v>0</v>
      </c>
      <c r="Q147" s="61">
        <f t="shared" ref="Q147" si="100">IFERROR(O147*M147*K147,0)</f>
        <v>14933.36</v>
      </c>
      <c r="R147" s="69">
        <f t="shared" ref="R147" si="101">Q147-P147</f>
        <v>14933.36</v>
      </c>
      <c r="S147" s="70">
        <v>0.06</v>
      </c>
      <c r="T147" s="70">
        <v>0</v>
      </c>
      <c r="U147" s="309" t="s">
        <v>3738</v>
      </c>
      <c r="V147" s="35"/>
    </row>
    <row r="148" spans="1:22" s="18" customFormat="1" ht="32" customHeight="1">
      <c r="A148" s="278" t="s">
        <v>2305</v>
      </c>
      <c r="B148" s="279" t="s">
        <v>2387</v>
      </c>
      <c r="C148" s="278" t="s">
        <v>2556</v>
      </c>
      <c r="D148" s="278" t="s">
        <v>2565</v>
      </c>
      <c r="E148" s="45" t="s">
        <v>2290</v>
      </c>
      <c r="F148" s="283"/>
      <c r="G148" s="34" t="str">
        <f>_xlfn.IFNA(IF(VLOOKUP($F148,'3.框架内物料'!$A:$E,2,0)=0,"请勿填写",VLOOKUP($F148,'3.框架内物料'!$A:$E,2,0)),"")</f>
        <v/>
      </c>
      <c r="H148" s="297" t="str">
        <f>_xlfn.IFNA(VLOOKUP($F148,'3.框架内物料'!$A:$E,4,0),"")</f>
        <v/>
      </c>
      <c r="I148" s="34" t="s">
        <v>49</v>
      </c>
      <c r="J148" s="55">
        <f>1.06*20000</f>
        <v>21200</v>
      </c>
      <c r="K148" s="55">
        <f>1.06*13530</f>
        <v>14341.800000000001</v>
      </c>
      <c r="L148" s="34">
        <v>1</v>
      </c>
      <c r="M148" s="34">
        <v>1</v>
      </c>
      <c r="N148" s="34">
        <v>1</v>
      </c>
      <c r="O148" s="34">
        <v>1</v>
      </c>
      <c r="P148" s="61">
        <f t="shared" ref="P148" si="102">IFERROR(N148*L148*J148,0)</f>
        <v>21200</v>
      </c>
      <c r="Q148" s="61">
        <f>IFERROR(O148*M148*K148,0)</f>
        <v>14341.800000000001</v>
      </c>
      <c r="R148" s="69">
        <f t="shared" si="49"/>
        <v>-6858.1999999999989</v>
      </c>
      <c r="S148" s="70">
        <v>0.06</v>
      </c>
      <c r="T148" s="70">
        <v>0</v>
      </c>
      <c r="U148" s="309" t="s">
        <v>3732</v>
      </c>
      <c r="V148" s="35"/>
    </row>
    <row r="149" spans="1:22" s="235" customFormat="1" ht="32" customHeight="1">
      <c r="A149" s="223" t="s">
        <v>2305</v>
      </c>
      <c r="B149" s="224" t="s">
        <v>2387</v>
      </c>
      <c r="C149" s="223" t="s">
        <v>2556</v>
      </c>
      <c r="D149" s="223" t="s">
        <v>2566</v>
      </c>
      <c r="E149" s="226" t="s">
        <v>2290</v>
      </c>
      <c r="F149" s="227"/>
      <c r="G149" s="225" t="str">
        <f>_xlfn.IFNA(IF(VLOOKUP($F149,'3.框架内物料'!$A:$E,2,0)=0,"请勿填写",VLOOKUP($F149,'3.框架内物料'!$A:$E,2,0)),"")</f>
        <v/>
      </c>
      <c r="H149" s="228" t="s">
        <v>2567</v>
      </c>
      <c r="I149" s="225" t="s">
        <v>49</v>
      </c>
      <c r="J149" s="229">
        <f>1.06*15000</f>
        <v>15900</v>
      </c>
      <c r="K149" s="229">
        <v>0</v>
      </c>
      <c r="L149" s="225">
        <v>1</v>
      </c>
      <c r="M149" s="225">
        <v>0</v>
      </c>
      <c r="N149" s="225">
        <v>1</v>
      </c>
      <c r="O149" s="225">
        <v>0</v>
      </c>
      <c r="P149" s="230">
        <f t="shared" ref="P149" si="103">IFERROR(N149*L149*J149,0)</f>
        <v>15900</v>
      </c>
      <c r="Q149" s="230">
        <f t="shared" si="70"/>
        <v>0</v>
      </c>
      <c r="R149" s="231">
        <f t="shared" si="49"/>
        <v>-15900</v>
      </c>
      <c r="S149" s="232">
        <v>0.06</v>
      </c>
      <c r="T149" s="232">
        <v>0</v>
      </c>
      <c r="U149" s="233" t="s">
        <v>3725</v>
      </c>
      <c r="V149" s="234"/>
    </row>
    <row r="150" spans="1:22" s="235" customFormat="1" ht="23" customHeight="1">
      <c r="A150" s="223" t="s">
        <v>2305</v>
      </c>
      <c r="B150" s="224" t="s">
        <v>2387</v>
      </c>
      <c r="C150" s="225" t="s">
        <v>2568</v>
      </c>
      <c r="D150" s="225" t="s">
        <v>2568</v>
      </c>
      <c r="E150" s="226" t="s">
        <v>2290</v>
      </c>
      <c r="F150" s="227"/>
      <c r="G150" s="225" t="str">
        <f>_xlfn.IFNA(IF(VLOOKUP($F150,'3.框架内物料'!$A:$E,2,0)=0,"请勿填写",VLOOKUP($F150,'3.框架内物料'!$A:$E,2,0)),"")</f>
        <v/>
      </c>
      <c r="H150" s="228" t="s">
        <v>2569</v>
      </c>
      <c r="I150" s="225" t="s">
        <v>2529</v>
      </c>
      <c r="J150" s="229">
        <f>1.06*15</f>
        <v>15.9</v>
      </c>
      <c r="K150" s="229">
        <v>0</v>
      </c>
      <c r="L150" s="225">
        <v>520</v>
      </c>
      <c r="M150" s="225">
        <v>0</v>
      </c>
      <c r="N150" s="225">
        <v>1</v>
      </c>
      <c r="O150" s="225">
        <v>0</v>
      </c>
      <c r="P150" s="230">
        <f t="shared" si="96"/>
        <v>8268</v>
      </c>
      <c r="Q150" s="230">
        <f t="shared" si="70"/>
        <v>0</v>
      </c>
      <c r="R150" s="231">
        <f t="shared" si="49"/>
        <v>-8268</v>
      </c>
      <c r="S150" s="232">
        <v>0.06</v>
      </c>
      <c r="T150" s="232">
        <v>0</v>
      </c>
      <c r="U150" s="233" t="s">
        <v>3153</v>
      </c>
      <c r="V150" s="234"/>
    </row>
    <row r="151" spans="1:22" s="235" customFormat="1" ht="22.9" customHeight="1">
      <c r="A151" s="223" t="s">
        <v>2305</v>
      </c>
      <c r="B151" s="224" t="s">
        <v>2387</v>
      </c>
      <c r="C151" s="225" t="s">
        <v>2568</v>
      </c>
      <c r="D151" s="225" t="s">
        <v>2570</v>
      </c>
      <c r="E151" s="226" t="s">
        <v>2290</v>
      </c>
      <c r="F151" s="227"/>
      <c r="G151" s="225" t="str">
        <f>_xlfn.IFNA(IF(VLOOKUP($F151,'3.框架内物料'!$A:$E,2,0)=0,"请勿填写",VLOOKUP($F151,'3.框架内物料'!$A:$E,2,0)),"")</f>
        <v/>
      </c>
      <c r="H151" s="228" t="s">
        <v>2571</v>
      </c>
      <c r="I151" s="225" t="s">
        <v>2529</v>
      </c>
      <c r="J151" s="229">
        <f>1.06*500</f>
        <v>530</v>
      </c>
      <c r="K151" s="229">
        <v>0</v>
      </c>
      <c r="L151" s="225">
        <v>80</v>
      </c>
      <c r="M151" s="225">
        <v>0</v>
      </c>
      <c r="N151" s="225">
        <v>1</v>
      </c>
      <c r="O151" s="225">
        <v>0</v>
      </c>
      <c r="P151" s="230">
        <f t="shared" si="96"/>
        <v>42400</v>
      </c>
      <c r="Q151" s="230">
        <f t="shared" si="70"/>
        <v>0</v>
      </c>
      <c r="R151" s="231">
        <f t="shared" si="49"/>
        <v>-42400</v>
      </c>
      <c r="S151" s="232">
        <v>0.06</v>
      </c>
      <c r="T151" s="232">
        <v>0</v>
      </c>
      <c r="U151" s="233" t="s">
        <v>3153</v>
      </c>
      <c r="V151" s="234"/>
    </row>
    <row r="152" spans="1:22" s="19" customFormat="1" ht="55.5">
      <c r="A152" s="35" t="s">
        <v>2305</v>
      </c>
      <c r="B152" s="315" t="s">
        <v>2387</v>
      </c>
      <c r="C152" s="35" t="s">
        <v>2580</v>
      </c>
      <c r="D152" s="35" t="s">
        <v>2580</v>
      </c>
      <c r="E152" s="34" t="s">
        <v>2290</v>
      </c>
      <c r="F152" s="283"/>
      <c r="G152" s="34"/>
      <c r="H152" s="310" t="s">
        <v>2581</v>
      </c>
      <c r="I152" s="34" t="s">
        <v>2529</v>
      </c>
      <c r="J152" s="55">
        <f>1.06*4000</f>
        <v>4240</v>
      </c>
      <c r="K152" s="55">
        <f>1.06*4237</f>
        <v>4491.22</v>
      </c>
      <c r="L152" s="34">
        <v>1</v>
      </c>
      <c r="M152" s="55">
        <v>1</v>
      </c>
      <c r="N152" s="34">
        <v>1</v>
      </c>
      <c r="O152" s="34">
        <v>1</v>
      </c>
      <c r="P152" s="61">
        <f t="shared" si="96"/>
        <v>4240</v>
      </c>
      <c r="Q152" s="61">
        <f t="shared" ref="Q152" si="104">IFERROR(O152*M152*K152,0)</f>
        <v>4491.22</v>
      </c>
      <c r="R152" s="69">
        <f t="shared" si="49"/>
        <v>251.22000000000025</v>
      </c>
      <c r="S152" s="316">
        <v>0.06</v>
      </c>
      <c r="T152" s="316">
        <v>0</v>
      </c>
      <c r="U152" s="310" t="s">
        <v>3317</v>
      </c>
      <c r="V152" s="35"/>
    </row>
    <row r="153" spans="1:22" s="19" customFormat="1" ht="55.5">
      <c r="A153" s="35" t="s">
        <v>2305</v>
      </c>
      <c r="B153" s="315" t="s">
        <v>2387</v>
      </c>
      <c r="C153" s="34" t="s">
        <v>2572</v>
      </c>
      <c r="D153" s="34" t="s">
        <v>2572</v>
      </c>
      <c r="E153" s="34" t="s">
        <v>2290</v>
      </c>
      <c r="F153" s="283"/>
      <c r="G153" s="34"/>
      <c r="H153" s="297" t="s">
        <v>2573</v>
      </c>
      <c r="I153" s="34" t="s">
        <v>2515</v>
      </c>
      <c r="J153" s="55">
        <f>1.06*224.5</f>
        <v>237.97</v>
      </c>
      <c r="K153" s="55">
        <f>1.06*12275</f>
        <v>13011.5</v>
      </c>
      <c r="L153" s="34">
        <v>17</v>
      </c>
      <c r="M153" s="55">
        <v>1</v>
      </c>
      <c r="N153" s="34">
        <v>2</v>
      </c>
      <c r="O153" s="34">
        <v>1</v>
      </c>
      <c r="P153" s="61">
        <f t="shared" si="73"/>
        <v>8090.98</v>
      </c>
      <c r="Q153" s="61">
        <f>IFERROR(O153*M153*K153,0)</f>
        <v>13011.5</v>
      </c>
      <c r="R153" s="69">
        <f>Q153-P153</f>
        <v>4920.5200000000004</v>
      </c>
      <c r="S153" s="316">
        <v>0.06</v>
      </c>
      <c r="T153" s="316">
        <v>0</v>
      </c>
      <c r="U153" s="310" t="s">
        <v>3318</v>
      </c>
      <c r="V153" s="35"/>
    </row>
    <row r="154" spans="1:22" s="19" customFormat="1" ht="27.75">
      <c r="A154" s="278" t="s">
        <v>2305</v>
      </c>
      <c r="B154" s="279" t="s">
        <v>2387</v>
      </c>
      <c r="C154" s="34" t="s">
        <v>2574</v>
      </c>
      <c r="D154" s="34" t="s">
        <v>2574</v>
      </c>
      <c r="E154" s="34" t="s">
        <v>2290</v>
      </c>
      <c r="F154" s="283"/>
      <c r="G154" s="34"/>
      <c r="H154" s="297" t="s">
        <v>3279</v>
      </c>
      <c r="I154" s="34" t="s">
        <v>2509</v>
      </c>
      <c r="J154" s="55">
        <v>400</v>
      </c>
      <c r="K154" s="55">
        <v>350</v>
      </c>
      <c r="L154" s="34">
        <v>30</v>
      </c>
      <c r="M154" s="55">
        <v>15</v>
      </c>
      <c r="N154" s="34">
        <v>6</v>
      </c>
      <c r="O154" s="34">
        <v>1</v>
      </c>
      <c r="P154" s="61">
        <f t="shared" si="73"/>
        <v>72000</v>
      </c>
      <c r="Q154" s="61">
        <f>IFERROR(O154*M154*K154,0)</f>
        <v>5250</v>
      </c>
      <c r="R154" s="69">
        <f t="shared" si="49"/>
        <v>-66750</v>
      </c>
      <c r="S154" s="314">
        <v>0</v>
      </c>
      <c r="T154" s="70">
        <v>0</v>
      </c>
      <c r="U154" s="312" t="s">
        <v>3281</v>
      </c>
      <c r="V154" s="35"/>
    </row>
    <row r="155" spans="1:22" s="19" customFormat="1" ht="27.75">
      <c r="A155" s="278" t="s">
        <v>2305</v>
      </c>
      <c r="B155" s="279" t="s">
        <v>2387</v>
      </c>
      <c r="C155" s="34" t="s">
        <v>2574</v>
      </c>
      <c r="D155" s="34" t="s">
        <v>2574</v>
      </c>
      <c r="E155" s="34" t="s">
        <v>2290</v>
      </c>
      <c r="F155" s="283"/>
      <c r="G155" s="34"/>
      <c r="H155" s="297" t="s">
        <v>3280</v>
      </c>
      <c r="I155" s="34" t="s">
        <v>2509</v>
      </c>
      <c r="J155" s="55">
        <v>0</v>
      </c>
      <c r="K155" s="55">
        <v>400</v>
      </c>
      <c r="L155" s="34">
        <v>0</v>
      </c>
      <c r="M155" s="55">
        <f>58+6</f>
        <v>64</v>
      </c>
      <c r="N155" s="34">
        <v>0</v>
      </c>
      <c r="O155" s="34">
        <v>1</v>
      </c>
      <c r="P155" s="61">
        <f t="shared" si="73"/>
        <v>0</v>
      </c>
      <c r="Q155" s="61">
        <f t="shared" ref="Q155:Q159" si="105">IFERROR(O155*M155*K155,0)</f>
        <v>25600</v>
      </c>
      <c r="R155" s="69">
        <f t="shared" ref="R155:R157" si="106">Q155-P155</f>
        <v>25600</v>
      </c>
      <c r="S155" s="314">
        <v>0</v>
      </c>
      <c r="T155" s="70">
        <v>0</v>
      </c>
      <c r="U155" s="312" t="s">
        <v>3282</v>
      </c>
      <c r="V155" s="35"/>
    </row>
    <row r="156" spans="1:22" s="19" customFormat="1" ht="26.25" customHeight="1">
      <c r="A156" s="278" t="s">
        <v>2305</v>
      </c>
      <c r="B156" s="279" t="s">
        <v>2387</v>
      </c>
      <c r="C156" s="35" t="s">
        <v>2575</v>
      </c>
      <c r="D156" s="317" t="s">
        <v>3743</v>
      </c>
      <c r="E156" s="34" t="s">
        <v>2290</v>
      </c>
      <c r="F156" s="283"/>
      <c r="G156" s="34"/>
      <c r="H156" s="310" t="s">
        <v>3744</v>
      </c>
      <c r="I156" s="34" t="s">
        <v>2529</v>
      </c>
      <c r="J156" s="55">
        <v>0</v>
      </c>
      <c r="K156" s="55">
        <f>1.06*9805</f>
        <v>10393.300000000001</v>
      </c>
      <c r="L156" s="34">
        <v>0</v>
      </c>
      <c r="M156" s="55">
        <v>1</v>
      </c>
      <c r="N156" s="34">
        <v>0</v>
      </c>
      <c r="O156" s="34">
        <v>1</v>
      </c>
      <c r="P156" s="61">
        <f t="shared" ref="P156:P157" si="107">IFERROR(N156*L156*J156,0)</f>
        <v>0</v>
      </c>
      <c r="Q156" s="61">
        <f>IFERROR(O156*M156*K156,0)</f>
        <v>10393.300000000001</v>
      </c>
      <c r="R156" s="69">
        <f t="shared" si="106"/>
        <v>10393.300000000001</v>
      </c>
      <c r="S156" s="70">
        <v>0.06</v>
      </c>
      <c r="T156" s="70">
        <v>0</v>
      </c>
      <c r="U156" s="309" t="s">
        <v>3747</v>
      </c>
      <c r="V156" s="35"/>
    </row>
    <row r="157" spans="1:22" s="19" customFormat="1" ht="23" customHeight="1">
      <c r="A157" s="278" t="s">
        <v>2305</v>
      </c>
      <c r="B157" s="279" t="s">
        <v>2387</v>
      </c>
      <c r="C157" s="35" t="s">
        <v>2579</v>
      </c>
      <c r="D157" s="35" t="s">
        <v>2579</v>
      </c>
      <c r="E157" s="34" t="s">
        <v>2290</v>
      </c>
      <c r="F157" s="283"/>
      <c r="G157" s="34"/>
      <c r="H157" s="310" t="s">
        <v>3745</v>
      </c>
      <c r="I157" s="34" t="s">
        <v>49</v>
      </c>
      <c r="J157" s="55">
        <v>0</v>
      </c>
      <c r="K157" s="55">
        <f>1.06*3460</f>
        <v>3667.6000000000004</v>
      </c>
      <c r="L157" s="34">
        <v>0</v>
      </c>
      <c r="M157" s="55">
        <v>1</v>
      </c>
      <c r="N157" s="34">
        <v>0</v>
      </c>
      <c r="O157" s="34">
        <v>1</v>
      </c>
      <c r="P157" s="61">
        <f t="shared" si="107"/>
        <v>0</v>
      </c>
      <c r="Q157" s="61">
        <f t="shared" si="105"/>
        <v>3667.6000000000004</v>
      </c>
      <c r="R157" s="69">
        <f t="shared" si="106"/>
        <v>3667.6000000000004</v>
      </c>
      <c r="S157" s="70">
        <v>0.06</v>
      </c>
      <c r="T157" s="70">
        <v>0</v>
      </c>
      <c r="U157" s="309" t="s">
        <v>3746</v>
      </c>
      <c r="V157" s="35"/>
    </row>
    <row r="158" spans="1:22" s="19" customFormat="1" ht="27.75">
      <c r="A158" s="278" t="s">
        <v>2305</v>
      </c>
      <c r="B158" s="279" t="s">
        <v>2387</v>
      </c>
      <c r="C158" s="35" t="s">
        <v>2575</v>
      </c>
      <c r="D158" s="317" t="s">
        <v>2576</v>
      </c>
      <c r="E158" s="34" t="s">
        <v>2290</v>
      </c>
      <c r="F158" s="283"/>
      <c r="G158" s="34"/>
      <c r="H158" s="310" t="s">
        <v>2577</v>
      </c>
      <c r="I158" s="34" t="s">
        <v>2529</v>
      </c>
      <c r="J158" s="55" t="s">
        <v>2578</v>
      </c>
      <c r="K158" s="308">
        <f>1.06*3113.38</f>
        <v>3300.1828000000005</v>
      </c>
      <c r="L158" s="34">
        <v>17</v>
      </c>
      <c r="M158" s="55">
        <v>1</v>
      </c>
      <c r="N158" s="34">
        <v>6</v>
      </c>
      <c r="O158" s="34">
        <v>1</v>
      </c>
      <c r="P158" s="61">
        <f t="shared" si="73"/>
        <v>10812</v>
      </c>
      <c r="Q158" s="61">
        <f t="shared" si="105"/>
        <v>3300.1828000000005</v>
      </c>
      <c r="R158" s="69">
        <f t="shared" si="49"/>
        <v>-7511.8171999999995</v>
      </c>
      <c r="S158" s="70">
        <v>0.06</v>
      </c>
      <c r="T158" s="70">
        <v>0</v>
      </c>
      <c r="U158" s="309" t="s">
        <v>2530</v>
      </c>
      <c r="V158" s="35"/>
    </row>
    <row r="159" spans="1:22" s="19" customFormat="1" ht="23" customHeight="1">
      <c r="A159" s="278" t="s">
        <v>2305</v>
      </c>
      <c r="B159" s="279" t="s">
        <v>2387</v>
      </c>
      <c r="C159" s="35" t="s">
        <v>2579</v>
      </c>
      <c r="D159" s="35" t="s">
        <v>2579</v>
      </c>
      <c r="E159" s="34" t="s">
        <v>2290</v>
      </c>
      <c r="F159" s="283"/>
      <c r="G159" s="34"/>
      <c r="H159" s="310" t="s">
        <v>2579</v>
      </c>
      <c r="I159" s="34" t="s">
        <v>49</v>
      </c>
      <c r="J159" s="55">
        <f>1.06*100</f>
        <v>106</v>
      </c>
      <c r="K159" s="308">
        <f>1.06*4804.32</f>
        <v>5092.5792000000001</v>
      </c>
      <c r="L159" s="34">
        <v>17</v>
      </c>
      <c r="M159" s="55">
        <v>1</v>
      </c>
      <c r="N159" s="34">
        <v>6</v>
      </c>
      <c r="O159" s="34">
        <v>1</v>
      </c>
      <c r="P159" s="61">
        <f t="shared" si="73"/>
        <v>10812</v>
      </c>
      <c r="Q159" s="61">
        <f t="shared" si="105"/>
        <v>5092.5792000000001</v>
      </c>
      <c r="R159" s="69">
        <f t="shared" si="49"/>
        <v>-5719.4207999999999</v>
      </c>
      <c r="S159" s="70">
        <v>0.06</v>
      </c>
      <c r="T159" s="70">
        <v>0</v>
      </c>
      <c r="U159" s="309" t="s">
        <v>2530</v>
      </c>
      <c r="V159" s="35"/>
    </row>
    <row r="160" spans="1:22" s="19" customFormat="1" ht="23" customHeight="1">
      <c r="A160" s="36"/>
      <c r="B160" s="37"/>
      <c r="C160" s="37"/>
      <c r="D160" s="37"/>
      <c r="E160" s="37"/>
      <c r="F160" s="46"/>
      <c r="G160" s="46"/>
      <c r="H160" s="47"/>
      <c r="I160" s="46"/>
      <c r="J160" s="46"/>
      <c r="K160" s="57"/>
      <c r="L160" s="46"/>
      <c r="M160" s="46"/>
      <c r="N160" s="46"/>
      <c r="O160" s="46"/>
      <c r="P160" s="347" t="s">
        <v>2310</v>
      </c>
      <c r="Q160" s="348"/>
      <c r="R160" s="349"/>
      <c r="S160" s="71"/>
      <c r="T160" s="71"/>
      <c r="U160" s="77"/>
      <c r="V160" s="78"/>
    </row>
    <row r="161" spans="1:22" s="19" customFormat="1" ht="22.9" customHeight="1">
      <c r="A161" s="38"/>
      <c r="B161" s="39"/>
      <c r="C161" s="39"/>
      <c r="D161" s="39"/>
      <c r="E161" s="39"/>
      <c r="F161" s="48"/>
      <c r="G161" s="48"/>
      <c r="H161" s="49"/>
      <c r="I161" s="48"/>
      <c r="J161" s="48"/>
      <c r="K161" s="58"/>
      <c r="L161" s="48"/>
      <c r="M161" s="48"/>
      <c r="N161" s="48"/>
      <c r="O161" s="48"/>
      <c r="P161" s="62">
        <f>SUM(P79:P159)</f>
        <v>4792985.4600000009</v>
      </c>
      <c r="Q161" s="62">
        <f>SUM(Q79:Q159)</f>
        <v>2851848.0170000005</v>
      </c>
      <c r="R161" s="62">
        <f>Q161-P161</f>
        <v>-1941137.4430000004</v>
      </c>
      <c r="S161" s="72"/>
      <c r="T161" s="73"/>
      <c r="U161" s="49"/>
      <c r="V161" s="79"/>
    </row>
    <row r="162" spans="1:22" s="19" customFormat="1" ht="41.65">
      <c r="A162" s="278" t="s">
        <v>2364</v>
      </c>
      <c r="B162" s="279" t="s">
        <v>2387</v>
      </c>
      <c r="C162" s="278" t="s">
        <v>2582</v>
      </c>
      <c r="D162" s="278" t="s">
        <v>2583</v>
      </c>
      <c r="E162" s="278" t="s">
        <v>2290</v>
      </c>
      <c r="F162" s="278"/>
      <c r="G162" s="278"/>
      <c r="H162" s="300" t="s">
        <v>2584</v>
      </c>
      <c r="I162" s="278" t="s">
        <v>49</v>
      </c>
      <c r="J162" s="278">
        <v>12.72</v>
      </c>
      <c r="K162" s="318">
        <f>1.06*11131.97</f>
        <v>11799.888199999999</v>
      </c>
      <c r="L162" s="278">
        <v>100</v>
      </c>
      <c r="M162" s="278">
        <v>1</v>
      </c>
      <c r="N162" s="278">
        <v>1</v>
      </c>
      <c r="O162" s="278">
        <v>1</v>
      </c>
      <c r="P162" s="61">
        <f>J162*L162*N162</f>
        <v>1272</v>
      </c>
      <c r="Q162" s="61">
        <f>IFERROR(O162*M162*K162,0)</f>
        <v>11799.888199999999</v>
      </c>
      <c r="R162" s="69">
        <f>Q162-P162</f>
        <v>10527.888199999999</v>
      </c>
      <c r="S162" s="70">
        <v>0.06</v>
      </c>
      <c r="T162" s="70">
        <v>0</v>
      </c>
      <c r="U162" s="312" t="s">
        <v>3316</v>
      </c>
      <c r="V162" s="278"/>
    </row>
    <row r="163" spans="1:22" s="19" customFormat="1" ht="26.75" customHeight="1">
      <c r="A163" s="278" t="s">
        <v>2364</v>
      </c>
      <c r="B163" s="279" t="s">
        <v>2387</v>
      </c>
      <c r="C163" s="278" t="s">
        <v>2582</v>
      </c>
      <c r="D163" s="278" t="s">
        <v>2585</v>
      </c>
      <c r="E163" s="278" t="s">
        <v>2290</v>
      </c>
      <c r="F163" s="278"/>
      <c r="G163" s="278"/>
      <c r="H163" s="300" t="s">
        <v>2586</v>
      </c>
      <c r="I163" s="278" t="s">
        <v>49</v>
      </c>
      <c r="J163" s="278">
        <v>4.24</v>
      </c>
      <c r="K163" s="318">
        <v>0</v>
      </c>
      <c r="L163" s="278">
        <v>100</v>
      </c>
      <c r="M163" s="278">
        <v>0</v>
      </c>
      <c r="N163" s="278">
        <v>1</v>
      </c>
      <c r="O163" s="278">
        <v>0</v>
      </c>
      <c r="P163" s="61">
        <f>J163*L163*N163</f>
        <v>424</v>
      </c>
      <c r="Q163" s="61">
        <f t="shared" ref="Q163:Q172" si="108">IFERROR(O163*M163*K163,0)</f>
        <v>0</v>
      </c>
      <c r="R163" s="69">
        <f>Q163-P163</f>
        <v>-424</v>
      </c>
      <c r="S163" s="70">
        <v>0.06</v>
      </c>
      <c r="T163" s="70">
        <v>0</v>
      </c>
      <c r="U163" s="312" t="s">
        <v>3316</v>
      </c>
      <c r="V163" s="278"/>
    </row>
    <row r="164" spans="1:22" s="19" customFormat="1" ht="26.75" customHeight="1">
      <c r="A164" s="278" t="s">
        <v>2364</v>
      </c>
      <c r="B164" s="279" t="s">
        <v>2387</v>
      </c>
      <c r="C164" s="278" t="s">
        <v>2582</v>
      </c>
      <c r="D164" s="278" t="s">
        <v>2587</v>
      </c>
      <c r="E164" s="278" t="s">
        <v>2290</v>
      </c>
      <c r="F164" s="278"/>
      <c r="G164" s="278"/>
      <c r="H164" s="300" t="s">
        <v>2588</v>
      </c>
      <c r="I164" s="278" t="s">
        <v>49</v>
      </c>
      <c r="J164" s="278">
        <v>53</v>
      </c>
      <c r="K164" s="318">
        <v>0</v>
      </c>
      <c r="L164" s="278">
        <v>100</v>
      </c>
      <c r="M164" s="278">
        <v>0</v>
      </c>
      <c r="N164" s="278">
        <v>1</v>
      </c>
      <c r="O164" s="278">
        <v>0</v>
      </c>
      <c r="P164" s="61">
        <f t="shared" ref="P164:P174" si="109">J164*L164*N164</f>
        <v>5300</v>
      </c>
      <c r="Q164" s="61">
        <f t="shared" si="108"/>
        <v>0</v>
      </c>
      <c r="R164" s="69">
        <f t="shared" ref="R164:R174" si="110">Q164-P164</f>
        <v>-5300</v>
      </c>
      <c r="S164" s="70">
        <v>0.06</v>
      </c>
      <c r="T164" s="70">
        <v>0</v>
      </c>
      <c r="U164" s="312" t="s">
        <v>3316</v>
      </c>
      <c r="V164" s="278"/>
    </row>
    <row r="165" spans="1:22" s="19" customFormat="1" ht="26.75" customHeight="1">
      <c r="A165" s="278" t="s">
        <v>2364</v>
      </c>
      <c r="B165" s="279" t="s">
        <v>2387</v>
      </c>
      <c r="C165" s="278" t="s">
        <v>2602</v>
      </c>
      <c r="D165" s="278" t="s">
        <v>2603</v>
      </c>
      <c r="E165" s="278" t="s">
        <v>2290</v>
      </c>
      <c r="F165" s="278"/>
      <c r="G165" s="278"/>
      <c r="H165" s="300" t="s">
        <v>2604</v>
      </c>
      <c r="I165" s="278" t="s">
        <v>90</v>
      </c>
      <c r="J165" s="278">
        <f>1.06*120</f>
        <v>127.2</v>
      </c>
      <c r="K165" s="318">
        <v>0</v>
      </c>
      <c r="L165" s="278">
        <v>100</v>
      </c>
      <c r="M165" s="278">
        <v>0</v>
      </c>
      <c r="N165" s="278">
        <v>1</v>
      </c>
      <c r="O165" s="278">
        <v>0</v>
      </c>
      <c r="P165" s="61">
        <f>J165*L165*N165</f>
        <v>12720</v>
      </c>
      <c r="Q165" s="61">
        <f t="shared" si="108"/>
        <v>0</v>
      </c>
      <c r="R165" s="69">
        <f>Q165-P165</f>
        <v>-12720</v>
      </c>
      <c r="S165" s="70">
        <v>0.06</v>
      </c>
      <c r="T165" s="70">
        <v>0</v>
      </c>
      <c r="U165" s="312" t="s">
        <v>3316</v>
      </c>
      <c r="V165" s="278"/>
    </row>
    <row r="166" spans="1:22" s="19" customFormat="1" ht="26.75" customHeight="1">
      <c r="A166" s="278" t="s">
        <v>2364</v>
      </c>
      <c r="B166" s="279" t="s">
        <v>2387</v>
      </c>
      <c r="C166" s="278" t="s">
        <v>2605</v>
      </c>
      <c r="D166" s="278" t="s">
        <v>2606</v>
      </c>
      <c r="E166" s="278" t="s">
        <v>2290</v>
      </c>
      <c r="F166" s="278"/>
      <c r="G166" s="278"/>
      <c r="H166" s="300" t="s">
        <v>2607</v>
      </c>
      <c r="I166" s="278" t="s">
        <v>49</v>
      </c>
      <c r="J166" s="278">
        <f>1.06*15</f>
        <v>15.9</v>
      </c>
      <c r="K166" s="318">
        <v>0</v>
      </c>
      <c r="L166" s="278">
        <v>50</v>
      </c>
      <c r="M166" s="278">
        <v>0</v>
      </c>
      <c r="N166" s="278">
        <v>1</v>
      </c>
      <c r="O166" s="278">
        <v>0</v>
      </c>
      <c r="P166" s="61">
        <f>J166*L166*N166</f>
        <v>795</v>
      </c>
      <c r="Q166" s="61">
        <f t="shared" si="108"/>
        <v>0</v>
      </c>
      <c r="R166" s="69">
        <f>Q166-P166</f>
        <v>-795</v>
      </c>
      <c r="S166" s="70">
        <v>0.06</v>
      </c>
      <c r="T166" s="70">
        <v>0</v>
      </c>
      <c r="U166" s="312" t="s">
        <v>3316</v>
      </c>
      <c r="V166" s="278"/>
    </row>
    <row r="167" spans="1:22" s="319" customFormat="1" ht="26.75" customHeight="1">
      <c r="A167" s="278" t="s">
        <v>2280</v>
      </c>
      <c r="B167" s="34" t="s">
        <v>2387</v>
      </c>
      <c r="C167" s="278" t="s">
        <v>2598</v>
      </c>
      <c r="D167" s="278" t="s">
        <v>2599</v>
      </c>
      <c r="E167" s="34" t="s">
        <v>2290</v>
      </c>
      <c r="F167" s="278"/>
      <c r="G167" s="300"/>
      <c r="H167" s="300" t="s">
        <v>2600</v>
      </c>
      <c r="I167" s="278" t="s">
        <v>90</v>
      </c>
      <c r="J167" s="278">
        <f>1.06*160</f>
        <v>169.60000000000002</v>
      </c>
      <c r="K167" s="318">
        <v>0</v>
      </c>
      <c r="L167" s="278">
        <v>100</v>
      </c>
      <c r="M167" s="34">
        <v>0</v>
      </c>
      <c r="N167" s="278">
        <v>1</v>
      </c>
      <c r="O167" s="34">
        <v>0</v>
      </c>
      <c r="P167" s="61">
        <f>IFERROR(N167*L167*J167,0)</f>
        <v>16960.000000000004</v>
      </c>
      <c r="Q167" s="61">
        <f t="shared" si="108"/>
        <v>0</v>
      </c>
      <c r="R167" s="69">
        <f t="shared" ref="R167" si="111">Q167-P167</f>
        <v>-16960.000000000004</v>
      </c>
      <c r="S167" s="70">
        <v>0.06</v>
      </c>
      <c r="T167" s="70">
        <v>0</v>
      </c>
      <c r="U167" s="312" t="s">
        <v>3316</v>
      </c>
      <c r="V167" s="35"/>
    </row>
    <row r="168" spans="1:22" s="319" customFormat="1" ht="26.75" customHeight="1">
      <c r="A168" s="278" t="s">
        <v>2280</v>
      </c>
      <c r="B168" s="34" t="s">
        <v>2387</v>
      </c>
      <c r="C168" s="278" t="s">
        <v>2598</v>
      </c>
      <c r="D168" s="278" t="s">
        <v>2599</v>
      </c>
      <c r="E168" s="34" t="s">
        <v>2290</v>
      </c>
      <c r="F168" s="278"/>
      <c r="G168" s="300"/>
      <c r="H168" s="300" t="s">
        <v>2601</v>
      </c>
      <c r="I168" s="278" t="s">
        <v>90</v>
      </c>
      <c r="J168" s="278">
        <f>1.06*55</f>
        <v>58.300000000000004</v>
      </c>
      <c r="K168" s="318">
        <v>0</v>
      </c>
      <c r="L168" s="278">
        <v>24</v>
      </c>
      <c r="M168" s="34">
        <v>0</v>
      </c>
      <c r="N168" s="278">
        <v>1</v>
      </c>
      <c r="O168" s="34">
        <v>0</v>
      </c>
      <c r="P168" s="61">
        <f>IFERROR(N168*L168*J168,0)</f>
        <v>1399.2</v>
      </c>
      <c r="Q168" s="61">
        <f t="shared" si="108"/>
        <v>0</v>
      </c>
      <c r="R168" s="69">
        <f>Q168-P168</f>
        <v>-1399.2</v>
      </c>
      <c r="S168" s="70">
        <v>0.06</v>
      </c>
      <c r="T168" s="70">
        <v>0</v>
      </c>
      <c r="U168" s="312" t="s">
        <v>3316</v>
      </c>
      <c r="V168" s="35"/>
    </row>
    <row r="169" spans="1:22" s="19" customFormat="1" ht="26.75" customHeight="1">
      <c r="A169" s="278" t="s">
        <v>2364</v>
      </c>
      <c r="B169" s="279" t="s">
        <v>2387</v>
      </c>
      <c r="C169" s="278" t="s">
        <v>2605</v>
      </c>
      <c r="D169" s="278" t="s">
        <v>2608</v>
      </c>
      <c r="E169" s="278" t="s">
        <v>2290</v>
      </c>
      <c r="F169" s="278"/>
      <c r="G169" s="278"/>
      <c r="H169" s="300" t="s">
        <v>2609</v>
      </c>
      <c r="I169" s="278" t="s">
        <v>49</v>
      </c>
      <c r="J169" s="278">
        <f>1.06*1500</f>
        <v>1590</v>
      </c>
      <c r="K169" s="318">
        <v>0</v>
      </c>
      <c r="L169" s="278">
        <v>1</v>
      </c>
      <c r="M169" s="278">
        <v>0</v>
      </c>
      <c r="N169" s="278">
        <v>1</v>
      </c>
      <c r="O169" s="278">
        <v>0</v>
      </c>
      <c r="P169" s="61">
        <f>J169*L169*N169</f>
        <v>1590</v>
      </c>
      <c r="Q169" s="61">
        <f t="shared" si="108"/>
        <v>0</v>
      </c>
      <c r="R169" s="69">
        <f>Q169-P169</f>
        <v>-1590</v>
      </c>
      <c r="S169" s="70">
        <v>0.06</v>
      </c>
      <c r="T169" s="70">
        <v>0</v>
      </c>
      <c r="U169" s="312" t="s">
        <v>3316</v>
      </c>
      <c r="V169" s="278"/>
    </row>
    <row r="170" spans="1:22" s="19" customFormat="1" ht="41.65">
      <c r="A170" s="278" t="s">
        <v>2364</v>
      </c>
      <c r="B170" s="279" t="s">
        <v>2387</v>
      </c>
      <c r="C170" s="278" t="s">
        <v>2595</v>
      </c>
      <c r="D170" s="278" t="s">
        <v>2596</v>
      </c>
      <c r="E170" s="278" t="s">
        <v>2290</v>
      </c>
      <c r="F170" s="278"/>
      <c r="G170" s="278"/>
      <c r="H170" s="300" t="s">
        <v>2597</v>
      </c>
      <c r="I170" s="278" t="s">
        <v>49</v>
      </c>
      <c r="J170" s="278">
        <f>1.06*25000</f>
        <v>26500</v>
      </c>
      <c r="K170" s="318">
        <f>1.06*33135.55</f>
        <v>35123.683000000005</v>
      </c>
      <c r="L170" s="278">
        <v>1</v>
      </c>
      <c r="M170" s="278">
        <v>1</v>
      </c>
      <c r="N170" s="278">
        <v>1</v>
      </c>
      <c r="O170" s="278">
        <v>1</v>
      </c>
      <c r="P170" s="61">
        <f>J170*L170*N170</f>
        <v>26500</v>
      </c>
      <c r="Q170" s="61">
        <f t="shared" si="108"/>
        <v>35123.683000000005</v>
      </c>
      <c r="R170" s="69">
        <f>Q170-P170</f>
        <v>8623.6830000000045</v>
      </c>
      <c r="S170" s="70">
        <v>0.06</v>
      </c>
      <c r="T170" s="70">
        <v>0</v>
      </c>
      <c r="U170" s="312" t="s">
        <v>3319</v>
      </c>
      <c r="V170" s="278"/>
    </row>
    <row r="171" spans="1:22" s="19" customFormat="1" ht="25.15" customHeight="1">
      <c r="A171" s="278" t="s">
        <v>2364</v>
      </c>
      <c r="B171" s="279" t="s">
        <v>2387</v>
      </c>
      <c r="C171" s="278" t="s">
        <v>2590</v>
      </c>
      <c r="D171" s="278" t="s">
        <v>2591</v>
      </c>
      <c r="E171" s="278" t="s">
        <v>2290</v>
      </c>
      <c r="F171" s="278"/>
      <c r="G171" s="278"/>
      <c r="H171" s="300" t="s">
        <v>2592</v>
      </c>
      <c r="I171" s="278" t="s">
        <v>237</v>
      </c>
      <c r="J171" s="278">
        <f>1.06*100</f>
        <v>106</v>
      </c>
      <c r="K171" s="318">
        <v>0</v>
      </c>
      <c r="L171" s="278">
        <v>20</v>
      </c>
      <c r="M171" s="278">
        <v>0</v>
      </c>
      <c r="N171" s="278">
        <v>1</v>
      </c>
      <c r="O171" s="278">
        <v>0</v>
      </c>
      <c r="P171" s="61">
        <f t="shared" si="109"/>
        <v>2120</v>
      </c>
      <c r="Q171" s="61">
        <f t="shared" si="108"/>
        <v>0</v>
      </c>
      <c r="R171" s="69">
        <f t="shared" si="110"/>
        <v>-2120</v>
      </c>
      <c r="S171" s="70">
        <v>0.06</v>
      </c>
      <c r="T171" s="70">
        <v>0</v>
      </c>
      <c r="U171" s="312" t="s">
        <v>3319</v>
      </c>
      <c r="V171" s="278"/>
    </row>
    <row r="172" spans="1:22" s="19" customFormat="1" ht="25.25" customHeight="1">
      <c r="A172" s="278" t="s">
        <v>2364</v>
      </c>
      <c r="B172" s="279" t="s">
        <v>2387</v>
      </c>
      <c r="C172" s="278" t="s">
        <v>2593</v>
      </c>
      <c r="D172" s="278" t="s">
        <v>2593</v>
      </c>
      <c r="E172" s="278" t="s">
        <v>2290</v>
      </c>
      <c r="F172" s="278"/>
      <c r="G172" s="278"/>
      <c r="H172" s="300" t="s">
        <v>2594</v>
      </c>
      <c r="I172" s="278" t="s">
        <v>237</v>
      </c>
      <c r="J172" s="278">
        <f>1.06*100</f>
        <v>106</v>
      </c>
      <c r="K172" s="318">
        <v>0</v>
      </c>
      <c r="L172" s="278">
        <v>80</v>
      </c>
      <c r="M172" s="278">
        <v>0</v>
      </c>
      <c r="N172" s="278">
        <v>1</v>
      </c>
      <c r="O172" s="278">
        <v>0</v>
      </c>
      <c r="P172" s="61">
        <f t="shared" si="109"/>
        <v>8480</v>
      </c>
      <c r="Q172" s="61">
        <f t="shared" si="108"/>
        <v>0</v>
      </c>
      <c r="R172" s="69">
        <f t="shared" si="110"/>
        <v>-8480</v>
      </c>
      <c r="S172" s="70">
        <v>0.06</v>
      </c>
      <c r="T172" s="70">
        <v>0</v>
      </c>
      <c r="U172" s="312" t="s">
        <v>3319</v>
      </c>
      <c r="V172" s="278"/>
    </row>
    <row r="173" spans="1:22" s="19" customFormat="1" ht="25.05" customHeight="1">
      <c r="A173" s="278" t="s">
        <v>2364</v>
      </c>
      <c r="B173" s="279" t="s">
        <v>2387</v>
      </c>
      <c r="C173" s="278" t="s">
        <v>2582</v>
      </c>
      <c r="D173" s="278" t="s">
        <v>2589</v>
      </c>
      <c r="E173" s="278" t="s">
        <v>2290</v>
      </c>
      <c r="F173" s="278"/>
      <c r="G173" s="278"/>
      <c r="H173" s="300" t="s">
        <v>2589</v>
      </c>
      <c r="I173" s="278" t="s">
        <v>49</v>
      </c>
      <c r="J173" s="278">
        <f>1.06*3</f>
        <v>3.18</v>
      </c>
      <c r="K173" s="318">
        <f>1.06*802.5</f>
        <v>850.65000000000009</v>
      </c>
      <c r="L173" s="278">
        <v>200</v>
      </c>
      <c r="M173" s="278">
        <v>1</v>
      </c>
      <c r="N173" s="278">
        <v>2</v>
      </c>
      <c r="O173" s="278">
        <v>1</v>
      </c>
      <c r="P173" s="61">
        <f>J173*L173*N173</f>
        <v>1272</v>
      </c>
      <c r="Q173" s="61">
        <f>IFERROR(O173*M173*K173,0)</f>
        <v>850.65000000000009</v>
      </c>
      <c r="R173" s="69">
        <f>Q173-P173</f>
        <v>-421.34999999999991</v>
      </c>
      <c r="S173" s="70">
        <v>0.06</v>
      </c>
      <c r="T173" s="70">
        <v>0</v>
      </c>
      <c r="U173" s="309" t="s">
        <v>3315</v>
      </c>
      <c r="V173" s="278"/>
    </row>
    <row r="174" spans="1:22" s="19" customFormat="1" ht="41.65">
      <c r="A174" s="278" t="s">
        <v>2364</v>
      </c>
      <c r="B174" s="279" t="s">
        <v>2387</v>
      </c>
      <c r="C174" s="278" t="s">
        <v>2485</v>
      </c>
      <c r="D174" s="278" t="s">
        <v>2485</v>
      </c>
      <c r="E174" s="278" t="s">
        <v>2290</v>
      </c>
      <c r="F174" s="278"/>
      <c r="G174" s="278"/>
      <c r="H174" s="300" t="s">
        <v>3168</v>
      </c>
      <c r="I174" s="278" t="s">
        <v>49</v>
      </c>
      <c r="J174" s="320">
        <f>1.06*178*1.1</f>
        <v>207.54800000000003</v>
      </c>
      <c r="K174" s="320">
        <f>1.06*178*1.1</f>
        <v>207.54800000000003</v>
      </c>
      <c r="L174" s="278">
        <v>880</v>
      </c>
      <c r="M174" s="278">
        <v>880</v>
      </c>
      <c r="N174" s="278">
        <v>1</v>
      </c>
      <c r="O174" s="278">
        <v>1</v>
      </c>
      <c r="P174" s="61">
        <f t="shared" si="109"/>
        <v>182642.24000000002</v>
      </c>
      <c r="Q174" s="61">
        <f t="shared" ref="Q174:Q178" si="112">IFERROR(O174*M174*K174,0)</f>
        <v>182642.24000000002</v>
      </c>
      <c r="R174" s="69">
        <f t="shared" si="110"/>
        <v>0</v>
      </c>
      <c r="S174" s="70">
        <v>0.06</v>
      </c>
      <c r="T174" s="70">
        <v>0</v>
      </c>
      <c r="U174" s="312" t="s">
        <v>3167</v>
      </c>
      <c r="V174" s="278"/>
    </row>
    <row r="175" spans="1:22" s="19" customFormat="1" ht="41.65">
      <c r="A175" s="278" t="s">
        <v>2364</v>
      </c>
      <c r="B175" s="279" t="s">
        <v>2387</v>
      </c>
      <c r="C175" s="278" t="s">
        <v>2485</v>
      </c>
      <c r="D175" s="278" t="s">
        <v>2485</v>
      </c>
      <c r="E175" s="278" t="s">
        <v>2290</v>
      </c>
      <c r="F175" s="278"/>
      <c r="G175" s="278"/>
      <c r="H175" s="300" t="s">
        <v>3166</v>
      </c>
      <c r="I175" s="278" t="s">
        <v>49</v>
      </c>
      <c r="J175" s="320">
        <f>1.06*180*1.1</f>
        <v>209.88000000000002</v>
      </c>
      <c r="K175" s="320">
        <f>1.06*180*1.1</f>
        <v>209.88000000000002</v>
      </c>
      <c r="L175" s="278">
        <v>880</v>
      </c>
      <c r="M175" s="278">
        <v>880</v>
      </c>
      <c r="N175" s="278">
        <v>1</v>
      </c>
      <c r="O175" s="278">
        <v>1</v>
      </c>
      <c r="P175" s="61">
        <f t="shared" ref="P175:P176" si="113">J175*L175*N175</f>
        <v>184694.40000000002</v>
      </c>
      <c r="Q175" s="61">
        <f t="shared" si="112"/>
        <v>184694.40000000002</v>
      </c>
      <c r="R175" s="69">
        <f t="shared" ref="R175:R176" si="114">Q175-P175</f>
        <v>0</v>
      </c>
      <c r="S175" s="70">
        <v>0.06</v>
      </c>
      <c r="T175" s="70">
        <v>0</v>
      </c>
      <c r="U175" s="312" t="s">
        <v>3169</v>
      </c>
      <c r="V175" s="278"/>
    </row>
    <row r="176" spans="1:22" s="19" customFormat="1" ht="61.15" customHeight="1">
      <c r="A176" s="278" t="s">
        <v>2364</v>
      </c>
      <c r="B176" s="279" t="s">
        <v>2387</v>
      </c>
      <c r="C176" s="278" t="s">
        <v>2485</v>
      </c>
      <c r="D176" s="278" t="s">
        <v>2485</v>
      </c>
      <c r="E176" s="278" t="s">
        <v>2290</v>
      </c>
      <c r="F176" s="278"/>
      <c r="G176" s="278"/>
      <c r="H176" s="321" t="s">
        <v>3170</v>
      </c>
      <c r="I176" s="278" t="s">
        <v>49</v>
      </c>
      <c r="J176" s="278">
        <f>1.06*35</f>
        <v>37.1</v>
      </c>
      <c r="K176" s="278">
        <f>1.06*35</f>
        <v>37.1</v>
      </c>
      <c r="L176" s="278">
        <v>880</v>
      </c>
      <c r="M176" s="278">
        <v>890</v>
      </c>
      <c r="N176" s="278">
        <v>1</v>
      </c>
      <c r="O176" s="278">
        <v>1</v>
      </c>
      <c r="P176" s="61">
        <f t="shared" si="113"/>
        <v>32648</v>
      </c>
      <c r="Q176" s="61">
        <f t="shared" si="112"/>
        <v>33019</v>
      </c>
      <c r="R176" s="69">
        <f t="shared" si="114"/>
        <v>371</v>
      </c>
      <c r="S176" s="70">
        <v>0.06</v>
      </c>
      <c r="T176" s="70">
        <v>0</v>
      </c>
      <c r="U176" s="312" t="s">
        <v>3165</v>
      </c>
      <c r="V176" s="278"/>
    </row>
    <row r="177" spans="1:22" s="19" customFormat="1" ht="18.399999999999999" customHeight="1">
      <c r="A177" s="278" t="s">
        <v>2364</v>
      </c>
      <c r="B177" s="279" t="s">
        <v>2387</v>
      </c>
      <c r="C177" s="278" t="s">
        <v>2485</v>
      </c>
      <c r="D177" s="278" t="s">
        <v>2485</v>
      </c>
      <c r="E177" s="278" t="s">
        <v>2290</v>
      </c>
      <c r="F177" s="278"/>
      <c r="G177" s="278"/>
      <c r="H177" s="321" t="s">
        <v>3210</v>
      </c>
      <c r="I177" s="278" t="s">
        <v>49</v>
      </c>
      <c r="J177" s="278">
        <v>0</v>
      </c>
      <c r="K177" s="278">
        <f>1.06*300</f>
        <v>318</v>
      </c>
      <c r="L177" s="278">
        <v>0</v>
      </c>
      <c r="M177" s="278">
        <v>1</v>
      </c>
      <c r="N177" s="278">
        <v>0</v>
      </c>
      <c r="O177" s="278">
        <v>1</v>
      </c>
      <c r="P177" s="61">
        <f t="shared" ref="P177" si="115">J177*L177*N177</f>
        <v>0</v>
      </c>
      <c r="Q177" s="61">
        <f>IFERROR(O177*M177*K177,0)</f>
        <v>318</v>
      </c>
      <c r="R177" s="69">
        <f t="shared" ref="R177" si="116">Q177-P177</f>
        <v>318</v>
      </c>
      <c r="S177" s="70">
        <v>0.06</v>
      </c>
      <c r="T177" s="70">
        <v>0</v>
      </c>
      <c r="U177" s="312" t="s">
        <v>3211</v>
      </c>
      <c r="V177" s="278"/>
    </row>
    <row r="178" spans="1:22" s="18" customFormat="1" ht="25.05" customHeight="1">
      <c r="A178" s="278" t="s">
        <v>2364</v>
      </c>
      <c r="B178" s="279" t="s">
        <v>2387</v>
      </c>
      <c r="C178" s="34" t="s">
        <v>2611</v>
      </c>
      <c r="D178" s="34" t="s">
        <v>2611</v>
      </c>
      <c r="E178" s="45" t="s">
        <v>2290</v>
      </c>
      <c r="F178" s="283"/>
      <c r="G178" s="34" t="str">
        <f>_xlfn.IFNA(IF(VLOOKUP($F178,'3.框架内物料'!$A:$E,2,0)=0,"请勿填写",VLOOKUP($F178,'3.框架内物料'!$A:$E,2,0)),"")</f>
        <v/>
      </c>
      <c r="H178" s="281" t="s">
        <v>2612</v>
      </c>
      <c r="I178" s="34" t="s">
        <v>49</v>
      </c>
      <c r="J178" s="55">
        <f>1.06*3000</f>
        <v>3180</v>
      </c>
      <c r="K178" s="313">
        <f>1.06*6468</f>
        <v>6856.08</v>
      </c>
      <c r="L178" s="34">
        <v>1</v>
      </c>
      <c r="M178" s="34">
        <v>1</v>
      </c>
      <c r="N178" s="34">
        <v>1</v>
      </c>
      <c r="O178" s="34">
        <v>1</v>
      </c>
      <c r="P178" s="61">
        <f>IFERROR(N178*L178*J178,0)</f>
        <v>3180</v>
      </c>
      <c r="Q178" s="61">
        <f t="shared" si="112"/>
        <v>6856.08</v>
      </c>
      <c r="R178" s="69">
        <f t="shared" ref="R178" si="117">Q178-P178</f>
        <v>3676.08</v>
      </c>
      <c r="S178" s="70">
        <v>0.06</v>
      </c>
      <c r="T178" s="70">
        <v>0</v>
      </c>
      <c r="U178" s="309" t="s">
        <v>3322</v>
      </c>
      <c r="V178" s="35"/>
    </row>
    <row r="179" spans="1:22" s="19" customFormat="1" ht="23" customHeight="1">
      <c r="A179" s="36"/>
      <c r="B179" s="37"/>
      <c r="C179" s="37"/>
      <c r="D179" s="37"/>
      <c r="E179" s="37"/>
      <c r="F179" s="46"/>
      <c r="G179" s="46"/>
      <c r="H179" s="47"/>
      <c r="I179" s="46"/>
      <c r="J179" s="46"/>
      <c r="K179" s="57"/>
      <c r="L179" s="46"/>
      <c r="M179" s="46"/>
      <c r="N179" s="46"/>
      <c r="O179" s="46"/>
      <c r="P179" s="347" t="s">
        <v>2311</v>
      </c>
      <c r="Q179" s="348"/>
      <c r="R179" s="349"/>
      <c r="S179" s="71"/>
      <c r="T179" s="71"/>
      <c r="U179" s="77"/>
      <c r="V179" s="78"/>
    </row>
    <row r="180" spans="1:22" s="19" customFormat="1" ht="22.9" customHeight="1">
      <c r="A180" s="38"/>
      <c r="B180" s="39"/>
      <c r="C180" s="39"/>
      <c r="D180" s="39"/>
      <c r="E180" s="39"/>
      <c r="F180" s="48"/>
      <c r="G180" s="48"/>
      <c r="H180" s="49"/>
      <c r="I180" s="48"/>
      <c r="J180" s="48"/>
      <c r="K180" s="58"/>
      <c r="L180" s="48"/>
      <c r="M180" s="48"/>
      <c r="N180" s="48"/>
      <c r="O180" s="48"/>
      <c r="P180" s="62">
        <f>SUM(P162:P178)</f>
        <v>481996.84</v>
      </c>
      <c r="Q180" s="62">
        <f>SUM(Q162:Q178)</f>
        <v>455303.94120000006</v>
      </c>
      <c r="R180" s="62">
        <f>Q180-P180</f>
        <v>-26692.898799999966</v>
      </c>
      <c r="S180" s="72"/>
      <c r="T180" s="73"/>
      <c r="U180" s="49"/>
      <c r="V180" s="79"/>
    </row>
    <row r="181" spans="1:22" s="18" customFormat="1" ht="24.75" customHeight="1">
      <c r="A181" s="34" t="s">
        <v>2613</v>
      </c>
      <c r="B181" s="34" t="s">
        <v>2387</v>
      </c>
      <c r="C181" s="34" t="s">
        <v>2613</v>
      </c>
      <c r="D181" s="34" t="s">
        <v>2613</v>
      </c>
      <c r="E181" s="45" t="s">
        <v>2290</v>
      </c>
      <c r="F181" s="283"/>
      <c r="G181" s="34" t="str">
        <f>_xlfn.IFNA(IF(VLOOKUP($F181,'3.框架内物料'!$A:$E,2,0)=0,"请勿填写",VLOOKUP($F181,'3.框架内物料'!$A:$E,2,0)),"")</f>
        <v/>
      </c>
      <c r="H181" s="297" t="s">
        <v>2614</v>
      </c>
      <c r="I181" s="34" t="s">
        <v>49</v>
      </c>
      <c r="J181" s="55">
        <v>500000</v>
      </c>
      <c r="K181" s="55">
        <v>500000</v>
      </c>
      <c r="L181" s="34">
        <v>1</v>
      </c>
      <c r="M181" s="34">
        <v>1</v>
      </c>
      <c r="N181" s="34">
        <v>1</v>
      </c>
      <c r="O181" s="34">
        <v>1</v>
      </c>
      <c r="P181" s="61">
        <f>IFERROR(N181*L181*J181,0)</f>
        <v>500000</v>
      </c>
      <c r="Q181" s="61">
        <f>IFERROR(O181*M181*K181,0)</f>
        <v>500000</v>
      </c>
      <c r="R181" s="69">
        <f>Q181-P181</f>
        <v>0</v>
      </c>
      <c r="S181" s="314">
        <v>0</v>
      </c>
      <c r="T181" s="70">
        <v>0</v>
      </c>
      <c r="U181" s="309" t="s">
        <v>3230</v>
      </c>
      <c r="V181" s="35"/>
    </row>
    <row r="182" spans="1:22" s="19" customFormat="1" ht="23" customHeight="1">
      <c r="A182" s="36"/>
      <c r="B182" s="37"/>
      <c r="C182" s="37"/>
      <c r="D182" s="37"/>
      <c r="E182" s="37"/>
      <c r="F182" s="46"/>
      <c r="G182" s="46"/>
      <c r="H182" s="47"/>
      <c r="I182" s="46"/>
      <c r="J182" s="46"/>
      <c r="K182" s="57"/>
      <c r="L182" s="46"/>
      <c r="M182" s="46"/>
      <c r="N182" s="46"/>
      <c r="O182" s="46"/>
      <c r="P182" s="347" t="s">
        <v>2313</v>
      </c>
      <c r="Q182" s="348"/>
      <c r="R182" s="349"/>
      <c r="S182" s="71"/>
      <c r="T182" s="71"/>
      <c r="U182" s="77"/>
      <c r="V182" s="78"/>
    </row>
    <row r="183" spans="1:22" s="19" customFormat="1" ht="23" customHeight="1">
      <c r="A183" s="38"/>
      <c r="B183" s="39"/>
      <c r="C183" s="39"/>
      <c r="D183" s="39"/>
      <c r="E183" s="39"/>
      <c r="F183" s="48"/>
      <c r="G183" s="48"/>
      <c r="H183" s="49"/>
      <c r="I183" s="48"/>
      <c r="J183" s="48"/>
      <c r="K183" s="58"/>
      <c r="L183" s="48"/>
      <c r="M183" s="48"/>
      <c r="N183" s="48"/>
      <c r="O183" s="48"/>
      <c r="P183" s="62">
        <f>SUM(P181)</f>
        <v>500000</v>
      </c>
      <c r="Q183" s="62">
        <f>SUM(Q181)</f>
        <v>500000</v>
      </c>
      <c r="R183" s="62">
        <f t="shared" ref="R183:R194" si="118">Q183-P183</f>
        <v>0</v>
      </c>
      <c r="S183" s="72"/>
      <c r="T183" s="73"/>
      <c r="U183" s="49"/>
      <c r="V183" s="79"/>
    </row>
    <row r="184" spans="1:22" s="18" customFormat="1" ht="25.05" customHeight="1">
      <c r="A184" s="278" t="s">
        <v>2316</v>
      </c>
      <c r="B184" s="279" t="s">
        <v>2387</v>
      </c>
      <c r="C184" s="34" t="s">
        <v>3143</v>
      </c>
      <c r="D184" s="34" t="s">
        <v>3144</v>
      </c>
      <c r="E184" s="45" t="s">
        <v>2290</v>
      </c>
      <c r="F184" s="283"/>
      <c r="G184" s="34"/>
      <c r="H184" s="281" t="s">
        <v>3146</v>
      </c>
      <c r="I184" s="34" t="s">
        <v>49</v>
      </c>
      <c r="J184" s="55">
        <v>0</v>
      </c>
      <c r="K184" s="313">
        <f>1.06*100000</f>
        <v>106000</v>
      </c>
      <c r="L184" s="34">
        <v>0</v>
      </c>
      <c r="M184" s="34">
        <v>1</v>
      </c>
      <c r="N184" s="34">
        <v>0</v>
      </c>
      <c r="O184" s="34">
        <v>1</v>
      </c>
      <c r="P184" s="61">
        <f>IFERROR(N184*L184*J184,0)</f>
        <v>0</v>
      </c>
      <c r="Q184" s="61">
        <f t="shared" ref="Q184:Q185" si="119">IFERROR(O184*M184*K184,0)</f>
        <v>106000</v>
      </c>
      <c r="R184" s="69">
        <f t="shared" si="118"/>
        <v>106000</v>
      </c>
      <c r="S184" s="70">
        <v>0.06</v>
      </c>
      <c r="T184" s="70">
        <v>0</v>
      </c>
      <c r="U184" s="309" t="s">
        <v>3147</v>
      </c>
      <c r="V184" s="35"/>
    </row>
    <row r="185" spans="1:22" s="18" customFormat="1" ht="25.05" customHeight="1">
      <c r="A185" s="278" t="s">
        <v>2316</v>
      </c>
      <c r="B185" s="279" t="s">
        <v>2387</v>
      </c>
      <c r="C185" s="34" t="s">
        <v>3143</v>
      </c>
      <c r="D185" s="34" t="s">
        <v>3145</v>
      </c>
      <c r="E185" s="45" t="s">
        <v>2290</v>
      </c>
      <c r="F185" s="283"/>
      <c r="G185" s="34" t="str">
        <f>_xlfn.IFNA(IF(VLOOKUP($F185,'3.框架内物料'!$A:$E,2,0)=0,"请勿填写",VLOOKUP($F185,'3.框架内物料'!$A:$E,2,0)),"")</f>
        <v/>
      </c>
      <c r="H185" s="281" t="s">
        <v>3146</v>
      </c>
      <c r="I185" s="34" t="s">
        <v>49</v>
      </c>
      <c r="J185" s="55">
        <v>0</v>
      </c>
      <c r="K185" s="313">
        <f>1.06*30000</f>
        <v>31800</v>
      </c>
      <c r="L185" s="34">
        <v>0</v>
      </c>
      <c r="M185" s="34">
        <v>1</v>
      </c>
      <c r="N185" s="34">
        <v>0</v>
      </c>
      <c r="O185" s="34">
        <v>1</v>
      </c>
      <c r="P185" s="61">
        <f>IFERROR(N185*L185*J185,0)</f>
        <v>0</v>
      </c>
      <c r="Q185" s="61">
        <f t="shared" si="119"/>
        <v>31800</v>
      </c>
      <c r="R185" s="69">
        <f t="shared" si="118"/>
        <v>31800</v>
      </c>
      <c r="S185" s="70">
        <v>0.06</v>
      </c>
      <c r="T185" s="70">
        <v>0</v>
      </c>
      <c r="U185" s="309" t="s">
        <v>3147</v>
      </c>
      <c r="V185" s="35"/>
    </row>
    <row r="186" spans="1:22" s="18" customFormat="1" ht="25.05" customHeight="1">
      <c r="A186" s="278" t="s">
        <v>2316</v>
      </c>
      <c r="B186" s="279" t="s">
        <v>2387</v>
      </c>
      <c r="C186" s="34" t="s">
        <v>3143</v>
      </c>
      <c r="D186" s="34" t="s">
        <v>3149</v>
      </c>
      <c r="E186" s="45" t="s">
        <v>2290</v>
      </c>
      <c r="F186" s="283"/>
      <c r="G186" s="34" t="str">
        <f>_xlfn.IFNA(IF(VLOOKUP($F186,'3.框架内物料'!$A:$E,2,0)=0,"请勿填写",VLOOKUP($F186,'3.框架内物料'!$A:$E,2,0)),"")</f>
        <v/>
      </c>
      <c r="H186" s="281" t="s">
        <v>3150</v>
      </c>
      <c r="I186" s="34" t="s">
        <v>49</v>
      </c>
      <c r="J186" s="55">
        <v>0</v>
      </c>
      <c r="K186" s="313">
        <f>1.06*30000</f>
        <v>31800</v>
      </c>
      <c r="L186" s="34">
        <v>0</v>
      </c>
      <c r="M186" s="34">
        <v>1</v>
      </c>
      <c r="N186" s="34">
        <v>0</v>
      </c>
      <c r="O186" s="34">
        <v>1</v>
      </c>
      <c r="P186" s="61">
        <f>IFERROR(N186*L186*J186,0)</f>
        <v>0</v>
      </c>
      <c r="Q186" s="61">
        <f t="shared" ref="Q186" si="120">IFERROR(O186*M186*K186,0)</f>
        <v>31800</v>
      </c>
      <c r="R186" s="69">
        <f t="shared" ref="R186" si="121">Q186-P186</f>
        <v>31800</v>
      </c>
      <c r="S186" s="70">
        <v>0.06</v>
      </c>
      <c r="T186" s="70">
        <v>0</v>
      </c>
      <c r="U186" s="309" t="s">
        <v>3147</v>
      </c>
      <c r="V186" s="35"/>
    </row>
    <row r="187" spans="1:22" s="19" customFormat="1" ht="23" customHeight="1">
      <c r="A187" s="36"/>
      <c r="B187" s="37"/>
      <c r="C187" s="37"/>
      <c r="D187" s="37"/>
      <c r="E187" s="37"/>
      <c r="F187" s="46"/>
      <c r="G187" s="46"/>
      <c r="H187" s="47"/>
      <c r="I187" s="46"/>
      <c r="J187" s="46"/>
      <c r="K187" s="57"/>
      <c r="L187" s="46"/>
      <c r="M187" s="46"/>
      <c r="N187" s="46"/>
      <c r="O187" s="46"/>
      <c r="P187" s="347" t="s">
        <v>3151</v>
      </c>
      <c r="Q187" s="348"/>
      <c r="R187" s="349"/>
      <c r="S187" s="71"/>
      <c r="T187" s="71"/>
      <c r="U187" s="77"/>
      <c r="V187" s="78"/>
    </row>
    <row r="188" spans="1:22" s="19" customFormat="1" ht="23" customHeight="1">
      <c r="A188" s="38"/>
      <c r="B188" s="39"/>
      <c r="C188" s="39"/>
      <c r="D188" s="39"/>
      <c r="E188" s="39"/>
      <c r="F188" s="48"/>
      <c r="G188" s="48"/>
      <c r="H188" s="49"/>
      <c r="I188" s="48"/>
      <c r="J188" s="48"/>
      <c r="K188" s="58"/>
      <c r="L188" s="48"/>
      <c r="M188" s="48"/>
      <c r="N188" s="48"/>
      <c r="O188" s="48"/>
      <c r="P188" s="62">
        <f>SUM(P184:P186)</f>
        <v>0</v>
      </c>
      <c r="Q188" s="62">
        <f>SUM(Q184:Q186)</f>
        <v>169600</v>
      </c>
      <c r="R188" s="62">
        <f>Q188-P188</f>
        <v>169600</v>
      </c>
      <c r="S188" s="72"/>
      <c r="T188" s="73"/>
      <c r="U188" s="49"/>
      <c r="V188" s="79"/>
    </row>
    <row r="189" spans="1:22" s="17" customFormat="1" ht="29" customHeight="1">
      <c r="A189" s="76" t="s">
        <v>2366</v>
      </c>
      <c r="B189" s="76" t="s">
        <v>2366</v>
      </c>
      <c r="C189" s="76" t="s">
        <v>2366</v>
      </c>
      <c r="D189" s="76" t="s">
        <v>2366</v>
      </c>
      <c r="E189" s="33" t="s">
        <v>2283</v>
      </c>
      <c r="F189" s="44" t="s">
        <v>2615</v>
      </c>
      <c r="G189" s="33" t="str">
        <f>_xlfn.IFNA(IF(VLOOKUP($F189,'3.框架内物料'!$A:$E,2,0)=0,"请勿填写",VLOOKUP($F189,'3.框架内物料'!$A:$E,2,0)),"")</f>
        <v>M939882581652185090</v>
      </c>
      <c r="H189" s="43" t="str">
        <f>_xlfn.IFNA(VLOOKUP($F189,'3.框架内物料'!$A:$E,4,0),"")</f>
        <v>服务费税费-项目服务费-项目服务费-制作搭建、AVL设备、第三方人员服务费-服务费比例</v>
      </c>
      <c r="I189" s="33" t="str">
        <f>_xlfn.IFNA(VLOOKUP($F189,'3.框架内物料'!$A:$E,5,0),"")</f>
        <v>项</v>
      </c>
      <c r="J189" s="53">
        <f>_xlfn.IFNA(VLOOKUP($F189,'3.框架内物料'!$A:$F,6,0),"")</f>
        <v>0.1</v>
      </c>
      <c r="K189" s="55">
        <f>_xlfn.IFNA(VLOOKUP($F189,'[2]3.框架内物料'!$A:$F,6,0),"")</f>
        <v>0.1</v>
      </c>
      <c r="L189" s="54">
        <f>P60+SUM(P66:P76)</f>
        <v>409947.94999999995</v>
      </c>
      <c r="M189" s="54">
        <f>Q60+SUM(Q66:Q76)</f>
        <v>437619.45600000001</v>
      </c>
      <c r="N189" s="33">
        <v>1</v>
      </c>
      <c r="O189" s="33">
        <v>1</v>
      </c>
      <c r="P189" s="66">
        <f>IFERROR(N189*L189*J189,0)</f>
        <v>40994.794999999998</v>
      </c>
      <c r="Q189" s="66">
        <f>IFERROR(O189*M189*K189,0)</f>
        <v>43761.945600000006</v>
      </c>
      <c r="R189" s="106">
        <f t="shared" si="118"/>
        <v>2767.1506000000081</v>
      </c>
      <c r="S189" s="68">
        <v>0.06</v>
      </c>
      <c r="T189" s="68">
        <v>0</v>
      </c>
      <c r="U189" s="113" t="s">
        <v>2616</v>
      </c>
      <c r="V189" s="76"/>
    </row>
    <row r="190" spans="1:22" s="21" customFormat="1" ht="29" customHeight="1">
      <c r="A190" s="32" t="s">
        <v>2617</v>
      </c>
      <c r="B190" s="33" t="s">
        <v>2617</v>
      </c>
      <c r="C190" s="33" t="s">
        <v>2617</v>
      </c>
      <c r="D190" s="76" t="s">
        <v>2366</v>
      </c>
      <c r="E190" s="33" t="s">
        <v>2283</v>
      </c>
      <c r="F190" s="87" t="s">
        <v>2618</v>
      </c>
      <c r="G190" s="33" t="str">
        <f>_xlfn.IFNA(IF(VLOOKUP($F190,'3.框架内物料'!$A:$E,2,0)=0,"请勿填写",VLOOKUP($F190,'3.框架内物料'!$A:$E,2,0)),"")</f>
        <v>M947580891799273474</v>
      </c>
      <c r="H190" s="43" t="str">
        <f>_xlfn.IFNA(VLOOKUP($F190,'3.框架内物料'!$A:$E,4,0),"")</f>
        <v>服务费税费-项目服务费-项目服务费-物资采买、其他代垫付服务费-服务费比例</v>
      </c>
      <c r="I190" s="33" t="str">
        <f>_xlfn.IFNA(VLOOKUP($F190,'3.框架内物料'!$A:$E,5,0),"")</f>
        <v>项</v>
      </c>
      <c r="J190" s="53">
        <f>_xlfn.IFNA(VLOOKUP($F190,'3.框架内物料'!$A:$F,6,0),"")</f>
        <v>0.06</v>
      </c>
      <c r="K190" s="55">
        <f>_xlfn.IFNA(VLOOKUP($F190,'[2]3.框架内物料'!$A:$F,6,0),"")</f>
        <v>0.06</v>
      </c>
      <c r="L190" s="54">
        <f>P180+P184+P185</f>
        <v>481996.84</v>
      </c>
      <c r="M190" s="54">
        <f>Q180+Q184+Q185</f>
        <v>593103.9412</v>
      </c>
      <c r="N190" s="33">
        <v>1</v>
      </c>
      <c r="O190" s="33">
        <v>1</v>
      </c>
      <c r="P190" s="66">
        <f t="shared" ref="P190:P194" si="122">IFERROR(N190*L190*J190,0)</f>
        <v>28919.810400000002</v>
      </c>
      <c r="Q190" s="66">
        <f t="shared" ref="Q190:Q194" si="123">IFERROR(O190*M190*K190,0)</f>
        <v>35586.236471999997</v>
      </c>
      <c r="R190" s="107">
        <f t="shared" si="118"/>
        <v>6666.4260719999947</v>
      </c>
      <c r="S190" s="68">
        <v>0.06</v>
      </c>
      <c r="T190" s="68">
        <v>0</v>
      </c>
      <c r="U190" s="113" t="s">
        <v>2616</v>
      </c>
      <c r="V190" s="76"/>
    </row>
    <row r="191" spans="1:22" s="21" customFormat="1" ht="29" customHeight="1">
      <c r="A191" s="32" t="s">
        <v>2617</v>
      </c>
      <c r="B191" s="33" t="s">
        <v>2617</v>
      </c>
      <c r="C191" s="33" t="s">
        <v>2617</v>
      </c>
      <c r="D191" s="76" t="s">
        <v>2366</v>
      </c>
      <c r="E191" s="33" t="s">
        <v>2283</v>
      </c>
      <c r="F191" s="87" t="s">
        <v>3152</v>
      </c>
      <c r="G191" s="33" t="str">
        <f>_xlfn.IFNA(IF(VLOOKUP($F191,'3.框架内物料'!$A:$E,2,0)=0,"请勿填写",VLOOKUP($F191,'3.框架内物料'!$A:$E,2,0)),"")</f>
        <v>M947580474289864706</v>
      </c>
      <c r="H191" s="43" t="str">
        <f>_xlfn.IFNA(VLOOKUP($F191,'3.框架内物料'!$A:$E,4,0),"")</f>
        <v>服务费税费-项目税费-无票垫付费-第三方无票垫付服务费-服务费比例</v>
      </c>
      <c r="I191" s="33" t="str">
        <f>_xlfn.IFNA(VLOOKUP($F191,'3.框架内物料'!$A:$E,5,0),"")</f>
        <v>项</v>
      </c>
      <c r="J191" s="53">
        <f>_xlfn.IFNA(VLOOKUP($F191,'3.框架内物料'!$A:$F,6,0),"")</f>
        <v>0.1</v>
      </c>
      <c r="K191" s="55">
        <f>_xlfn.IFNA(VLOOKUP($F191,'[2]3.框架内物料'!$A:$F,6,0),"")</f>
        <v>0.1</v>
      </c>
      <c r="L191" s="54">
        <f>P186</f>
        <v>0</v>
      </c>
      <c r="M191" s="54">
        <f>Q186</f>
        <v>31800</v>
      </c>
      <c r="N191" s="33">
        <v>1</v>
      </c>
      <c r="O191" s="33">
        <v>1</v>
      </c>
      <c r="P191" s="66">
        <f t="shared" ref="P191" si="124">IFERROR(N191*L191*J191,0)</f>
        <v>0</v>
      </c>
      <c r="Q191" s="66">
        <f t="shared" si="123"/>
        <v>3180</v>
      </c>
      <c r="R191" s="107">
        <f t="shared" ref="R191" si="125">Q191-P191</f>
        <v>3180</v>
      </c>
      <c r="S191" s="68">
        <v>0.06</v>
      </c>
      <c r="T191" s="68">
        <v>0</v>
      </c>
      <c r="U191" s="113" t="s">
        <v>2616</v>
      </c>
      <c r="V191" s="76"/>
    </row>
    <row r="192" spans="1:22" s="17" customFormat="1" ht="29" customHeight="1">
      <c r="A192" s="76" t="s">
        <v>2366</v>
      </c>
      <c r="B192" s="76" t="s">
        <v>2366</v>
      </c>
      <c r="C192" s="76" t="s">
        <v>2366</v>
      </c>
      <c r="D192" s="76" t="s">
        <v>2366</v>
      </c>
      <c r="E192" s="33" t="s">
        <v>2283</v>
      </c>
      <c r="F192" s="87" t="s">
        <v>2619</v>
      </c>
      <c r="G192" s="33" t="str">
        <f>_xlfn.IFNA(IF(VLOOKUP($F192,'3.框架内物料'!$A:$E,2,0)=0,"请勿填写",VLOOKUP($F192,'3.框架内物料'!$A:$E,2,0)),"")</f>
        <v>M939882610784714754</v>
      </c>
      <c r="H192" s="43" t="str">
        <f>_xlfn.IFNA(VLOOKUP($F192,'3.框架内物料'!$A:$E,4,0),"")</f>
        <v>服务费税费-项目服务费-项目服务费-机票、用车、用餐等第三方资源-服务费比例</v>
      </c>
      <c r="I192" s="33" t="str">
        <f>_xlfn.IFNA(VLOOKUP($F192,'3.框架内物料'!$A:$E,5,0),"")</f>
        <v>项</v>
      </c>
      <c r="J192" s="53">
        <f>_xlfn.IFNA(VLOOKUP($F192,'3.框架内物料'!$A:$F,6,0),"")</f>
        <v>0.06</v>
      </c>
      <c r="K192" s="55">
        <f>_xlfn.IFNA(VLOOKUP($F192,'[2]3.框架内物料'!$A:$F,6,0),"")</f>
        <v>0.06</v>
      </c>
      <c r="L192" s="54">
        <f>P161-P83-P84-P100-P102-P82-P104-P105-P154</f>
        <v>4158265.4600000009</v>
      </c>
      <c r="M192" s="54">
        <f>Q161-Q82-Q83-Q84-Q85-Q100-Q101-Q102-Q103-Q104-Q105-Q154-Q155</f>
        <v>2388118.0170000005</v>
      </c>
      <c r="N192" s="32">
        <v>1</v>
      </c>
      <c r="O192" s="32">
        <v>1</v>
      </c>
      <c r="P192" s="66">
        <f>IFERROR(N192*L192*J192,0)</f>
        <v>249495.92760000005</v>
      </c>
      <c r="Q192" s="66">
        <f t="shared" si="123"/>
        <v>143287.08102000001</v>
      </c>
      <c r="R192" s="106">
        <f t="shared" si="118"/>
        <v>-106208.84658000004</v>
      </c>
      <c r="S192" s="68">
        <v>0.06</v>
      </c>
      <c r="T192" s="68">
        <v>0</v>
      </c>
      <c r="U192" s="113" t="s">
        <v>2616</v>
      </c>
      <c r="V192" s="76"/>
    </row>
    <row r="193" spans="1:22" s="17" customFormat="1" ht="20.350000000000001" customHeight="1">
      <c r="A193" s="76" t="s">
        <v>2366</v>
      </c>
      <c r="B193" s="76" t="s">
        <v>2366</v>
      </c>
      <c r="C193" s="76" t="s">
        <v>2366</v>
      </c>
      <c r="D193" s="76" t="s">
        <v>2366</v>
      </c>
      <c r="E193" s="33" t="s">
        <v>2283</v>
      </c>
      <c r="F193" s="44" t="s">
        <v>2620</v>
      </c>
      <c r="G193" s="33" t="str">
        <f>_xlfn.IFNA(IF(VLOOKUP($F193,'3.框架内物料'!$A:$E,2,0)=0,"请勿填写",VLOOKUP($F193,'3.框架内物料'!$A:$E,2,0)),"")</f>
        <v>M939882699754164225</v>
      </c>
      <c r="H193" s="43" t="str">
        <f>_xlfn.IFNA(VLOOKUP($F193,'3.框架内物料'!$A:$E,4,0),"")</f>
        <v>服务费税费-项目服务费-项目服务费-场地采买、酒店用房服务费-服务费比例</v>
      </c>
      <c r="I193" s="33" t="str">
        <f>_xlfn.IFNA(VLOOKUP($F193,'3.框架内物料'!$A:$E,5,0),"")</f>
        <v>项</v>
      </c>
      <c r="J193" s="53">
        <f>_xlfn.IFNA(VLOOKUP($F193,'3.框架内物料'!$A:$F,6,0),"")</f>
        <v>0.06</v>
      </c>
      <c r="K193" s="55">
        <f>_xlfn.IFNA(VLOOKUP($F193,'[2]3.框架内物料'!$A:$F,6,0),"")</f>
        <v>0.06</v>
      </c>
      <c r="L193" s="54">
        <f>SUM(P82:P105)+P154+P183</f>
        <v>1134720</v>
      </c>
      <c r="M193" s="54">
        <f>SUM(Q82:Q85)+SUM(Q100:Q105)+Q154+Q155+Q183</f>
        <v>963730</v>
      </c>
      <c r="N193" s="32">
        <v>1</v>
      </c>
      <c r="O193" s="32">
        <v>1</v>
      </c>
      <c r="P193" s="66">
        <f t="shared" si="122"/>
        <v>68083.199999999997</v>
      </c>
      <c r="Q193" s="66">
        <f t="shared" si="123"/>
        <v>57823.799999999996</v>
      </c>
      <c r="R193" s="106">
        <f t="shared" si="118"/>
        <v>-10259.400000000001</v>
      </c>
      <c r="S193" s="68">
        <v>0.06</v>
      </c>
      <c r="T193" s="68">
        <v>0</v>
      </c>
      <c r="U193" s="114" t="s">
        <v>2621</v>
      </c>
      <c r="V193" s="76"/>
    </row>
    <row r="194" spans="1:22" s="17" customFormat="1" ht="29" customHeight="1">
      <c r="A194" s="76" t="s">
        <v>2366</v>
      </c>
      <c r="B194" s="76" t="s">
        <v>2366</v>
      </c>
      <c r="C194" s="76" t="s">
        <v>2366</v>
      </c>
      <c r="D194" s="76" t="s">
        <v>2617</v>
      </c>
      <c r="E194" s="33" t="s">
        <v>2283</v>
      </c>
      <c r="F194" s="44" t="s">
        <v>2622</v>
      </c>
      <c r="G194" s="33" t="str">
        <f>_xlfn.IFNA(IF(VLOOKUP($F194,'3.框架内物料'!$A:$E,2,0)=0,"请勿填写",VLOOKUP($F194,'3.框架内物料'!$A:$E,2,0)),"")</f>
        <v>M939882696801374209</v>
      </c>
      <c r="H194" s="43" t="str">
        <f>_xlfn.IFNA(VLOOKUP($F194,'3.框架内物料'!$A:$E,4,0),"")</f>
        <v>服务费税费-项目税费-项目税费-物资采买、代垫付、其他未罗列项服务费-增值税比例</v>
      </c>
      <c r="I194" s="33" t="str">
        <f>_xlfn.IFNA(VLOOKUP($F194,'3.框架内物料'!$A:$E,5,0),"")</f>
        <v>项</v>
      </c>
      <c r="J194" s="53">
        <f>_xlfn.IFNA(VLOOKUP($F194,'3.框架内物料'!$A:$F,6,0),"")</f>
        <v>0.06</v>
      </c>
      <c r="K194" s="55">
        <f>_xlfn.IFNA(VLOOKUP($F194,'[2]3.框架内物料'!$A:$F,6,0),"")</f>
        <v>0.06</v>
      </c>
      <c r="L194" s="54">
        <f>P193</f>
        <v>68083.199999999997</v>
      </c>
      <c r="M194" s="54">
        <f>Q193</f>
        <v>57823.799999999996</v>
      </c>
      <c r="N194" s="32">
        <v>1</v>
      </c>
      <c r="O194" s="32">
        <v>1</v>
      </c>
      <c r="P194" s="66">
        <f t="shared" si="122"/>
        <v>4084.9919999999997</v>
      </c>
      <c r="Q194" s="66">
        <f t="shared" si="123"/>
        <v>3469.4279999999994</v>
      </c>
      <c r="R194" s="106">
        <f t="shared" si="118"/>
        <v>-615.56400000000031</v>
      </c>
      <c r="S194" s="68">
        <v>0.06</v>
      </c>
      <c r="T194" s="68">
        <v>0</v>
      </c>
      <c r="U194" s="113" t="s">
        <v>2623</v>
      </c>
      <c r="V194" s="76"/>
    </row>
    <row r="195" spans="1:22" s="19" customFormat="1" ht="23" customHeight="1">
      <c r="A195" s="37"/>
      <c r="B195" s="37"/>
      <c r="C195" s="37"/>
      <c r="D195" s="37"/>
      <c r="E195" s="37"/>
      <c r="F195" s="46"/>
      <c r="G195" s="46"/>
      <c r="H195" s="47"/>
      <c r="I195" s="46"/>
      <c r="J195" s="46"/>
      <c r="K195" s="57"/>
      <c r="L195" s="46"/>
      <c r="M195" s="46"/>
      <c r="N195" s="46"/>
      <c r="O195" s="46"/>
      <c r="P195" s="347" t="s">
        <v>2324</v>
      </c>
      <c r="Q195" s="348"/>
      <c r="R195" s="349"/>
      <c r="S195" s="71"/>
      <c r="T195" s="71"/>
      <c r="U195" s="77"/>
      <c r="V195" s="115" t="s">
        <v>2453</v>
      </c>
    </row>
    <row r="196" spans="1:22" s="19" customFormat="1" ht="23" customHeight="1">
      <c r="A196" s="38"/>
      <c r="B196" s="39"/>
      <c r="C196" s="39"/>
      <c r="D196" s="39"/>
      <c r="E196" s="39"/>
      <c r="F196" s="48"/>
      <c r="G196" s="48"/>
      <c r="H196" s="49"/>
      <c r="I196" s="48"/>
      <c r="J196" s="48"/>
      <c r="K196" s="58"/>
      <c r="L196" s="48"/>
      <c r="M196" s="48"/>
      <c r="N196" s="48"/>
      <c r="O196" s="48"/>
      <c r="P196" s="62">
        <f>SUM(P189:P194)</f>
        <v>391578.72500000009</v>
      </c>
      <c r="Q196" s="62">
        <f>SUM(Q189:Q194)</f>
        <v>287108.49109200004</v>
      </c>
      <c r="R196" s="62">
        <f>Q196-P196</f>
        <v>-104470.23390800005</v>
      </c>
      <c r="S196" s="72"/>
      <c r="T196" s="73"/>
      <c r="U196" s="49"/>
      <c r="V196" s="79"/>
    </row>
    <row r="197" spans="1:22" s="19" customFormat="1" ht="20.350000000000001" customHeight="1">
      <c r="A197" s="80"/>
      <c r="B197" s="81"/>
      <c r="C197" s="81"/>
      <c r="D197" s="81"/>
      <c r="E197" s="81"/>
      <c r="F197" s="88"/>
      <c r="G197" s="81"/>
      <c r="H197" s="89"/>
      <c r="I197" s="81"/>
      <c r="J197" s="94"/>
      <c r="K197" s="95"/>
      <c r="L197" s="81"/>
      <c r="M197" s="81"/>
      <c r="N197" s="81"/>
      <c r="O197" s="81"/>
      <c r="P197" s="350" t="s">
        <v>2624</v>
      </c>
      <c r="Q197" s="350"/>
      <c r="R197" s="351"/>
      <c r="S197" s="108"/>
      <c r="T197" s="108"/>
      <c r="U197" s="116"/>
      <c r="V197" s="117"/>
    </row>
    <row r="198" spans="1:22" ht="20.350000000000001" customHeight="1">
      <c r="A198" s="82"/>
      <c r="B198" s="83"/>
      <c r="C198" s="83"/>
      <c r="D198" s="83"/>
      <c r="E198" s="83"/>
      <c r="F198" s="90"/>
      <c r="G198" s="90"/>
      <c r="H198" s="91"/>
      <c r="I198" s="90"/>
      <c r="J198" s="90"/>
      <c r="K198" s="96"/>
      <c r="L198" s="90"/>
      <c r="M198" s="90"/>
      <c r="N198" s="90"/>
      <c r="O198" s="90"/>
      <c r="P198" s="103">
        <f>P60+P78+P161+P180++P183+P188+P196</f>
        <v>6662262.9750000015</v>
      </c>
      <c r="Q198" s="103">
        <f>Q60+Q78+Q161+Q180+Q183+Q188+Q196</f>
        <v>4787445.9052920006</v>
      </c>
      <c r="R198" s="103">
        <f>Q198-P198</f>
        <v>-1874817.0697080009</v>
      </c>
      <c r="S198" s="109"/>
      <c r="T198" s="110"/>
      <c r="U198" s="118"/>
      <c r="V198" s="119"/>
    </row>
    <row r="199" spans="1:22" s="21" customFormat="1" ht="27.75">
      <c r="A199" s="32" t="s">
        <v>2325</v>
      </c>
      <c r="B199" s="84"/>
      <c r="C199" s="84"/>
      <c r="D199" s="84"/>
      <c r="E199" s="32" t="s">
        <v>2325</v>
      </c>
      <c r="F199" s="84"/>
      <c r="G199" s="84"/>
      <c r="H199" s="92" t="s">
        <v>2326</v>
      </c>
      <c r="I199" s="33" t="s">
        <v>49</v>
      </c>
      <c r="J199" s="97" t="s">
        <v>2625</v>
      </c>
      <c r="K199" s="98" t="s">
        <v>2625</v>
      </c>
      <c r="L199" s="99">
        <v>1</v>
      </c>
      <c r="M199" s="99">
        <v>1</v>
      </c>
      <c r="N199" s="99">
        <v>1</v>
      </c>
      <c r="O199" s="99">
        <v>1</v>
      </c>
      <c r="P199" s="66">
        <f>J199*L199*N199</f>
        <v>0</v>
      </c>
      <c r="Q199" s="67">
        <f>K199*M199*O199</f>
        <v>0</v>
      </c>
      <c r="R199" s="67">
        <f>Q199-P199</f>
        <v>0</v>
      </c>
      <c r="S199" s="68">
        <v>0.06</v>
      </c>
      <c r="T199" s="68">
        <v>0</v>
      </c>
      <c r="U199" s="113"/>
      <c r="V199" s="120"/>
    </row>
    <row r="200" spans="1:22" s="19" customFormat="1" ht="14.65">
      <c r="A200" s="80"/>
      <c r="B200" s="81"/>
      <c r="C200" s="81"/>
      <c r="D200" s="81"/>
      <c r="E200" s="81"/>
      <c r="F200" s="88"/>
      <c r="G200" s="81"/>
      <c r="H200" s="89"/>
      <c r="I200" s="81"/>
      <c r="J200" s="94"/>
      <c r="K200" s="95"/>
      <c r="L200" s="81"/>
      <c r="M200" s="81"/>
      <c r="N200" s="81"/>
      <c r="O200" s="81"/>
      <c r="P200" s="350" t="s">
        <v>2327</v>
      </c>
      <c r="Q200" s="350"/>
      <c r="R200" s="351"/>
      <c r="S200" s="108"/>
      <c r="T200" s="108"/>
      <c r="U200" s="116"/>
      <c r="V200" s="117"/>
    </row>
    <row r="201" spans="1:22" ht="27.75" customHeight="1">
      <c r="A201" s="82"/>
      <c r="B201" s="83"/>
      <c r="C201" s="83"/>
      <c r="D201" s="83"/>
      <c r="E201" s="83"/>
      <c r="F201" s="90"/>
      <c r="G201" s="90"/>
      <c r="H201" s="91"/>
      <c r="I201" s="90"/>
      <c r="J201" s="90"/>
      <c r="K201" s="96"/>
      <c r="L201" s="90"/>
      <c r="M201" s="90"/>
      <c r="N201" s="90"/>
      <c r="O201" s="90"/>
      <c r="P201" s="103">
        <f>SUM(P198,P199)</f>
        <v>6662262.9750000015</v>
      </c>
      <c r="Q201" s="103">
        <f>SUM(Q198,Q199)</f>
        <v>4787445.9052920006</v>
      </c>
      <c r="R201" s="103">
        <f>Q201-P201</f>
        <v>-1874817.0697080009</v>
      </c>
      <c r="S201" s="109"/>
      <c r="T201" s="110"/>
      <c r="U201" s="118"/>
      <c r="V201" s="119"/>
    </row>
    <row r="202" spans="1:22" ht="14.65">
      <c r="A202" s="85"/>
      <c r="C202" s="86"/>
      <c r="D202" s="86"/>
      <c r="E202" s="86"/>
      <c r="F202" s="85"/>
      <c r="G202" s="85"/>
      <c r="H202" s="93"/>
      <c r="I202" s="85"/>
      <c r="J202" s="85"/>
      <c r="K202" s="329"/>
      <c r="L202" s="329"/>
      <c r="M202" s="329"/>
      <c r="N202" s="329"/>
      <c r="P202" s="104">
        <f>SUMIF(E1:E198,"框架内",P1:P198)/(P201-P199)</f>
        <v>0.21870865207028245</v>
      </c>
      <c r="Q202" s="104">
        <f>SUMIF(E1:E198,"框架内",Q1:Q198)/(Q201-Q199)</f>
        <v>0.15552776612451058</v>
      </c>
      <c r="R202" s="111" t="s">
        <v>2328</v>
      </c>
      <c r="S202" s="112"/>
      <c r="T202" s="112"/>
    </row>
    <row r="203" spans="1:22" ht="27.75">
      <c r="A203" s="85"/>
      <c r="C203" s="86"/>
      <c r="D203" s="86"/>
      <c r="E203" s="86"/>
      <c r="F203" s="85"/>
      <c r="G203" s="85"/>
      <c r="H203" s="93"/>
      <c r="I203" s="85"/>
      <c r="J203" s="85"/>
      <c r="K203" s="329"/>
      <c r="L203" s="329"/>
      <c r="M203" s="329"/>
      <c r="N203" s="329"/>
      <c r="P203" s="104">
        <f ca="1">SUMIF(E1:E199,"框架外",P1:P198)/(P201-P199)</f>
        <v>0</v>
      </c>
      <c r="Q203" s="104">
        <f ca="1">SUMIF(E1:E199,"框架外",Q1:Q198)/(Q201-Q199)</f>
        <v>0</v>
      </c>
      <c r="R203" s="111" t="s">
        <v>2329</v>
      </c>
      <c r="S203" s="112"/>
      <c r="T203" s="112"/>
    </row>
    <row r="204" spans="1:22" ht="14.65">
      <c r="A204" s="85"/>
      <c r="C204" s="86"/>
      <c r="D204" s="86"/>
      <c r="E204" s="86"/>
      <c r="F204" s="85"/>
      <c r="G204" s="85"/>
      <c r="H204" s="93"/>
      <c r="I204" s="85"/>
      <c r="J204" s="85"/>
      <c r="P204" s="104">
        <f ca="1">SUMIF(E1:E199,"据实结算",P1:P198)/(P201-P199)</f>
        <v>0.78129134792971744</v>
      </c>
      <c r="Q204" s="104">
        <f ca="1">SUMIF(E1:E199,"据实结算",Q1:Q198)/(Q201-Q199)</f>
        <v>0.84447223387548953</v>
      </c>
      <c r="R204" s="111" t="s">
        <v>2330</v>
      </c>
      <c r="S204" s="112"/>
      <c r="T204" s="112"/>
    </row>
    <row r="205" spans="1:22">
      <c r="K205" s="100"/>
      <c r="L205" s="101"/>
      <c r="M205" s="101"/>
      <c r="N205" s="101"/>
    </row>
  </sheetData>
  <sheetProtection formatCells="0" formatColumns="0" formatRows="0" insertRows="0" insertHyperlinks="0" deleteRows="0" autoFilter="0"/>
  <autoFilter ref="A1:X204" xr:uid="{00000000-0009-0000-0000-000004000000}"/>
  <mergeCells count="11">
    <mergeCell ref="P195:R195"/>
    <mergeCell ref="P197:R197"/>
    <mergeCell ref="P200:R200"/>
    <mergeCell ref="K202:N202"/>
    <mergeCell ref="K203:N203"/>
    <mergeCell ref="P187:R187"/>
    <mergeCell ref="P59:R59"/>
    <mergeCell ref="P77:R77"/>
    <mergeCell ref="P160:R160"/>
    <mergeCell ref="P179:R179"/>
    <mergeCell ref="P182:R182"/>
  </mergeCells>
  <phoneticPr fontId="41" type="noConversion"/>
  <conditionalFormatting sqref="A2:A197">
    <cfRule type="containsText" dxfId="5" priority="3" operator="containsText" text="填写">
      <formula>NOT(ISERROR(SEARCH("填写",A2)))</formula>
    </cfRule>
  </conditionalFormatting>
  <conditionalFormatting sqref="A199:A200">
    <cfRule type="containsText" dxfId="4" priority="334" operator="containsText" text="填写">
      <formula>NOT(ISERROR(SEARCH("填写",A199)))</formula>
    </cfRule>
  </conditionalFormatting>
  <conditionalFormatting sqref="B181:D181">
    <cfRule type="containsText" dxfId="3" priority="67" operator="containsText" text="填写">
      <formula>NOT(ISERROR(SEARCH("填写",B181)))</formula>
    </cfRule>
  </conditionalFormatting>
  <conditionalFormatting sqref="C30">
    <cfRule type="containsText" dxfId="2" priority="2" operator="containsText" text="填写">
      <formula>NOT(ISERROR(SEARCH("填写",C30)))</formula>
    </cfRule>
  </conditionalFormatting>
  <conditionalFormatting sqref="C56">
    <cfRule type="containsText" dxfId="1" priority="1" operator="containsText" text="填写">
      <formula>NOT(ISERROR(SEARCH("填写",C56)))</formula>
    </cfRule>
  </conditionalFormatting>
  <conditionalFormatting sqref="E199">
    <cfRule type="containsText" dxfId="0" priority="335" operator="containsText" text="填写">
      <formula>NOT(ISERROR(SEARCH("填写",E199)))</formula>
    </cfRule>
  </conditionalFormatting>
  <dataValidations count="7">
    <dataValidation type="list" allowBlank="1" showInputMessage="1" showErrorMessage="1" sqref="C30 A200:A1048576 A196:A198 A182:A194 C56 A2:A180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181 T1:T1048576" xr:uid="{00000000-0002-0000-0400-000002000000}">
      <formula1>"0%,5%,6%,10%,15%"</formula1>
    </dataValidation>
    <dataValidation type="list" allowBlank="1" showInputMessage="1" showErrorMessage="1" sqref="A199 E2:E1048576" xr:uid="{00000000-0002-0000-0400-000003000000}">
      <formula1>"框架内,框架外,据实结算"</formula1>
    </dataValidation>
    <dataValidation type="list" allowBlank="1" showInputMessage="1" showErrorMessage="1" sqref="S199 S189:S194 S184:S186 S162:S178 S61:S76 S79:S159 S2:S58" xr:uid="{00000000-0002-0000-0400-000004000000}">
      <formula1>"0%,1%,3%,6%,9%"</formula1>
    </dataValidation>
    <dataValidation type="list" allowBlank="1" showInputMessage="1" showErrorMessage="1" sqref="D201" xr:uid="{00000000-0002-0000-0400-000005000000}">
      <formula1>"CNY, USD, JPY , HKD"</formula1>
    </dataValidation>
    <dataValidation type="list" allowBlank="1" showInputMessage="1" showErrorMessage="1" sqref="H201" xr:uid="{00000000-0002-0000-0400-000006000000}">
      <formula1>"是,否"</formula1>
    </dataValidation>
    <dataValidation type="list" allowBlank="1" showInputMessage="1" showErrorMessage="1" sqref="K201" xr:uid="{00000000-0002-0000-0400-000007000000}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ignoredErrors>
    <ignoredError sqref="R202:R204 Q202:Q20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1000000}">
          <x14:formula1>
            <xm:f>'3.框架内物料'!$A$2:$A$749</xm:f>
          </x14:formula1>
          <xm:sqref>F181 F197 F200 F184:F186 F52:F54 F42 F31:F34 F178 F57 F61:F76 F79:F159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4" zoomScaleNormal="104" workbookViewId="0">
      <pane ySplit="1" topLeftCell="A504" activePane="bottomLeft" state="frozen"/>
      <selection pane="bottomLeft" activeCell="A531" sqref="A531"/>
    </sheetView>
  </sheetViews>
  <sheetFormatPr defaultColWidth="11.6640625" defaultRowHeight="12.4"/>
  <cols>
    <col min="1" max="1" width="13.59765625" style="1" customWidth="1"/>
    <col min="2" max="2" width="19.1328125" style="1" customWidth="1"/>
    <col min="3" max="3" width="13" style="1" customWidth="1"/>
    <col min="4" max="4" width="93.86328125" style="1" customWidth="1"/>
    <col min="5" max="5" width="13" style="1" customWidth="1"/>
    <col min="6" max="6" width="13.53125" style="2" customWidth="1"/>
    <col min="7" max="7" width="13" style="3" customWidth="1"/>
    <col min="8" max="8" width="8" style="3" customWidth="1"/>
    <col min="9" max="9" width="13" style="4" customWidth="1"/>
    <col min="10" max="32" width="11.59765625" style="5" customWidth="1"/>
    <col min="33" max="16384" width="11.6640625" style="5"/>
  </cols>
  <sheetData>
    <row r="1" spans="1:9" ht="24.75">
      <c r="A1" s="6" t="s">
        <v>2626</v>
      </c>
      <c r="B1" s="6" t="s">
        <v>2627</v>
      </c>
      <c r="C1" s="6" t="s">
        <v>2628</v>
      </c>
      <c r="D1" s="6" t="s">
        <v>2629</v>
      </c>
      <c r="E1" s="6" t="s">
        <v>2630</v>
      </c>
      <c r="F1" s="10" t="s">
        <v>2631</v>
      </c>
      <c r="G1" s="11" t="s">
        <v>2632</v>
      </c>
      <c r="H1" s="11" t="s">
        <v>2633</v>
      </c>
      <c r="I1" s="14" t="s">
        <v>2634</v>
      </c>
    </row>
    <row r="2" spans="1:9">
      <c r="A2" s="7" t="s">
        <v>2635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SUMIF('[4]2.报价结算清单'!$F$2:$F$578,$A2,'[4]2.报价结算清单'!$L$2:$L$578)</f>
        <v>#VALUE!</v>
      </c>
      <c r="H2" s="13" t="e">
        <f>SUMIF('[4]2.报价结算清单'!$F$2:$F$578,$A2,'[4]2.报价结算清单'!$N$2:$N$578)</f>
        <v>#VALUE!</v>
      </c>
      <c r="I2" s="15" t="e">
        <f>SUMIF('[4]2.报价结算清单'!$F$2:$F$578,A2,'[4]2.报价结算清单'!$P$2:$P$578)</f>
        <v>#VALUE!</v>
      </c>
    </row>
    <row r="3" spans="1:9">
      <c r="A3" s="7" t="s">
        <v>2402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SUMIF('[4]2.报价结算清单'!$F$2:$F$578,$A3,'[4]2.报价结算清单'!$L$2:$L$578)</f>
        <v>#VALUE!</v>
      </c>
      <c r="H3" s="13" t="e">
        <f>SUMIF('[4]2.报价结算清单'!$F$2:$F$578,$A3,'[4]2.报价结算清单'!$N$2:$N$578)</f>
        <v>#VALUE!</v>
      </c>
      <c r="I3" s="15" t="e">
        <f>SUMIF('[4]2.报价结算清单'!$F$2:$F$578,A3,'[4]2.报价结算清单'!$P$2:$P$578)</f>
        <v>#VALUE!</v>
      </c>
    </row>
    <row r="4" spans="1:9">
      <c r="A4" s="7" t="s">
        <v>2636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SUMIF('[4]2.报价结算清单'!$F$2:$F$578,$A4,'[4]2.报价结算清单'!$L$2:$L$578)</f>
        <v>#VALUE!</v>
      </c>
      <c r="H4" s="13" t="e">
        <f>SUMIF('[4]2.报价结算清单'!$F$2:$F$578,$A4,'[4]2.报价结算清单'!$N$2:$N$578)</f>
        <v>#VALUE!</v>
      </c>
      <c r="I4" s="15" t="e">
        <f>SUMIF('[4]2.报价结算清单'!$F$2:$F$578,A4,'[4]2.报价结算清单'!$P$2:$P$578)</f>
        <v>#VALUE!</v>
      </c>
    </row>
    <row r="5" spans="1:9">
      <c r="A5" s="7" t="s">
        <v>2637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SUMIF('[4]2.报价结算清单'!$F$2:$F$578,$A5,'[4]2.报价结算清单'!$L$2:$L$578)</f>
        <v>#VALUE!</v>
      </c>
      <c r="H5" s="13" t="e">
        <f>SUMIF('[4]2.报价结算清单'!$F$2:$F$578,$A5,'[4]2.报价结算清单'!$N$2:$N$578)</f>
        <v>#VALUE!</v>
      </c>
      <c r="I5" s="15" t="e">
        <f>SUMIF('[4]2.报价结算清单'!$F$2:$F$578,A5,'[4]2.报价结算清单'!$P$2:$P$578)</f>
        <v>#VALUE!</v>
      </c>
    </row>
    <row r="6" spans="1:9">
      <c r="A6" s="7" t="s">
        <v>2638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SUMIF('[4]2.报价结算清单'!$F$2:$F$578,$A6,'[4]2.报价结算清单'!$L$2:$L$578)</f>
        <v>#VALUE!</v>
      </c>
      <c r="H6" s="13" t="e">
        <f>SUMIF('[4]2.报价结算清单'!$F$2:$F$578,$A6,'[4]2.报价结算清单'!$N$2:$N$578)</f>
        <v>#VALUE!</v>
      </c>
      <c r="I6" s="15" t="e">
        <f>SUMIF('[4]2.报价结算清单'!$F$2:$F$578,A6,'[4]2.报价结算清单'!$P$2:$P$578)</f>
        <v>#VALUE!</v>
      </c>
    </row>
    <row r="7" spans="1:9">
      <c r="A7" s="7" t="s">
        <v>2639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SUMIF('[4]2.报价结算清单'!$F$2:$F$578,$A7,'[4]2.报价结算清单'!$L$2:$L$578)</f>
        <v>#VALUE!</v>
      </c>
      <c r="H7" s="13" t="e">
        <f>SUMIF('[4]2.报价结算清单'!$F$2:$F$578,$A7,'[4]2.报价结算清单'!$N$2:$N$578)</f>
        <v>#VALUE!</v>
      </c>
      <c r="I7" s="15" t="e">
        <f>SUMIF('[4]2.报价结算清单'!$F$2:$F$578,A7,'[4]2.报价结算清单'!$P$2:$P$578)</f>
        <v>#VALUE!</v>
      </c>
    </row>
    <row r="8" spans="1:9">
      <c r="A8" s="7" t="s">
        <v>2390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SUMIF('[4]2.报价结算清单'!$F$2:$F$578,$A8,'[4]2.报价结算清单'!$L$2:$L$578)</f>
        <v>#VALUE!</v>
      </c>
      <c r="H8" s="13" t="e">
        <f>SUMIF('[4]2.报价结算清单'!$F$2:$F$578,$A8,'[4]2.报价结算清单'!$N$2:$N$578)</f>
        <v>#VALUE!</v>
      </c>
      <c r="I8" s="15" t="e">
        <f>SUMIF('[4]2.报价结算清单'!$F$2:$F$578,A8,'[4]2.报价结算清单'!$P$2:$P$578)</f>
        <v>#VALUE!</v>
      </c>
    </row>
    <row r="9" spans="1:9">
      <c r="A9" s="7" t="s">
        <v>2640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SUMIF('[4]2.报价结算清单'!$F$2:$F$578,$A9,'[4]2.报价结算清单'!$L$2:$L$578)</f>
        <v>#VALUE!</v>
      </c>
      <c r="H9" s="13" t="e">
        <f>SUMIF('[4]2.报价结算清单'!$F$2:$F$578,$A9,'[4]2.报价结算清单'!$N$2:$N$578)</f>
        <v>#VALUE!</v>
      </c>
      <c r="I9" s="15" t="e">
        <f>SUMIF('[4]2.报价结算清单'!$F$2:$F$578,A9,'[4]2.报价结算清单'!$P$2:$P$578)</f>
        <v>#VALUE!</v>
      </c>
    </row>
    <row r="10" spans="1:9">
      <c r="A10" s="7" t="s">
        <v>2641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SUMIF('[4]2.报价结算清单'!$F$2:$F$578,$A10,'[4]2.报价结算清单'!$L$2:$L$578)</f>
        <v>#VALUE!</v>
      </c>
      <c r="H10" s="13" t="e">
        <f>SUMIF('[4]2.报价结算清单'!$F$2:$F$578,$A10,'[4]2.报价结算清单'!$N$2:$N$578)</f>
        <v>#VALUE!</v>
      </c>
      <c r="I10" s="15" t="e">
        <f>SUMIF('[4]2.报价结算清单'!$F$2:$F$578,A10,'[4]2.报价结算清单'!$P$2:$P$578)</f>
        <v>#VALUE!</v>
      </c>
    </row>
    <row r="11" spans="1:9">
      <c r="A11" s="7" t="s">
        <v>2642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SUMIF('[4]2.报价结算清单'!$F$2:$F$578,$A11,'[4]2.报价结算清单'!$L$2:$L$578)</f>
        <v>#VALUE!</v>
      </c>
      <c r="H11" s="13" t="e">
        <f>SUMIF('[4]2.报价结算清单'!$F$2:$F$578,$A11,'[4]2.报价结算清单'!$N$2:$N$578)</f>
        <v>#VALUE!</v>
      </c>
      <c r="I11" s="15" t="e">
        <f>SUMIF('[4]2.报价结算清单'!$F$2:$F$578,A11,'[4]2.报价结算清单'!$P$2:$P$578)</f>
        <v>#VALUE!</v>
      </c>
    </row>
    <row r="12" spans="1:9">
      <c r="A12" s="7" t="s">
        <v>2643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SUMIF('[4]2.报价结算清单'!$F$2:$F$578,$A12,'[4]2.报价结算清单'!$L$2:$L$578)</f>
        <v>#VALUE!</v>
      </c>
      <c r="H12" s="13" t="e">
        <f>SUMIF('[4]2.报价结算清单'!$F$2:$F$578,$A12,'[4]2.报价结算清单'!$N$2:$N$578)</f>
        <v>#VALUE!</v>
      </c>
      <c r="I12" s="15" t="e">
        <f>SUMIF('[4]2.报价结算清单'!$F$2:$F$578,A12,'[4]2.报价结算清单'!$P$2:$P$578)</f>
        <v>#VALUE!</v>
      </c>
    </row>
    <row r="13" spans="1:9">
      <c r="A13" s="7" t="s">
        <v>2644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SUMIF('[4]2.报价结算清单'!$F$2:$F$578,$A13,'[4]2.报价结算清单'!$L$2:$L$578)</f>
        <v>#VALUE!</v>
      </c>
      <c r="H13" s="13" t="e">
        <f>SUMIF('[4]2.报价结算清单'!$F$2:$F$578,$A13,'[4]2.报价结算清单'!$N$2:$N$578)</f>
        <v>#VALUE!</v>
      </c>
      <c r="I13" s="15" t="e">
        <f>SUMIF('[4]2.报价结算清单'!$F$2:$F$578,A13,'[4]2.报价结算清单'!$P$2:$P$578)</f>
        <v>#VALUE!</v>
      </c>
    </row>
    <row r="14" spans="1:9">
      <c r="A14" s="7" t="s">
        <v>2645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SUMIF('[4]2.报价结算清单'!$F$2:$F$578,$A14,'[4]2.报价结算清单'!$L$2:$L$578)</f>
        <v>#VALUE!</v>
      </c>
      <c r="H14" s="13" t="e">
        <f>SUMIF('[4]2.报价结算清单'!$F$2:$F$578,$A14,'[4]2.报价结算清单'!$N$2:$N$578)</f>
        <v>#VALUE!</v>
      </c>
      <c r="I14" s="15" t="e">
        <f>SUMIF('[4]2.报价结算清单'!$F$2:$F$578,A14,'[4]2.报价结算清单'!$P$2:$P$578)</f>
        <v>#VALUE!</v>
      </c>
    </row>
    <row r="15" spans="1:9">
      <c r="A15" s="7" t="s">
        <v>2646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SUMIF('[4]2.报价结算清单'!$F$2:$F$578,$A15,'[4]2.报价结算清单'!$L$2:$L$578)</f>
        <v>#VALUE!</v>
      </c>
      <c r="H15" s="13" t="e">
        <f>SUMIF('[4]2.报价结算清单'!$F$2:$F$578,$A15,'[4]2.报价结算清单'!$N$2:$N$578)</f>
        <v>#VALUE!</v>
      </c>
      <c r="I15" s="15" t="e">
        <f>SUMIF('[4]2.报价结算清单'!$F$2:$F$578,A15,'[4]2.报价结算清单'!$P$2:$P$578)</f>
        <v>#VALUE!</v>
      </c>
    </row>
    <row r="16" spans="1:9">
      <c r="A16" s="7" t="s">
        <v>2647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SUMIF('[4]2.报价结算清单'!$F$2:$F$578,$A16,'[4]2.报价结算清单'!$L$2:$L$578)</f>
        <v>#VALUE!</v>
      </c>
      <c r="H16" s="13" t="e">
        <f>SUMIF('[4]2.报价结算清单'!$F$2:$F$578,$A16,'[4]2.报价结算清单'!$N$2:$N$578)</f>
        <v>#VALUE!</v>
      </c>
      <c r="I16" s="15" t="e">
        <f>SUMIF('[4]2.报价结算清单'!$F$2:$F$578,A16,'[4]2.报价结算清单'!$P$2:$P$578)</f>
        <v>#VALUE!</v>
      </c>
    </row>
    <row r="17" spans="1:9">
      <c r="A17" s="7" t="s">
        <v>2648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SUMIF('[4]2.报价结算清单'!$F$2:$F$578,$A17,'[4]2.报价结算清单'!$L$2:$L$578)</f>
        <v>#VALUE!</v>
      </c>
      <c r="H17" s="13" t="e">
        <f>SUMIF('[4]2.报价结算清单'!$F$2:$F$578,$A17,'[4]2.报价结算清单'!$N$2:$N$578)</f>
        <v>#VALUE!</v>
      </c>
      <c r="I17" s="15" t="e">
        <f>SUMIF('[4]2.报价结算清单'!$F$2:$F$578,A17,'[4]2.报价结算清单'!$P$2:$P$578)</f>
        <v>#VALUE!</v>
      </c>
    </row>
    <row r="18" spans="1:9">
      <c r="A18" s="7" t="s">
        <v>2649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SUMIF('[4]2.报价结算清单'!$F$2:$F$578,$A18,'[4]2.报价结算清单'!$L$2:$L$578)</f>
        <v>#VALUE!</v>
      </c>
      <c r="H18" s="13" t="e">
        <f>SUMIF('[4]2.报价结算清单'!$F$2:$F$578,$A18,'[4]2.报价结算清单'!$N$2:$N$578)</f>
        <v>#VALUE!</v>
      </c>
      <c r="I18" s="15" t="e">
        <f>SUMIF('[4]2.报价结算清单'!$F$2:$F$578,A18,'[4]2.报价结算清单'!$P$2:$P$578)</f>
        <v>#VALUE!</v>
      </c>
    </row>
    <row r="19" spans="1:9">
      <c r="A19" s="7" t="s">
        <v>2650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SUMIF('[4]2.报价结算清单'!$F$2:$F$578,$A19,'[4]2.报价结算清单'!$L$2:$L$578)</f>
        <v>#VALUE!</v>
      </c>
      <c r="H19" s="13" t="e">
        <f>SUMIF('[4]2.报价结算清单'!$F$2:$F$578,$A19,'[4]2.报价结算清单'!$N$2:$N$578)</f>
        <v>#VALUE!</v>
      </c>
      <c r="I19" s="15" t="e">
        <f>SUMIF('[4]2.报价结算清单'!$F$2:$F$578,A19,'[4]2.报价结算清单'!$P$2:$P$578)</f>
        <v>#VALUE!</v>
      </c>
    </row>
    <row r="20" spans="1:9">
      <c r="A20" s="7" t="s">
        <v>2651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SUMIF('[4]2.报价结算清单'!$F$2:$F$578,$A20,'[4]2.报价结算清单'!$L$2:$L$578)</f>
        <v>#VALUE!</v>
      </c>
      <c r="H20" s="13" t="e">
        <f>SUMIF('[4]2.报价结算清单'!$F$2:$F$578,$A20,'[4]2.报价结算清单'!$N$2:$N$578)</f>
        <v>#VALUE!</v>
      </c>
      <c r="I20" s="15" t="e">
        <f>SUMIF('[4]2.报价结算清单'!$F$2:$F$578,A20,'[4]2.报价结算清单'!$P$2:$P$578)</f>
        <v>#VALUE!</v>
      </c>
    </row>
    <row r="21" spans="1:9">
      <c r="A21" s="7" t="s">
        <v>2652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SUMIF('[4]2.报价结算清单'!$F$2:$F$578,$A21,'[4]2.报价结算清单'!$L$2:$L$578)</f>
        <v>#VALUE!</v>
      </c>
      <c r="H21" s="13" t="e">
        <f>SUMIF('[4]2.报价结算清单'!$F$2:$F$578,$A21,'[4]2.报价结算清单'!$N$2:$N$578)</f>
        <v>#VALUE!</v>
      </c>
      <c r="I21" s="15" t="e">
        <f>SUMIF('[4]2.报价结算清单'!$F$2:$F$578,A21,'[4]2.报价结算清单'!$P$2:$P$578)</f>
        <v>#VALUE!</v>
      </c>
    </row>
    <row r="22" spans="1:9">
      <c r="A22" s="7" t="s">
        <v>2653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SUMIF('[4]2.报价结算清单'!$F$2:$F$578,$A22,'[4]2.报价结算清单'!$L$2:$L$578)</f>
        <v>#VALUE!</v>
      </c>
      <c r="H22" s="13" t="e">
        <f>SUMIF('[4]2.报价结算清单'!$F$2:$F$578,$A22,'[4]2.报价结算清单'!$N$2:$N$578)</f>
        <v>#VALUE!</v>
      </c>
      <c r="I22" s="15" t="e">
        <f>SUMIF('[4]2.报价结算清单'!$F$2:$F$578,A22,'[4]2.报价结算清单'!$P$2:$P$578)</f>
        <v>#VALUE!</v>
      </c>
    </row>
    <row r="23" spans="1:9">
      <c r="A23" s="7" t="s">
        <v>2654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SUMIF('[4]2.报价结算清单'!$F$2:$F$578,$A23,'[4]2.报价结算清单'!$L$2:$L$578)</f>
        <v>#VALUE!</v>
      </c>
      <c r="H23" s="13" t="e">
        <f>SUMIF('[4]2.报价结算清单'!$F$2:$F$578,$A23,'[4]2.报价结算清单'!$N$2:$N$578)</f>
        <v>#VALUE!</v>
      </c>
      <c r="I23" s="15" t="e">
        <f>SUMIF('[4]2.报价结算清单'!$F$2:$F$578,A23,'[4]2.报价结算清单'!$P$2:$P$578)</f>
        <v>#VALUE!</v>
      </c>
    </row>
    <row r="24" spans="1:9">
      <c r="A24" s="7" t="s">
        <v>2655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SUMIF('[4]2.报价结算清单'!$F$2:$F$578,$A24,'[4]2.报价结算清单'!$L$2:$L$578)</f>
        <v>#VALUE!</v>
      </c>
      <c r="H24" s="13" t="e">
        <f>SUMIF('[4]2.报价结算清单'!$F$2:$F$578,$A24,'[4]2.报价结算清单'!$N$2:$N$578)</f>
        <v>#VALUE!</v>
      </c>
      <c r="I24" s="15" t="e">
        <f>SUMIF('[4]2.报价结算清单'!$F$2:$F$578,A24,'[4]2.报价结算清单'!$P$2:$P$578)</f>
        <v>#VALUE!</v>
      </c>
    </row>
    <row r="25" spans="1:9">
      <c r="A25" s="7" t="s">
        <v>2656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SUMIF('[4]2.报价结算清单'!$F$2:$F$578,$A25,'[4]2.报价结算清单'!$L$2:$L$578)</f>
        <v>#VALUE!</v>
      </c>
      <c r="H25" s="13" t="e">
        <f>SUMIF('[4]2.报价结算清单'!$F$2:$F$578,$A25,'[4]2.报价结算清单'!$N$2:$N$578)</f>
        <v>#VALUE!</v>
      </c>
      <c r="I25" s="15" t="e">
        <f>SUMIF('[4]2.报价结算清单'!$F$2:$F$578,A25,'[4]2.报价结算清单'!$P$2:$P$578)</f>
        <v>#VALUE!</v>
      </c>
    </row>
    <row r="26" spans="1:9">
      <c r="A26" s="7" t="s">
        <v>2430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SUMIF('[4]2.报价结算清单'!$F$2:$F$578,$A26,'[4]2.报价结算清单'!$L$2:$L$578)</f>
        <v>#VALUE!</v>
      </c>
      <c r="H26" s="13" t="e">
        <f>SUMIF('[4]2.报价结算清单'!$F$2:$F$578,$A26,'[4]2.报价结算清单'!$N$2:$N$578)</f>
        <v>#VALUE!</v>
      </c>
      <c r="I26" s="15" t="e">
        <f>SUMIF('[4]2.报价结算清单'!$F$2:$F$578,A26,'[4]2.报价结算清单'!$P$2:$P$578)</f>
        <v>#VALUE!</v>
      </c>
    </row>
    <row r="27" spans="1:9">
      <c r="A27" s="7" t="s">
        <v>2657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SUMIF('[4]2.报价结算清单'!$F$2:$F$578,$A27,'[4]2.报价结算清单'!$L$2:$L$578)</f>
        <v>#VALUE!</v>
      </c>
      <c r="H27" s="13" t="e">
        <f>SUMIF('[4]2.报价结算清单'!$F$2:$F$578,$A27,'[4]2.报价结算清单'!$N$2:$N$578)</f>
        <v>#VALUE!</v>
      </c>
      <c r="I27" s="15" t="e">
        <f>SUMIF('[4]2.报价结算清单'!$F$2:$F$578,A27,'[4]2.报价结算清单'!$P$2:$P$578)</f>
        <v>#VALUE!</v>
      </c>
    </row>
    <row r="28" spans="1:9">
      <c r="A28" s="7" t="s">
        <v>2658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SUMIF('[4]2.报价结算清单'!$F$2:$F$578,$A28,'[4]2.报价结算清单'!$L$2:$L$578)</f>
        <v>#VALUE!</v>
      </c>
      <c r="H28" s="13" t="e">
        <f>SUMIF('[4]2.报价结算清单'!$F$2:$F$578,$A28,'[4]2.报价结算清单'!$N$2:$N$578)</f>
        <v>#VALUE!</v>
      </c>
      <c r="I28" s="15" t="e">
        <f>SUMIF('[4]2.报价结算清单'!$F$2:$F$578,A28,'[4]2.报价结算清单'!$P$2:$P$578)</f>
        <v>#VALUE!</v>
      </c>
    </row>
    <row r="29" spans="1:9">
      <c r="A29" s="7" t="s">
        <v>2659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SUMIF('[4]2.报价结算清单'!$F$2:$F$578,$A29,'[4]2.报价结算清单'!$L$2:$L$578)</f>
        <v>#VALUE!</v>
      </c>
      <c r="H29" s="13" t="e">
        <f>SUMIF('[4]2.报价结算清单'!$F$2:$F$578,$A29,'[4]2.报价结算清单'!$N$2:$N$578)</f>
        <v>#VALUE!</v>
      </c>
      <c r="I29" s="15" t="e">
        <f>SUMIF('[4]2.报价结算清单'!$F$2:$F$578,A29,'[4]2.报价结算清单'!$P$2:$P$578)</f>
        <v>#VALUE!</v>
      </c>
    </row>
    <row r="30" spans="1:9">
      <c r="A30" s="7" t="s">
        <v>2660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SUMIF('[4]2.报价结算清单'!$F$2:$F$578,$A30,'[4]2.报价结算清单'!$L$2:$L$578)</f>
        <v>#VALUE!</v>
      </c>
      <c r="H30" s="13" t="e">
        <f>SUMIF('[4]2.报价结算清单'!$F$2:$F$578,$A30,'[4]2.报价结算清单'!$N$2:$N$578)</f>
        <v>#VALUE!</v>
      </c>
      <c r="I30" s="15" t="e">
        <f>SUMIF('[4]2.报价结算清单'!$F$2:$F$578,A30,'[4]2.报价结算清单'!$P$2:$P$578)</f>
        <v>#VALUE!</v>
      </c>
    </row>
    <row r="31" spans="1:9">
      <c r="A31" s="7" t="s">
        <v>2413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SUMIF('[4]2.报价结算清单'!$F$2:$F$578,$A31,'[4]2.报价结算清单'!$L$2:$L$578)</f>
        <v>#VALUE!</v>
      </c>
      <c r="H31" s="13" t="e">
        <f>SUMIF('[4]2.报价结算清单'!$F$2:$F$578,$A31,'[4]2.报价结算清单'!$N$2:$N$578)</f>
        <v>#VALUE!</v>
      </c>
      <c r="I31" s="15" t="e">
        <f>SUMIF('[4]2.报价结算清单'!$F$2:$F$578,A31,'[4]2.报价结算清单'!$P$2:$P$578)</f>
        <v>#VALUE!</v>
      </c>
    </row>
    <row r="32" spans="1:9">
      <c r="A32" s="7" t="s">
        <v>2661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SUMIF('[4]2.报价结算清单'!$F$2:$F$578,$A32,'[4]2.报价结算清单'!$L$2:$L$578)</f>
        <v>#VALUE!</v>
      </c>
      <c r="H32" s="13" t="e">
        <f>SUMIF('[4]2.报价结算清单'!$F$2:$F$578,$A32,'[4]2.报价结算清单'!$N$2:$N$578)</f>
        <v>#VALUE!</v>
      </c>
      <c r="I32" s="15" t="e">
        <f>SUMIF('[4]2.报价结算清单'!$F$2:$F$578,A32,'[4]2.报价结算清单'!$P$2:$P$578)</f>
        <v>#VALUE!</v>
      </c>
    </row>
    <row r="33" spans="1:9">
      <c r="A33" s="7" t="s">
        <v>2433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SUMIF('[4]2.报价结算清单'!$F$2:$F$578,$A33,'[4]2.报价结算清单'!$L$2:$L$578)</f>
        <v>#VALUE!</v>
      </c>
      <c r="H33" s="13" t="e">
        <f>SUMIF('[4]2.报价结算清单'!$F$2:$F$578,$A33,'[4]2.报价结算清单'!$N$2:$N$578)</f>
        <v>#VALUE!</v>
      </c>
      <c r="I33" s="15" t="e">
        <f>SUMIF('[4]2.报价结算清单'!$F$2:$F$578,A33,'[4]2.报价结算清单'!$P$2:$P$578)</f>
        <v>#VALUE!</v>
      </c>
    </row>
    <row r="34" spans="1:9">
      <c r="A34" s="7" t="s">
        <v>2662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SUMIF('[4]2.报价结算清单'!$F$2:$F$578,$A34,'[4]2.报价结算清单'!$L$2:$L$578)</f>
        <v>#VALUE!</v>
      </c>
      <c r="H34" s="13" t="e">
        <f>SUMIF('[4]2.报价结算清单'!$F$2:$F$578,$A34,'[4]2.报价结算清单'!$N$2:$N$578)</f>
        <v>#VALUE!</v>
      </c>
      <c r="I34" s="15" t="e">
        <f>SUMIF('[4]2.报价结算清单'!$F$2:$F$578,A34,'[4]2.报价结算清单'!$P$2:$P$578)</f>
        <v>#VALUE!</v>
      </c>
    </row>
    <row r="35" spans="1:9">
      <c r="A35" s="7" t="s">
        <v>2663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SUMIF('[4]2.报价结算清单'!$F$2:$F$578,$A35,'[4]2.报价结算清单'!$L$2:$L$578)</f>
        <v>#VALUE!</v>
      </c>
      <c r="H35" s="13" t="e">
        <f>SUMIF('[4]2.报价结算清单'!$F$2:$F$578,$A35,'[4]2.报价结算清单'!$N$2:$N$578)</f>
        <v>#VALUE!</v>
      </c>
      <c r="I35" s="15" t="e">
        <f>SUMIF('[4]2.报价结算清单'!$F$2:$F$578,A35,'[4]2.报价结算清单'!$P$2:$P$578)</f>
        <v>#VALUE!</v>
      </c>
    </row>
    <row r="36" spans="1:9">
      <c r="A36" s="7" t="s">
        <v>2664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SUMIF('[4]2.报价结算清单'!$F$2:$F$578,$A36,'[4]2.报价结算清单'!$L$2:$L$578)</f>
        <v>#VALUE!</v>
      </c>
      <c r="H36" s="13" t="e">
        <f>SUMIF('[4]2.报价结算清单'!$F$2:$F$578,$A36,'[4]2.报价结算清单'!$N$2:$N$578)</f>
        <v>#VALUE!</v>
      </c>
      <c r="I36" s="15" t="e">
        <f>SUMIF('[4]2.报价结算清单'!$F$2:$F$578,A36,'[4]2.报价结算清单'!$P$2:$P$578)</f>
        <v>#VALUE!</v>
      </c>
    </row>
    <row r="37" spans="1:9">
      <c r="A37" s="7" t="s">
        <v>2665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SUMIF('[4]2.报价结算清单'!$F$2:$F$578,$A37,'[4]2.报价结算清单'!$L$2:$L$578)</f>
        <v>#VALUE!</v>
      </c>
      <c r="H37" s="13" t="e">
        <f>SUMIF('[4]2.报价结算清单'!$F$2:$F$578,$A37,'[4]2.报价结算清单'!$N$2:$N$578)</f>
        <v>#VALUE!</v>
      </c>
      <c r="I37" s="15" t="e">
        <f>SUMIF('[4]2.报价结算清单'!$F$2:$F$578,A37,'[4]2.报价结算清单'!$P$2:$P$578)</f>
        <v>#VALUE!</v>
      </c>
    </row>
    <row r="38" spans="1:9">
      <c r="A38" s="7" t="s">
        <v>2666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SUMIF('[4]2.报价结算清单'!$F$2:$F$578,$A38,'[4]2.报价结算清单'!$L$2:$L$578)</f>
        <v>#VALUE!</v>
      </c>
      <c r="H38" s="13" t="e">
        <f>SUMIF('[4]2.报价结算清单'!$F$2:$F$578,$A38,'[4]2.报价结算清单'!$N$2:$N$578)</f>
        <v>#VALUE!</v>
      </c>
      <c r="I38" s="15" t="e">
        <f>SUMIF('[4]2.报价结算清单'!$F$2:$F$578,A38,'[4]2.报价结算清单'!$P$2:$P$578)</f>
        <v>#VALUE!</v>
      </c>
    </row>
    <row r="39" spans="1:9">
      <c r="A39" s="7" t="s">
        <v>2667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SUMIF('[4]2.报价结算清单'!$F$2:$F$578,$A39,'[4]2.报价结算清单'!$L$2:$L$578)</f>
        <v>#VALUE!</v>
      </c>
      <c r="H39" s="13" t="e">
        <f>SUMIF('[4]2.报价结算清单'!$F$2:$F$578,$A39,'[4]2.报价结算清单'!$N$2:$N$578)</f>
        <v>#VALUE!</v>
      </c>
      <c r="I39" s="15" t="e">
        <f>SUMIF('[4]2.报价结算清单'!$F$2:$F$578,A39,'[4]2.报价结算清单'!$P$2:$P$578)</f>
        <v>#VALUE!</v>
      </c>
    </row>
    <row r="40" spans="1:9">
      <c r="A40" s="7" t="s">
        <v>2668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SUMIF('[4]2.报价结算清单'!$F$2:$F$578,$A40,'[4]2.报价结算清单'!$L$2:$L$578)</f>
        <v>#VALUE!</v>
      </c>
      <c r="H40" s="13" t="e">
        <f>SUMIF('[4]2.报价结算清单'!$F$2:$F$578,$A40,'[4]2.报价结算清单'!$N$2:$N$578)</f>
        <v>#VALUE!</v>
      </c>
      <c r="I40" s="15" t="e">
        <f>SUMIF('[4]2.报价结算清单'!$F$2:$F$578,A40,'[4]2.报价结算清单'!$P$2:$P$578)</f>
        <v>#VALUE!</v>
      </c>
    </row>
    <row r="41" spans="1:9">
      <c r="A41" s="7" t="s">
        <v>2669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SUMIF('[4]2.报价结算清单'!$F$2:$F$578,$A41,'[4]2.报价结算清单'!$L$2:$L$578)</f>
        <v>#VALUE!</v>
      </c>
      <c r="H41" s="13" t="e">
        <f>SUMIF('[4]2.报价结算清单'!$F$2:$F$578,$A41,'[4]2.报价结算清单'!$N$2:$N$578)</f>
        <v>#VALUE!</v>
      </c>
      <c r="I41" s="15" t="e">
        <f>SUMIF('[4]2.报价结算清单'!$F$2:$F$578,A41,'[4]2.报价结算清单'!$P$2:$P$578)</f>
        <v>#VALUE!</v>
      </c>
    </row>
    <row r="42" spans="1:9">
      <c r="A42" s="7" t="s">
        <v>2670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SUMIF('[4]2.报价结算清单'!$F$2:$F$578,$A42,'[4]2.报价结算清单'!$L$2:$L$578)</f>
        <v>#VALUE!</v>
      </c>
      <c r="H42" s="13" t="e">
        <f>SUMIF('[4]2.报价结算清单'!$F$2:$F$578,$A42,'[4]2.报价结算清单'!$N$2:$N$578)</f>
        <v>#VALUE!</v>
      </c>
      <c r="I42" s="15" t="e">
        <f>SUMIF('[4]2.报价结算清单'!$F$2:$F$578,A42,'[4]2.报价结算清单'!$P$2:$P$578)</f>
        <v>#VALUE!</v>
      </c>
    </row>
    <row r="43" spans="1:9">
      <c r="A43" s="7" t="s">
        <v>2671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SUMIF('[4]2.报价结算清单'!$F$2:$F$578,$A43,'[4]2.报价结算清单'!$L$2:$L$578)</f>
        <v>#VALUE!</v>
      </c>
      <c r="H43" s="13" t="e">
        <f>SUMIF('[4]2.报价结算清单'!$F$2:$F$578,$A43,'[4]2.报价结算清单'!$N$2:$N$578)</f>
        <v>#VALUE!</v>
      </c>
      <c r="I43" s="15" t="e">
        <f>SUMIF('[4]2.报价结算清单'!$F$2:$F$578,A43,'[4]2.报价结算清单'!$P$2:$P$578)</f>
        <v>#VALUE!</v>
      </c>
    </row>
    <row r="44" spans="1:9">
      <c r="A44" s="7" t="s">
        <v>2672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SUMIF('[4]2.报价结算清单'!$F$2:$F$578,$A44,'[4]2.报价结算清单'!$L$2:$L$578)</f>
        <v>#VALUE!</v>
      </c>
      <c r="H44" s="13" t="e">
        <f>SUMIF('[4]2.报价结算清单'!$F$2:$F$578,$A44,'[4]2.报价结算清单'!$N$2:$N$578)</f>
        <v>#VALUE!</v>
      </c>
      <c r="I44" s="15" t="e">
        <f>SUMIF('[4]2.报价结算清单'!$F$2:$F$578,A44,'[4]2.报价结算清单'!$P$2:$P$578)</f>
        <v>#VALUE!</v>
      </c>
    </row>
    <row r="45" spans="1:9">
      <c r="A45" s="7" t="s">
        <v>2673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SUMIF('[4]2.报价结算清单'!$F$2:$F$578,$A45,'[4]2.报价结算清单'!$L$2:$L$578)</f>
        <v>#VALUE!</v>
      </c>
      <c r="H45" s="13" t="e">
        <f>SUMIF('[4]2.报价结算清单'!$F$2:$F$578,$A45,'[4]2.报价结算清单'!$N$2:$N$578)</f>
        <v>#VALUE!</v>
      </c>
      <c r="I45" s="15" t="e">
        <f>SUMIF('[4]2.报价结算清单'!$F$2:$F$578,A45,'[4]2.报价结算清单'!$P$2:$P$578)</f>
        <v>#VALUE!</v>
      </c>
    </row>
    <row r="46" spans="1:9">
      <c r="A46" s="7" t="s">
        <v>2674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SUMIF('[4]2.报价结算清单'!$F$2:$F$578,$A46,'[4]2.报价结算清单'!$L$2:$L$578)</f>
        <v>#VALUE!</v>
      </c>
      <c r="H46" s="13" t="e">
        <f>SUMIF('[4]2.报价结算清单'!$F$2:$F$578,$A46,'[4]2.报价结算清单'!$N$2:$N$578)</f>
        <v>#VALUE!</v>
      </c>
      <c r="I46" s="15" t="e">
        <f>SUMIF('[4]2.报价结算清单'!$F$2:$F$578,A46,'[4]2.报价结算清单'!$P$2:$P$578)</f>
        <v>#VALUE!</v>
      </c>
    </row>
    <row r="47" spans="1:9">
      <c r="A47" s="7" t="s">
        <v>2675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SUMIF('[4]2.报价结算清单'!$F$2:$F$578,$A47,'[4]2.报价结算清单'!$L$2:$L$578)</f>
        <v>#VALUE!</v>
      </c>
      <c r="H47" s="13" t="e">
        <f>SUMIF('[4]2.报价结算清单'!$F$2:$F$578,$A47,'[4]2.报价结算清单'!$N$2:$N$578)</f>
        <v>#VALUE!</v>
      </c>
      <c r="I47" s="15" t="e">
        <f>SUMIF('[4]2.报价结算清单'!$F$2:$F$578,A47,'[4]2.报价结算清单'!$P$2:$P$578)</f>
        <v>#VALUE!</v>
      </c>
    </row>
    <row r="48" spans="1:9">
      <c r="A48" s="7" t="s">
        <v>2676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SUMIF('[4]2.报价结算清单'!$F$2:$F$578,$A48,'[4]2.报价结算清单'!$L$2:$L$578)</f>
        <v>#VALUE!</v>
      </c>
      <c r="H48" s="13" t="e">
        <f>SUMIF('[4]2.报价结算清单'!$F$2:$F$578,$A48,'[4]2.报价结算清单'!$N$2:$N$578)</f>
        <v>#VALUE!</v>
      </c>
      <c r="I48" s="15" t="e">
        <f>SUMIF('[4]2.报价结算清单'!$F$2:$F$578,A48,'[4]2.报价结算清单'!$P$2:$P$578)</f>
        <v>#VALUE!</v>
      </c>
    </row>
    <row r="49" spans="1:9">
      <c r="A49" s="7" t="s">
        <v>2677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SUMIF('[4]2.报价结算清单'!$F$2:$F$578,$A49,'[4]2.报价结算清单'!$L$2:$L$578)</f>
        <v>#VALUE!</v>
      </c>
      <c r="H49" s="13" t="e">
        <f>SUMIF('[4]2.报价结算清单'!$F$2:$F$578,$A49,'[4]2.报价结算清单'!$N$2:$N$578)</f>
        <v>#VALUE!</v>
      </c>
      <c r="I49" s="15" t="e">
        <f>SUMIF('[4]2.报价结算清单'!$F$2:$F$578,A49,'[4]2.报价结算清单'!$P$2:$P$578)</f>
        <v>#VALUE!</v>
      </c>
    </row>
    <row r="50" spans="1:9">
      <c r="A50" s="7" t="s">
        <v>2678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SUMIF('[4]2.报价结算清单'!$F$2:$F$578,$A50,'[4]2.报价结算清单'!$L$2:$L$578)</f>
        <v>#VALUE!</v>
      </c>
      <c r="H50" s="13" t="e">
        <f>SUMIF('[4]2.报价结算清单'!$F$2:$F$578,$A50,'[4]2.报价结算清单'!$N$2:$N$578)</f>
        <v>#VALUE!</v>
      </c>
      <c r="I50" s="15" t="e">
        <f>SUMIF('[4]2.报价结算清单'!$F$2:$F$578,A50,'[4]2.报价结算清单'!$P$2:$P$578)</f>
        <v>#VALUE!</v>
      </c>
    </row>
    <row r="51" spans="1:9">
      <c r="A51" s="7" t="s">
        <v>2679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SUMIF('[4]2.报价结算清单'!$F$2:$F$578,$A51,'[4]2.报价结算清单'!$L$2:$L$578)</f>
        <v>#VALUE!</v>
      </c>
      <c r="H51" s="13" t="e">
        <f>SUMIF('[4]2.报价结算清单'!$F$2:$F$578,$A51,'[4]2.报价结算清单'!$N$2:$N$578)</f>
        <v>#VALUE!</v>
      </c>
      <c r="I51" s="15" t="e">
        <f>SUMIF('[4]2.报价结算清单'!$F$2:$F$578,A51,'[4]2.报价结算清单'!$P$2:$P$578)</f>
        <v>#VALUE!</v>
      </c>
    </row>
    <row r="52" spans="1:9">
      <c r="A52" s="7" t="s">
        <v>2680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SUMIF('[4]2.报价结算清单'!$F$2:$F$578,$A52,'[4]2.报价结算清单'!$L$2:$L$578)</f>
        <v>#VALUE!</v>
      </c>
      <c r="H52" s="13" t="e">
        <f>SUMIF('[4]2.报价结算清单'!$F$2:$F$578,$A52,'[4]2.报价结算清单'!$N$2:$N$578)</f>
        <v>#VALUE!</v>
      </c>
      <c r="I52" s="15" t="e">
        <f>SUMIF('[4]2.报价结算清单'!$F$2:$F$578,A52,'[4]2.报价结算清单'!$P$2:$P$578)</f>
        <v>#VALUE!</v>
      </c>
    </row>
    <row r="53" spans="1:9">
      <c r="A53" s="7" t="s">
        <v>2681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SUMIF('[4]2.报价结算清单'!$F$2:$F$578,$A53,'[4]2.报价结算清单'!$L$2:$L$578)</f>
        <v>#VALUE!</v>
      </c>
      <c r="H53" s="13" t="e">
        <f>SUMIF('[4]2.报价结算清单'!$F$2:$F$578,$A53,'[4]2.报价结算清单'!$N$2:$N$578)</f>
        <v>#VALUE!</v>
      </c>
      <c r="I53" s="15" t="e">
        <f>SUMIF('[4]2.报价结算清单'!$F$2:$F$578,A53,'[4]2.报价结算清单'!$P$2:$P$578)</f>
        <v>#VALUE!</v>
      </c>
    </row>
    <row r="54" spans="1:9">
      <c r="A54" s="7" t="s">
        <v>2682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SUMIF('[4]2.报价结算清单'!$F$2:$F$578,$A54,'[4]2.报价结算清单'!$L$2:$L$578)</f>
        <v>#VALUE!</v>
      </c>
      <c r="H54" s="13" t="e">
        <f>SUMIF('[4]2.报价结算清单'!$F$2:$F$578,$A54,'[4]2.报价结算清单'!$N$2:$N$578)</f>
        <v>#VALUE!</v>
      </c>
      <c r="I54" s="15" t="e">
        <f>SUMIF('[4]2.报价结算清单'!$F$2:$F$578,A54,'[4]2.报价结算清单'!$P$2:$P$578)</f>
        <v>#VALUE!</v>
      </c>
    </row>
    <row r="55" spans="1:9">
      <c r="A55" s="7" t="s">
        <v>2683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SUMIF('[4]2.报价结算清单'!$F$2:$F$578,$A55,'[4]2.报价结算清单'!$L$2:$L$578)</f>
        <v>#VALUE!</v>
      </c>
      <c r="H55" s="13" t="e">
        <f>SUMIF('[4]2.报价结算清单'!$F$2:$F$578,$A55,'[4]2.报价结算清单'!$N$2:$N$578)</f>
        <v>#VALUE!</v>
      </c>
      <c r="I55" s="15" t="e">
        <f>SUMIF('[4]2.报价结算清单'!$F$2:$F$578,A55,'[4]2.报价结算清单'!$P$2:$P$578)</f>
        <v>#VALUE!</v>
      </c>
    </row>
    <row r="56" spans="1:9">
      <c r="A56" s="7" t="s">
        <v>2684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SUMIF('[4]2.报价结算清单'!$F$2:$F$578,$A56,'[4]2.报价结算清单'!$L$2:$L$578)</f>
        <v>#VALUE!</v>
      </c>
      <c r="H56" s="13" t="e">
        <f>SUMIF('[4]2.报价结算清单'!$F$2:$F$578,$A56,'[4]2.报价结算清单'!$N$2:$N$578)</f>
        <v>#VALUE!</v>
      </c>
      <c r="I56" s="15" t="e">
        <f>SUMIF('[4]2.报价结算清单'!$F$2:$F$578,A56,'[4]2.报价结算清单'!$P$2:$P$578)</f>
        <v>#VALUE!</v>
      </c>
    </row>
    <row r="57" spans="1:9">
      <c r="A57" s="7" t="s">
        <v>2685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SUMIF('[4]2.报价结算清单'!$F$2:$F$578,$A57,'[4]2.报价结算清单'!$L$2:$L$578)</f>
        <v>#VALUE!</v>
      </c>
      <c r="H57" s="13" t="e">
        <f>SUMIF('[4]2.报价结算清单'!$F$2:$F$578,$A57,'[4]2.报价结算清单'!$N$2:$N$578)</f>
        <v>#VALUE!</v>
      </c>
      <c r="I57" s="15" t="e">
        <f>SUMIF('[4]2.报价结算清单'!$F$2:$F$578,A57,'[4]2.报价结算清单'!$P$2:$P$578)</f>
        <v>#VALUE!</v>
      </c>
    </row>
    <row r="58" spans="1:9">
      <c r="A58" s="7" t="s">
        <v>2686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SUMIF('[4]2.报价结算清单'!$F$2:$F$578,$A58,'[4]2.报价结算清单'!$L$2:$L$578)</f>
        <v>#VALUE!</v>
      </c>
      <c r="H58" s="13" t="e">
        <f>SUMIF('[4]2.报价结算清单'!$F$2:$F$578,$A58,'[4]2.报价结算清单'!$N$2:$N$578)</f>
        <v>#VALUE!</v>
      </c>
      <c r="I58" s="15" t="e">
        <f>SUMIF('[4]2.报价结算清单'!$F$2:$F$578,A58,'[4]2.报价结算清单'!$P$2:$P$578)</f>
        <v>#VALUE!</v>
      </c>
    </row>
    <row r="59" spans="1:9">
      <c r="A59" s="7" t="s">
        <v>2687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SUMIF('[4]2.报价结算清单'!$F$2:$F$578,$A59,'[4]2.报价结算清单'!$L$2:$L$578)</f>
        <v>#VALUE!</v>
      </c>
      <c r="H59" s="13" t="e">
        <f>SUMIF('[4]2.报价结算清单'!$F$2:$F$578,$A59,'[4]2.报价结算清单'!$N$2:$N$578)</f>
        <v>#VALUE!</v>
      </c>
      <c r="I59" s="15" t="e">
        <f>SUMIF('[4]2.报价结算清单'!$F$2:$F$578,A59,'[4]2.报价结算清单'!$P$2:$P$578)</f>
        <v>#VALUE!</v>
      </c>
    </row>
    <row r="60" spans="1:9">
      <c r="A60" s="7" t="s">
        <v>2411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SUMIF('[4]2.报价结算清单'!$F$2:$F$578,$A60,'[4]2.报价结算清单'!$L$2:$L$578)</f>
        <v>#VALUE!</v>
      </c>
      <c r="H60" s="13" t="e">
        <f>SUMIF('[4]2.报价结算清单'!$F$2:$F$578,$A60,'[4]2.报价结算清单'!$N$2:$N$578)</f>
        <v>#VALUE!</v>
      </c>
      <c r="I60" s="15" t="e">
        <f>SUMIF('[4]2.报价结算清单'!$F$2:$F$578,A60,'[4]2.报价结算清单'!$P$2:$P$578)</f>
        <v>#VALUE!</v>
      </c>
    </row>
    <row r="61" spans="1:9">
      <c r="A61" s="7" t="s">
        <v>2688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SUMIF('[4]2.报价结算清单'!$F$2:$F$578,$A61,'[4]2.报价结算清单'!$L$2:$L$578)</f>
        <v>#VALUE!</v>
      </c>
      <c r="H61" s="13" t="e">
        <f>SUMIF('[4]2.报价结算清单'!$F$2:$F$578,$A61,'[4]2.报价结算清单'!$N$2:$N$578)</f>
        <v>#VALUE!</v>
      </c>
      <c r="I61" s="15" t="e">
        <f>SUMIF('[4]2.报价结算清单'!$F$2:$F$578,A61,'[4]2.报价结算清单'!$P$2:$P$578)</f>
        <v>#VALUE!</v>
      </c>
    </row>
    <row r="62" spans="1:9">
      <c r="A62" s="7" t="s">
        <v>2689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SUMIF('[4]2.报价结算清单'!$F$2:$F$578,$A62,'[4]2.报价结算清单'!$L$2:$L$578)</f>
        <v>#VALUE!</v>
      </c>
      <c r="H62" s="13" t="e">
        <f>SUMIF('[4]2.报价结算清单'!$F$2:$F$578,$A62,'[4]2.报价结算清单'!$N$2:$N$578)</f>
        <v>#VALUE!</v>
      </c>
      <c r="I62" s="15" t="e">
        <f>SUMIF('[4]2.报价结算清单'!$F$2:$F$578,A62,'[4]2.报价结算清单'!$P$2:$P$578)</f>
        <v>#VALUE!</v>
      </c>
    </row>
    <row r="63" spans="1:9">
      <c r="A63" s="7" t="s">
        <v>2690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SUMIF('[4]2.报价结算清单'!$F$2:$F$578,$A63,'[4]2.报价结算清单'!$L$2:$L$578)</f>
        <v>#VALUE!</v>
      </c>
      <c r="H63" s="13" t="e">
        <f>SUMIF('[4]2.报价结算清单'!$F$2:$F$578,$A63,'[4]2.报价结算清单'!$N$2:$N$578)</f>
        <v>#VALUE!</v>
      </c>
      <c r="I63" s="15" t="e">
        <f>SUMIF('[4]2.报价结算清单'!$F$2:$F$578,A63,'[4]2.报价结算清单'!$P$2:$P$578)</f>
        <v>#VALUE!</v>
      </c>
    </row>
    <row r="64" spans="1:9">
      <c r="A64" s="7" t="s">
        <v>2691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SUMIF('[4]2.报价结算清单'!$F$2:$F$578,$A64,'[4]2.报价结算清单'!$L$2:$L$578)</f>
        <v>#VALUE!</v>
      </c>
      <c r="H64" s="13" t="e">
        <f>SUMIF('[4]2.报价结算清单'!$F$2:$F$578,$A64,'[4]2.报价结算清单'!$N$2:$N$578)</f>
        <v>#VALUE!</v>
      </c>
      <c r="I64" s="15" t="e">
        <f>SUMIF('[4]2.报价结算清单'!$F$2:$F$578,A64,'[4]2.报价结算清单'!$P$2:$P$578)</f>
        <v>#VALUE!</v>
      </c>
    </row>
    <row r="65" spans="1:9">
      <c r="A65" s="7" t="s">
        <v>2692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SUMIF('[4]2.报价结算清单'!$F$2:$F$578,$A65,'[4]2.报价结算清单'!$L$2:$L$578)</f>
        <v>#VALUE!</v>
      </c>
      <c r="H65" s="13" t="e">
        <f>SUMIF('[4]2.报价结算清单'!$F$2:$F$578,$A65,'[4]2.报价结算清单'!$N$2:$N$578)</f>
        <v>#VALUE!</v>
      </c>
      <c r="I65" s="15" t="e">
        <f>SUMIF('[4]2.报价结算清单'!$F$2:$F$578,A65,'[4]2.报价结算清单'!$P$2:$P$578)</f>
        <v>#VALUE!</v>
      </c>
    </row>
    <row r="66" spans="1:9">
      <c r="A66" s="7" t="s">
        <v>2693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SUMIF('[4]2.报价结算清单'!$F$2:$F$578,$A66,'[4]2.报价结算清单'!$L$2:$L$578)</f>
        <v>#VALUE!</v>
      </c>
      <c r="H66" s="13" t="e">
        <f>SUMIF('[4]2.报价结算清单'!$F$2:$F$578,$A66,'[4]2.报价结算清单'!$N$2:$N$578)</f>
        <v>#VALUE!</v>
      </c>
      <c r="I66" s="15" t="e">
        <f>SUMIF('[4]2.报价结算清单'!$F$2:$F$578,A66,'[4]2.报价结算清单'!$P$2:$P$578)</f>
        <v>#VALUE!</v>
      </c>
    </row>
    <row r="67" spans="1:9">
      <c r="A67" s="7" t="s">
        <v>2694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SUMIF('[4]2.报价结算清单'!$F$2:$F$578,$A67,'[4]2.报价结算清单'!$L$2:$L$578)</f>
        <v>#VALUE!</v>
      </c>
      <c r="H67" s="13" t="e">
        <f>SUMIF('[4]2.报价结算清单'!$F$2:$F$578,$A67,'[4]2.报价结算清单'!$N$2:$N$578)</f>
        <v>#VALUE!</v>
      </c>
      <c r="I67" s="15" t="e">
        <f>SUMIF('[4]2.报价结算清单'!$F$2:$F$578,A67,'[4]2.报价结算清单'!$P$2:$P$578)</f>
        <v>#VALUE!</v>
      </c>
    </row>
    <row r="68" spans="1:9">
      <c r="A68" s="7" t="s">
        <v>2695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SUMIF('[4]2.报价结算清单'!$F$2:$F$578,$A68,'[4]2.报价结算清单'!$L$2:$L$578)</f>
        <v>#VALUE!</v>
      </c>
      <c r="H68" s="13" t="e">
        <f>SUMIF('[4]2.报价结算清单'!$F$2:$F$578,$A68,'[4]2.报价结算清单'!$N$2:$N$578)</f>
        <v>#VALUE!</v>
      </c>
      <c r="I68" s="15" t="e">
        <f>SUMIF('[4]2.报价结算清单'!$F$2:$F$578,A68,'[4]2.报价结算清单'!$P$2:$P$578)</f>
        <v>#VALUE!</v>
      </c>
    </row>
    <row r="69" spans="1:9">
      <c r="A69" s="7" t="s">
        <v>2419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SUMIF('[4]2.报价结算清单'!$F$2:$F$578,$A69,'[4]2.报价结算清单'!$L$2:$L$578)</f>
        <v>#VALUE!</v>
      </c>
      <c r="H69" s="13" t="e">
        <f>SUMIF('[4]2.报价结算清单'!$F$2:$F$578,$A69,'[4]2.报价结算清单'!$N$2:$N$578)</f>
        <v>#VALUE!</v>
      </c>
      <c r="I69" s="15" t="e">
        <f>SUMIF('[4]2.报价结算清单'!$F$2:$F$578,A69,'[4]2.报价结算清单'!$P$2:$P$578)</f>
        <v>#VALUE!</v>
      </c>
    </row>
    <row r="70" spans="1:9">
      <c r="A70" s="7" t="s">
        <v>2696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SUMIF('[4]2.报价结算清单'!$F$2:$F$578,$A70,'[4]2.报价结算清单'!$L$2:$L$578)</f>
        <v>#VALUE!</v>
      </c>
      <c r="H70" s="13" t="e">
        <f>SUMIF('[4]2.报价结算清单'!$F$2:$F$578,$A70,'[4]2.报价结算清单'!$N$2:$N$578)</f>
        <v>#VALUE!</v>
      </c>
      <c r="I70" s="15" t="e">
        <f>SUMIF('[4]2.报价结算清单'!$F$2:$F$578,A70,'[4]2.报价结算清单'!$P$2:$P$578)</f>
        <v>#VALUE!</v>
      </c>
    </row>
    <row r="71" spans="1:9">
      <c r="A71" s="7" t="s">
        <v>2697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SUMIF('[4]2.报价结算清单'!$F$2:$F$578,$A71,'[4]2.报价结算清单'!$L$2:$L$578)</f>
        <v>#VALUE!</v>
      </c>
      <c r="H71" s="13" t="e">
        <f>SUMIF('[4]2.报价结算清单'!$F$2:$F$578,$A71,'[4]2.报价结算清单'!$N$2:$N$578)</f>
        <v>#VALUE!</v>
      </c>
      <c r="I71" s="15" t="e">
        <f>SUMIF('[4]2.报价结算清单'!$F$2:$F$578,A71,'[4]2.报价结算清单'!$P$2:$P$578)</f>
        <v>#VALUE!</v>
      </c>
    </row>
    <row r="72" spans="1:9">
      <c r="A72" s="7" t="s">
        <v>2698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SUMIF('[4]2.报价结算清单'!$F$2:$F$578,$A72,'[4]2.报价结算清单'!$L$2:$L$578)</f>
        <v>#VALUE!</v>
      </c>
      <c r="H72" s="13" t="e">
        <f>SUMIF('[4]2.报价结算清单'!$F$2:$F$578,$A72,'[4]2.报价结算清单'!$N$2:$N$578)</f>
        <v>#VALUE!</v>
      </c>
      <c r="I72" s="15" t="e">
        <f>SUMIF('[4]2.报价结算清单'!$F$2:$F$578,A72,'[4]2.报价结算清单'!$P$2:$P$578)</f>
        <v>#VALUE!</v>
      </c>
    </row>
    <row r="73" spans="1:9">
      <c r="A73" s="7" t="s">
        <v>2699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SUMIF('[4]2.报价结算清单'!$F$2:$F$578,$A73,'[4]2.报价结算清单'!$L$2:$L$578)</f>
        <v>#VALUE!</v>
      </c>
      <c r="H73" s="13" t="e">
        <f>SUMIF('[4]2.报价结算清单'!$F$2:$F$578,$A73,'[4]2.报价结算清单'!$N$2:$N$578)</f>
        <v>#VALUE!</v>
      </c>
      <c r="I73" s="15" t="e">
        <f>SUMIF('[4]2.报价结算清单'!$F$2:$F$578,A73,'[4]2.报价结算清单'!$P$2:$P$578)</f>
        <v>#VALUE!</v>
      </c>
    </row>
    <row r="74" spans="1:9">
      <c r="A74" s="7" t="s">
        <v>2700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SUMIF('[4]2.报价结算清单'!$F$2:$F$578,$A74,'[4]2.报价结算清单'!$L$2:$L$578)</f>
        <v>#VALUE!</v>
      </c>
      <c r="H74" s="13" t="e">
        <f>SUMIF('[4]2.报价结算清单'!$F$2:$F$578,$A74,'[4]2.报价结算清单'!$N$2:$N$578)</f>
        <v>#VALUE!</v>
      </c>
      <c r="I74" s="15" t="e">
        <f>SUMIF('[4]2.报价结算清单'!$F$2:$F$578,A74,'[4]2.报价结算清单'!$P$2:$P$578)</f>
        <v>#VALUE!</v>
      </c>
    </row>
    <row r="75" spans="1:9">
      <c r="A75" s="7" t="s">
        <v>2701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SUMIF('[4]2.报价结算清单'!$F$2:$F$578,$A75,'[4]2.报价结算清单'!$L$2:$L$578)</f>
        <v>#VALUE!</v>
      </c>
      <c r="H75" s="13" t="e">
        <f>SUMIF('[4]2.报价结算清单'!$F$2:$F$578,$A75,'[4]2.报价结算清单'!$N$2:$N$578)</f>
        <v>#VALUE!</v>
      </c>
      <c r="I75" s="15" t="e">
        <f>SUMIF('[4]2.报价结算清单'!$F$2:$F$578,A75,'[4]2.报价结算清单'!$P$2:$P$578)</f>
        <v>#VALUE!</v>
      </c>
    </row>
    <row r="76" spans="1:9">
      <c r="A76" s="7" t="s">
        <v>2702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SUMIF('[4]2.报价结算清单'!$F$2:$F$578,$A76,'[4]2.报价结算清单'!$L$2:$L$578)</f>
        <v>#VALUE!</v>
      </c>
      <c r="H76" s="13" t="e">
        <f>SUMIF('[4]2.报价结算清单'!$F$2:$F$578,$A76,'[4]2.报价结算清单'!$N$2:$N$578)</f>
        <v>#VALUE!</v>
      </c>
      <c r="I76" s="15" t="e">
        <f>SUMIF('[4]2.报价结算清单'!$F$2:$F$578,A76,'[4]2.报价结算清单'!$P$2:$P$578)</f>
        <v>#VALUE!</v>
      </c>
    </row>
    <row r="77" spans="1:9">
      <c r="A77" s="7" t="s">
        <v>2703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SUMIF('[4]2.报价结算清单'!$F$2:$F$578,$A77,'[4]2.报价结算清单'!$L$2:$L$578)</f>
        <v>#VALUE!</v>
      </c>
      <c r="H77" s="13" t="e">
        <f>SUMIF('[4]2.报价结算清单'!$F$2:$F$578,$A77,'[4]2.报价结算清单'!$N$2:$N$578)</f>
        <v>#VALUE!</v>
      </c>
      <c r="I77" s="15" t="e">
        <f>SUMIF('[4]2.报价结算清单'!$F$2:$F$578,A77,'[4]2.报价结算清单'!$P$2:$P$578)</f>
        <v>#VALUE!</v>
      </c>
    </row>
    <row r="78" spans="1:9">
      <c r="A78" s="7" t="s">
        <v>2704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SUMIF('[4]2.报价结算清单'!$F$2:$F$578,$A78,'[4]2.报价结算清单'!$L$2:$L$578)</f>
        <v>#VALUE!</v>
      </c>
      <c r="H78" s="13" t="e">
        <f>SUMIF('[4]2.报价结算清单'!$F$2:$F$578,$A78,'[4]2.报价结算清单'!$N$2:$N$578)</f>
        <v>#VALUE!</v>
      </c>
      <c r="I78" s="15" t="e">
        <f>SUMIF('[4]2.报价结算清单'!$F$2:$F$578,A78,'[4]2.报价结算清单'!$P$2:$P$578)</f>
        <v>#VALUE!</v>
      </c>
    </row>
    <row r="79" spans="1:9">
      <c r="A79" s="7" t="s">
        <v>2705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SUMIF('[4]2.报价结算清单'!$F$2:$F$578,$A79,'[4]2.报价结算清单'!$L$2:$L$578)</f>
        <v>#VALUE!</v>
      </c>
      <c r="H79" s="13" t="e">
        <f>SUMIF('[4]2.报价结算清单'!$F$2:$F$578,$A79,'[4]2.报价结算清单'!$N$2:$N$578)</f>
        <v>#VALUE!</v>
      </c>
      <c r="I79" s="15" t="e">
        <f>SUMIF('[4]2.报价结算清单'!$F$2:$F$578,A79,'[4]2.报价结算清单'!$P$2:$P$578)</f>
        <v>#VALUE!</v>
      </c>
    </row>
    <row r="80" spans="1:9">
      <c r="A80" s="7" t="s">
        <v>2706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SUMIF('[4]2.报价结算清单'!$F$2:$F$578,$A80,'[4]2.报价结算清单'!$L$2:$L$578)</f>
        <v>#VALUE!</v>
      </c>
      <c r="H80" s="13" t="e">
        <f>SUMIF('[4]2.报价结算清单'!$F$2:$F$578,$A80,'[4]2.报价结算清单'!$N$2:$N$578)</f>
        <v>#VALUE!</v>
      </c>
      <c r="I80" s="15" t="e">
        <f>SUMIF('[4]2.报价结算清单'!$F$2:$F$578,A80,'[4]2.报价结算清单'!$P$2:$P$578)</f>
        <v>#VALUE!</v>
      </c>
    </row>
    <row r="81" spans="1:9">
      <c r="A81" s="7" t="s">
        <v>2707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SUMIF('[4]2.报价结算清单'!$F$2:$F$578,$A81,'[4]2.报价结算清单'!$L$2:$L$578)</f>
        <v>#VALUE!</v>
      </c>
      <c r="H81" s="13" t="e">
        <f>SUMIF('[4]2.报价结算清单'!$F$2:$F$578,$A81,'[4]2.报价结算清单'!$N$2:$N$578)</f>
        <v>#VALUE!</v>
      </c>
      <c r="I81" s="15" t="e">
        <f>SUMIF('[4]2.报价结算清单'!$F$2:$F$578,A81,'[4]2.报价结算清单'!$P$2:$P$578)</f>
        <v>#VALUE!</v>
      </c>
    </row>
    <row r="82" spans="1:9">
      <c r="A82" s="7" t="s">
        <v>2708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SUMIF('[4]2.报价结算清单'!$F$2:$F$578,$A82,'[4]2.报价结算清单'!$L$2:$L$578)</f>
        <v>#VALUE!</v>
      </c>
      <c r="H82" s="13" t="e">
        <f>SUMIF('[4]2.报价结算清单'!$F$2:$F$578,$A82,'[4]2.报价结算清单'!$N$2:$N$578)</f>
        <v>#VALUE!</v>
      </c>
      <c r="I82" s="15" t="e">
        <f>SUMIF('[4]2.报价结算清单'!$F$2:$F$578,A82,'[4]2.报价结算清单'!$P$2:$P$578)</f>
        <v>#VALUE!</v>
      </c>
    </row>
    <row r="83" spans="1:9">
      <c r="A83" s="7" t="s">
        <v>2709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SUMIF('[4]2.报价结算清单'!$F$2:$F$578,$A83,'[4]2.报价结算清单'!$L$2:$L$578)</f>
        <v>#VALUE!</v>
      </c>
      <c r="H83" s="13" t="e">
        <f>SUMIF('[4]2.报价结算清单'!$F$2:$F$578,$A83,'[4]2.报价结算清单'!$N$2:$N$578)</f>
        <v>#VALUE!</v>
      </c>
      <c r="I83" s="15" t="e">
        <f>SUMIF('[4]2.报价结算清单'!$F$2:$F$578,A83,'[4]2.报价结算清单'!$P$2:$P$578)</f>
        <v>#VALUE!</v>
      </c>
    </row>
    <row r="84" spans="1:9">
      <c r="A84" s="7" t="s">
        <v>2710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SUMIF('[4]2.报价结算清单'!$F$2:$F$578,$A84,'[4]2.报价结算清单'!$L$2:$L$578)</f>
        <v>#VALUE!</v>
      </c>
      <c r="H84" s="13" t="e">
        <f>SUMIF('[4]2.报价结算清单'!$F$2:$F$578,$A84,'[4]2.报价结算清单'!$N$2:$N$578)</f>
        <v>#VALUE!</v>
      </c>
      <c r="I84" s="15" t="e">
        <f>SUMIF('[4]2.报价结算清单'!$F$2:$F$578,A84,'[4]2.报价结算清单'!$P$2:$P$578)</f>
        <v>#VALUE!</v>
      </c>
    </row>
    <row r="85" spans="1:9">
      <c r="A85" s="7" t="s">
        <v>2711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SUMIF('[4]2.报价结算清单'!$F$2:$F$578,$A85,'[4]2.报价结算清单'!$L$2:$L$578)</f>
        <v>#VALUE!</v>
      </c>
      <c r="H85" s="13" t="e">
        <f>SUMIF('[4]2.报价结算清单'!$F$2:$F$578,$A85,'[4]2.报价结算清单'!$N$2:$N$578)</f>
        <v>#VALUE!</v>
      </c>
      <c r="I85" s="15" t="e">
        <f>SUMIF('[4]2.报价结算清单'!$F$2:$F$578,A85,'[4]2.报价结算清单'!$P$2:$P$578)</f>
        <v>#VALUE!</v>
      </c>
    </row>
    <row r="86" spans="1:9">
      <c r="A86" s="7" t="s">
        <v>2712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SUMIF('[4]2.报价结算清单'!$F$2:$F$578,$A86,'[4]2.报价结算清单'!$L$2:$L$578)</f>
        <v>#VALUE!</v>
      </c>
      <c r="H86" s="13" t="e">
        <f>SUMIF('[4]2.报价结算清单'!$F$2:$F$578,$A86,'[4]2.报价结算清单'!$N$2:$N$578)</f>
        <v>#VALUE!</v>
      </c>
      <c r="I86" s="15" t="e">
        <f>SUMIF('[4]2.报价结算清单'!$F$2:$F$578,A86,'[4]2.报价结算清单'!$P$2:$P$578)</f>
        <v>#VALUE!</v>
      </c>
    </row>
    <row r="87" spans="1:9">
      <c r="A87" s="7" t="s">
        <v>2713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SUMIF('[4]2.报价结算清单'!$F$2:$F$578,$A87,'[4]2.报价结算清单'!$L$2:$L$578)</f>
        <v>#VALUE!</v>
      </c>
      <c r="H87" s="13" t="e">
        <f>SUMIF('[4]2.报价结算清单'!$F$2:$F$578,$A87,'[4]2.报价结算清单'!$N$2:$N$578)</f>
        <v>#VALUE!</v>
      </c>
      <c r="I87" s="15" t="e">
        <f>SUMIF('[4]2.报价结算清单'!$F$2:$F$578,A87,'[4]2.报价结算清单'!$P$2:$P$578)</f>
        <v>#VALUE!</v>
      </c>
    </row>
    <row r="88" spans="1:9">
      <c r="A88" s="7" t="s">
        <v>2714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SUMIF('[4]2.报价结算清单'!$F$2:$F$578,$A88,'[4]2.报价结算清单'!$L$2:$L$578)</f>
        <v>#VALUE!</v>
      </c>
      <c r="H88" s="13" t="e">
        <f>SUMIF('[4]2.报价结算清单'!$F$2:$F$578,$A88,'[4]2.报价结算清单'!$N$2:$N$578)</f>
        <v>#VALUE!</v>
      </c>
      <c r="I88" s="15" t="e">
        <f>SUMIF('[4]2.报价结算清单'!$F$2:$F$578,A88,'[4]2.报价结算清单'!$P$2:$P$578)</f>
        <v>#VALUE!</v>
      </c>
    </row>
    <row r="89" spans="1:9">
      <c r="A89" s="7" t="s">
        <v>2715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SUMIF('[4]2.报价结算清单'!$F$2:$F$578,$A89,'[4]2.报价结算清单'!$L$2:$L$578)</f>
        <v>#VALUE!</v>
      </c>
      <c r="H89" s="13" t="e">
        <f>SUMIF('[4]2.报价结算清单'!$F$2:$F$578,$A89,'[4]2.报价结算清单'!$N$2:$N$578)</f>
        <v>#VALUE!</v>
      </c>
      <c r="I89" s="15" t="e">
        <f>SUMIF('[4]2.报价结算清单'!$F$2:$F$578,A89,'[4]2.报价结算清单'!$P$2:$P$578)</f>
        <v>#VALUE!</v>
      </c>
    </row>
    <row r="90" spans="1:9">
      <c r="A90" s="7" t="s">
        <v>2716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SUMIF('[4]2.报价结算清单'!$F$2:$F$578,$A90,'[4]2.报价结算清单'!$L$2:$L$578)</f>
        <v>#VALUE!</v>
      </c>
      <c r="H90" s="13" t="e">
        <f>SUMIF('[4]2.报价结算清单'!$F$2:$F$578,$A90,'[4]2.报价结算清单'!$N$2:$N$578)</f>
        <v>#VALUE!</v>
      </c>
      <c r="I90" s="15" t="e">
        <f>SUMIF('[4]2.报价结算清单'!$F$2:$F$578,A90,'[4]2.报价结算清单'!$P$2:$P$578)</f>
        <v>#VALUE!</v>
      </c>
    </row>
    <row r="91" spans="1:9">
      <c r="A91" s="7" t="s">
        <v>2717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SUMIF('[4]2.报价结算清单'!$F$2:$F$578,$A91,'[4]2.报价结算清单'!$L$2:$L$578)</f>
        <v>#VALUE!</v>
      </c>
      <c r="H91" s="13" t="e">
        <f>SUMIF('[4]2.报价结算清单'!$F$2:$F$578,$A91,'[4]2.报价结算清单'!$N$2:$N$578)</f>
        <v>#VALUE!</v>
      </c>
      <c r="I91" s="15" t="e">
        <f>SUMIF('[4]2.报价结算清单'!$F$2:$F$578,A91,'[4]2.报价结算清单'!$P$2:$P$578)</f>
        <v>#VALUE!</v>
      </c>
    </row>
    <row r="92" spans="1:9">
      <c r="A92" s="7" t="s">
        <v>2718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SUMIF('[4]2.报价结算清单'!$F$2:$F$578,$A92,'[4]2.报价结算清单'!$L$2:$L$578)</f>
        <v>#VALUE!</v>
      </c>
      <c r="H92" s="13" t="e">
        <f>SUMIF('[4]2.报价结算清单'!$F$2:$F$578,$A92,'[4]2.报价结算清单'!$N$2:$N$578)</f>
        <v>#VALUE!</v>
      </c>
      <c r="I92" s="15" t="e">
        <f>SUMIF('[4]2.报价结算清单'!$F$2:$F$578,A92,'[4]2.报价结算清单'!$P$2:$P$578)</f>
        <v>#VALUE!</v>
      </c>
    </row>
    <row r="93" spans="1:9">
      <c r="A93" s="7" t="s">
        <v>2400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SUMIF('[4]2.报价结算清单'!$F$2:$F$578,$A93,'[4]2.报价结算清单'!$L$2:$L$578)</f>
        <v>#VALUE!</v>
      </c>
      <c r="H93" s="13" t="e">
        <f>SUMIF('[4]2.报价结算清单'!$F$2:$F$578,$A93,'[4]2.报价结算清单'!$N$2:$N$578)</f>
        <v>#VALUE!</v>
      </c>
      <c r="I93" s="15" t="e">
        <f>SUMIF('[4]2.报价结算清单'!$F$2:$F$578,A93,'[4]2.报价结算清单'!$P$2:$P$578)</f>
        <v>#VALUE!</v>
      </c>
    </row>
    <row r="94" spans="1:9">
      <c r="A94" s="7" t="s">
        <v>2719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SUMIF('[4]2.报价结算清单'!$F$2:$F$578,$A94,'[4]2.报价结算清单'!$L$2:$L$578)</f>
        <v>#VALUE!</v>
      </c>
      <c r="H94" s="13" t="e">
        <f>SUMIF('[4]2.报价结算清单'!$F$2:$F$578,$A94,'[4]2.报价结算清单'!$N$2:$N$578)</f>
        <v>#VALUE!</v>
      </c>
      <c r="I94" s="15" t="e">
        <f>SUMIF('[4]2.报价结算清单'!$F$2:$F$578,A94,'[4]2.报价结算清单'!$P$2:$P$578)</f>
        <v>#VALUE!</v>
      </c>
    </row>
    <row r="95" spans="1:9">
      <c r="A95" s="7" t="s">
        <v>2720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SUMIF('[4]2.报价结算清单'!$F$2:$F$578,$A95,'[4]2.报价结算清单'!$L$2:$L$578)</f>
        <v>#VALUE!</v>
      </c>
      <c r="H95" s="13" t="e">
        <f>SUMIF('[4]2.报价结算清单'!$F$2:$F$578,$A95,'[4]2.报价结算清单'!$N$2:$N$578)</f>
        <v>#VALUE!</v>
      </c>
      <c r="I95" s="15" t="e">
        <f>SUMIF('[4]2.报价结算清单'!$F$2:$F$578,A95,'[4]2.报价结算清单'!$P$2:$P$578)</f>
        <v>#VALUE!</v>
      </c>
    </row>
    <row r="96" spans="1:9">
      <c r="A96" s="7" t="s">
        <v>2721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SUMIF('[4]2.报价结算清单'!$F$2:$F$578,$A96,'[4]2.报价结算清单'!$L$2:$L$578)</f>
        <v>#VALUE!</v>
      </c>
      <c r="H96" s="13" t="e">
        <f>SUMIF('[4]2.报价结算清单'!$F$2:$F$578,$A96,'[4]2.报价结算清单'!$N$2:$N$578)</f>
        <v>#VALUE!</v>
      </c>
      <c r="I96" s="15" t="e">
        <f>SUMIF('[4]2.报价结算清单'!$F$2:$F$578,A96,'[4]2.报价结算清单'!$P$2:$P$578)</f>
        <v>#VALUE!</v>
      </c>
    </row>
    <row r="97" spans="1:9">
      <c r="A97" s="7" t="s">
        <v>2397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SUMIF('[4]2.报价结算清单'!$F$2:$F$578,$A97,'[4]2.报价结算清单'!$L$2:$L$578)</f>
        <v>#VALUE!</v>
      </c>
      <c r="H97" s="13" t="e">
        <f>SUMIF('[4]2.报价结算清单'!$F$2:$F$578,$A97,'[4]2.报价结算清单'!$N$2:$N$578)</f>
        <v>#VALUE!</v>
      </c>
      <c r="I97" s="15" t="e">
        <f>SUMIF('[4]2.报价结算清单'!$F$2:$F$578,A97,'[4]2.报价结算清单'!$P$2:$P$578)</f>
        <v>#VALUE!</v>
      </c>
    </row>
    <row r="98" spans="1:9">
      <c r="A98" s="7" t="s">
        <v>2722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SUMIF('[4]2.报价结算清单'!$F$2:$F$578,$A98,'[4]2.报价结算清单'!$L$2:$L$578)</f>
        <v>#VALUE!</v>
      </c>
      <c r="H98" s="13" t="e">
        <f>SUMIF('[4]2.报价结算清单'!$F$2:$F$578,$A98,'[4]2.报价结算清单'!$N$2:$N$578)</f>
        <v>#VALUE!</v>
      </c>
      <c r="I98" s="15" t="e">
        <f>SUMIF('[4]2.报价结算清单'!$F$2:$F$578,A98,'[4]2.报价结算清单'!$P$2:$P$578)</f>
        <v>#VALUE!</v>
      </c>
    </row>
    <row r="99" spans="1:9">
      <c r="A99" s="7" t="s">
        <v>2723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SUMIF('[4]2.报价结算清单'!$F$2:$F$578,$A99,'[4]2.报价结算清单'!$L$2:$L$578)</f>
        <v>#VALUE!</v>
      </c>
      <c r="H99" s="13" t="e">
        <f>SUMIF('[4]2.报价结算清单'!$F$2:$F$578,$A99,'[4]2.报价结算清单'!$N$2:$N$578)</f>
        <v>#VALUE!</v>
      </c>
      <c r="I99" s="15" t="e">
        <f>SUMIF('[4]2.报价结算清单'!$F$2:$F$578,A99,'[4]2.报价结算清单'!$P$2:$P$578)</f>
        <v>#VALUE!</v>
      </c>
    </row>
    <row r="100" spans="1:9">
      <c r="A100" s="7" t="s">
        <v>2724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SUMIF('[4]2.报价结算清单'!$F$2:$F$578,$A100,'[4]2.报价结算清单'!$L$2:$L$578)</f>
        <v>#VALUE!</v>
      </c>
      <c r="H100" s="13" t="e">
        <f>SUMIF('[4]2.报价结算清单'!$F$2:$F$578,$A100,'[4]2.报价结算清单'!$N$2:$N$578)</f>
        <v>#VALUE!</v>
      </c>
      <c r="I100" s="15" t="e">
        <f>SUMIF('[4]2.报价结算清单'!$F$2:$F$578,A100,'[4]2.报价结算清单'!$P$2:$P$578)</f>
        <v>#VALUE!</v>
      </c>
    </row>
    <row r="101" spans="1:9">
      <c r="A101" s="7" t="s">
        <v>2725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SUMIF('[4]2.报价结算清单'!$F$2:$F$578,$A101,'[4]2.报价结算清单'!$L$2:$L$578)</f>
        <v>#VALUE!</v>
      </c>
      <c r="H101" s="13" t="e">
        <f>SUMIF('[4]2.报价结算清单'!$F$2:$F$578,$A101,'[4]2.报价结算清单'!$N$2:$N$578)</f>
        <v>#VALUE!</v>
      </c>
      <c r="I101" s="15" t="e">
        <f>SUMIF('[4]2.报价结算清单'!$F$2:$F$578,A101,'[4]2.报价结算清单'!$P$2:$P$578)</f>
        <v>#VALUE!</v>
      </c>
    </row>
    <row r="102" spans="1:9">
      <c r="A102" s="7" t="s">
        <v>2726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SUMIF('[4]2.报价结算清单'!$F$2:$F$578,$A102,'[4]2.报价结算清单'!$L$2:$L$578)</f>
        <v>#VALUE!</v>
      </c>
      <c r="H102" s="13" t="e">
        <f>SUMIF('[4]2.报价结算清单'!$F$2:$F$578,$A102,'[4]2.报价结算清单'!$N$2:$N$578)</f>
        <v>#VALUE!</v>
      </c>
      <c r="I102" s="15" t="e">
        <f>SUMIF('[4]2.报价结算清单'!$F$2:$F$578,A102,'[4]2.报价结算清单'!$P$2:$P$578)</f>
        <v>#VALUE!</v>
      </c>
    </row>
    <row r="103" spans="1:9">
      <c r="A103" s="7" t="s">
        <v>2727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SUMIF('[4]2.报价结算清单'!$F$2:$F$578,$A103,'[4]2.报价结算清单'!$L$2:$L$578)</f>
        <v>#VALUE!</v>
      </c>
      <c r="H103" s="13" t="e">
        <f>SUMIF('[4]2.报价结算清单'!$F$2:$F$578,$A103,'[4]2.报价结算清单'!$N$2:$N$578)</f>
        <v>#VALUE!</v>
      </c>
      <c r="I103" s="15" t="e">
        <f>SUMIF('[4]2.报价结算清单'!$F$2:$F$578,A103,'[4]2.报价结算清单'!$P$2:$P$578)</f>
        <v>#VALUE!</v>
      </c>
    </row>
    <row r="104" spans="1:9">
      <c r="A104" s="7" t="s">
        <v>2728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SUMIF('[4]2.报价结算清单'!$F$2:$F$578,$A104,'[4]2.报价结算清单'!$L$2:$L$578)</f>
        <v>#VALUE!</v>
      </c>
      <c r="H104" s="13" t="e">
        <f>SUMIF('[4]2.报价结算清单'!$F$2:$F$578,$A104,'[4]2.报价结算清单'!$N$2:$N$578)</f>
        <v>#VALUE!</v>
      </c>
      <c r="I104" s="15" t="e">
        <f>SUMIF('[4]2.报价结算清单'!$F$2:$F$578,A104,'[4]2.报价结算清单'!$P$2:$P$578)</f>
        <v>#VALUE!</v>
      </c>
    </row>
    <row r="105" spans="1:9">
      <c r="A105" s="7" t="s">
        <v>2729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SUMIF('[4]2.报价结算清单'!$F$2:$F$578,$A105,'[4]2.报价结算清单'!$L$2:$L$578)</f>
        <v>#VALUE!</v>
      </c>
      <c r="H105" s="13" t="e">
        <f>SUMIF('[4]2.报价结算清单'!$F$2:$F$578,$A105,'[4]2.报价结算清单'!$N$2:$N$578)</f>
        <v>#VALUE!</v>
      </c>
      <c r="I105" s="15" t="e">
        <f>SUMIF('[4]2.报价结算清单'!$F$2:$F$578,A105,'[4]2.报价结算清单'!$P$2:$P$578)</f>
        <v>#VALUE!</v>
      </c>
    </row>
    <row r="106" spans="1:9">
      <c r="A106" s="7" t="s">
        <v>2730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SUMIF('[4]2.报价结算清单'!$F$2:$F$578,$A106,'[4]2.报价结算清单'!$L$2:$L$578)</f>
        <v>#VALUE!</v>
      </c>
      <c r="H106" s="13" t="e">
        <f>SUMIF('[4]2.报价结算清单'!$F$2:$F$578,$A106,'[4]2.报价结算清单'!$N$2:$N$578)</f>
        <v>#VALUE!</v>
      </c>
      <c r="I106" s="15" t="e">
        <f>SUMIF('[4]2.报价结算清单'!$F$2:$F$578,A106,'[4]2.报价结算清单'!$P$2:$P$578)</f>
        <v>#VALUE!</v>
      </c>
    </row>
    <row r="107" spans="1:9">
      <c r="A107" s="7" t="s">
        <v>2731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SUMIF('[4]2.报价结算清单'!$F$2:$F$578,$A107,'[4]2.报价结算清单'!$L$2:$L$578)</f>
        <v>#VALUE!</v>
      </c>
      <c r="H107" s="13" t="e">
        <f>SUMIF('[4]2.报价结算清单'!$F$2:$F$578,$A107,'[4]2.报价结算清单'!$N$2:$N$578)</f>
        <v>#VALUE!</v>
      </c>
      <c r="I107" s="15" t="e">
        <f>SUMIF('[4]2.报价结算清单'!$F$2:$F$578,A107,'[4]2.报价结算清单'!$P$2:$P$578)</f>
        <v>#VALUE!</v>
      </c>
    </row>
    <row r="108" spans="1:9">
      <c r="A108" s="7" t="s">
        <v>2425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SUMIF('[4]2.报价结算清单'!$F$2:$F$578,$A108,'[4]2.报价结算清单'!$L$2:$L$578)</f>
        <v>#VALUE!</v>
      </c>
      <c r="H108" s="13" t="e">
        <f>SUMIF('[4]2.报价结算清单'!$F$2:$F$578,$A108,'[4]2.报价结算清单'!$N$2:$N$578)</f>
        <v>#VALUE!</v>
      </c>
      <c r="I108" s="15" t="e">
        <f>SUMIF('[4]2.报价结算清单'!$F$2:$F$578,A108,'[4]2.报价结算清单'!$P$2:$P$578)</f>
        <v>#VALUE!</v>
      </c>
    </row>
    <row r="109" spans="1:9">
      <c r="A109" s="7" t="s">
        <v>2732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SUMIF('[4]2.报价结算清单'!$F$2:$F$578,$A109,'[4]2.报价结算清单'!$L$2:$L$578)</f>
        <v>#VALUE!</v>
      </c>
      <c r="H109" s="13" t="e">
        <f>SUMIF('[4]2.报价结算清单'!$F$2:$F$578,$A109,'[4]2.报价结算清单'!$N$2:$N$578)</f>
        <v>#VALUE!</v>
      </c>
      <c r="I109" s="15" t="e">
        <f>SUMIF('[4]2.报价结算清单'!$F$2:$F$578,A109,'[4]2.报价结算清单'!$P$2:$P$578)</f>
        <v>#VALUE!</v>
      </c>
    </row>
    <row r="110" spans="1:9">
      <c r="A110" s="7" t="s">
        <v>2405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SUMIF('[4]2.报价结算清单'!$F$2:$F$578,$A110,'[4]2.报价结算清单'!$L$2:$L$578)</f>
        <v>#VALUE!</v>
      </c>
      <c r="H110" s="13" t="e">
        <f>SUMIF('[4]2.报价结算清单'!$F$2:$F$578,$A110,'[4]2.报价结算清单'!$N$2:$N$578)</f>
        <v>#VALUE!</v>
      </c>
      <c r="I110" s="15" t="e">
        <f>SUMIF('[4]2.报价结算清单'!$F$2:$F$578,A110,'[4]2.报价结算清单'!$P$2:$P$578)</f>
        <v>#VALUE!</v>
      </c>
    </row>
    <row r="111" spans="1:9">
      <c r="A111" s="7" t="s">
        <v>2408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SUMIF('[4]2.报价结算清单'!$F$2:$F$578,$A111,'[4]2.报价结算清单'!$L$2:$L$578)</f>
        <v>#VALUE!</v>
      </c>
      <c r="H111" s="13" t="e">
        <f>SUMIF('[4]2.报价结算清单'!$F$2:$F$578,$A111,'[4]2.报价结算清单'!$N$2:$N$578)</f>
        <v>#VALUE!</v>
      </c>
      <c r="I111" s="15" t="e">
        <f>SUMIF('[4]2.报价结算清单'!$F$2:$F$578,A111,'[4]2.报价结算清单'!$P$2:$P$578)</f>
        <v>#VALUE!</v>
      </c>
    </row>
    <row r="112" spans="1:9">
      <c r="A112" s="7" t="s">
        <v>2733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SUMIF('[4]2.报价结算清单'!$F$2:$F$578,$A112,'[4]2.报价结算清单'!$L$2:$L$578)</f>
        <v>#VALUE!</v>
      </c>
      <c r="H112" s="13" t="e">
        <f>SUMIF('[4]2.报价结算清单'!$F$2:$F$578,$A112,'[4]2.报价结算清单'!$N$2:$N$578)</f>
        <v>#VALUE!</v>
      </c>
      <c r="I112" s="15" t="e">
        <f>SUMIF('[4]2.报价结算清单'!$F$2:$F$578,A112,'[4]2.报价结算清单'!$P$2:$P$578)</f>
        <v>#VALUE!</v>
      </c>
    </row>
    <row r="113" spans="1:9">
      <c r="A113" s="7" t="s">
        <v>2462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SUMIF('[4]2.报价结算清单'!$F$2:$F$578,$A113,'[4]2.报价结算清单'!$L$2:$L$578)</f>
        <v>#VALUE!</v>
      </c>
      <c r="H113" s="13" t="e">
        <f>SUMIF('[4]2.报价结算清单'!$F$2:$F$578,$A113,'[4]2.报价结算清单'!$N$2:$N$578)</f>
        <v>#VALUE!</v>
      </c>
      <c r="I113" s="15" t="e">
        <f>SUMIF('[4]2.报价结算清单'!$F$2:$F$578,A113,'[4]2.报价结算清单'!$P$2:$P$578)</f>
        <v>#VALUE!</v>
      </c>
    </row>
    <row r="114" spans="1:9">
      <c r="A114" s="7" t="s">
        <v>2734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SUMIF('[4]2.报价结算清单'!$F$2:$F$578,$A114,'[4]2.报价结算清单'!$L$2:$L$578)</f>
        <v>#VALUE!</v>
      </c>
      <c r="H114" s="13" t="e">
        <f>SUMIF('[4]2.报价结算清单'!$F$2:$F$578,$A114,'[4]2.报价结算清单'!$N$2:$N$578)</f>
        <v>#VALUE!</v>
      </c>
      <c r="I114" s="15" t="e">
        <f>SUMIF('[4]2.报价结算清单'!$F$2:$F$578,A114,'[4]2.报价结算清单'!$P$2:$P$578)</f>
        <v>#VALUE!</v>
      </c>
    </row>
    <row r="115" spans="1:9">
      <c r="A115" s="7" t="s">
        <v>2735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SUMIF('[4]2.报价结算清单'!$F$2:$F$578,$A115,'[4]2.报价结算清单'!$L$2:$L$578)</f>
        <v>#VALUE!</v>
      </c>
      <c r="H115" s="13" t="e">
        <f>SUMIF('[4]2.报价结算清单'!$F$2:$F$578,$A115,'[4]2.报价结算清单'!$N$2:$N$578)</f>
        <v>#VALUE!</v>
      </c>
      <c r="I115" s="15" t="e">
        <f>SUMIF('[4]2.报价结算清单'!$F$2:$F$578,A115,'[4]2.报价结算清单'!$P$2:$P$578)</f>
        <v>#VALUE!</v>
      </c>
    </row>
    <row r="116" spans="1:9">
      <c r="A116" s="7" t="s">
        <v>2736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SUMIF('[4]2.报价结算清单'!$F$2:$F$578,$A116,'[4]2.报价结算清单'!$L$2:$L$578)</f>
        <v>#VALUE!</v>
      </c>
      <c r="H116" s="13" t="e">
        <f>SUMIF('[4]2.报价结算清单'!$F$2:$F$578,$A116,'[4]2.报价结算清单'!$N$2:$N$578)</f>
        <v>#VALUE!</v>
      </c>
      <c r="I116" s="15" t="e">
        <f>SUMIF('[4]2.报价结算清单'!$F$2:$F$578,A116,'[4]2.报价结算清单'!$P$2:$P$578)</f>
        <v>#VALUE!</v>
      </c>
    </row>
    <row r="117" spans="1:9">
      <c r="A117" s="7" t="s">
        <v>2737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SUMIF('[4]2.报价结算清单'!$F$2:$F$578,$A117,'[4]2.报价结算清单'!$L$2:$L$578)</f>
        <v>#VALUE!</v>
      </c>
      <c r="H117" s="13" t="e">
        <f>SUMIF('[4]2.报价结算清单'!$F$2:$F$578,$A117,'[4]2.报价结算清单'!$N$2:$N$578)</f>
        <v>#VALUE!</v>
      </c>
      <c r="I117" s="15" t="e">
        <f>SUMIF('[4]2.报价结算清单'!$F$2:$F$578,A117,'[4]2.报价结算清单'!$P$2:$P$578)</f>
        <v>#VALUE!</v>
      </c>
    </row>
    <row r="118" spans="1:9">
      <c r="A118" s="7" t="s">
        <v>2738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SUMIF('[4]2.报价结算清单'!$F$2:$F$578,$A118,'[4]2.报价结算清单'!$L$2:$L$578)</f>
        <v>#VALUE!</v>
      </c>
      <c r="H118" s="13" t="e">
        <f>SUMIF('[4]2.报价结算清单'!$F$2:$F$578,$A118,'[4]2.报价结算清单'!$N$2:$N$578)</f>
        <v>#VALUE!</v>
      </c>
      <c r="I118" s="15" t="e">
        <f>SUMIF('[4]2.报价结算清单'!$F$2:$F$578,A118,'[4]2.报价结算清单'!$P$2:$P$578)</f>
        <v>#VALUE!</v>
      </c>
    </row>
    <row r="119" spans="1:9">
      <c r="A119" s="7" t="s">
        <v>2739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SUMIF('[4]2.报价结算清单'!$F$2:$F$578,$A119,'[4]2.报价结算清单'!$L$2:$L$578)</f>
        <v>#VALUE!</v>
      </c>
      <c r="H119" s="13" t="e">
        <f>SUMIF('[4]2.报价结算清单'!$F$2:$F$578,$A119,'[4]2.报价结算清单'!$N$2:$N$578)</f>
        <v>#VALUE!</v>
      </c>
      <c r="I119" s="15" t="e">
        <f>SUMIF('[4]2.报价结算清单'!$F$2:$F$578,A119,'[4]2.报价结算清单'!$P$2:$P$578)</f>
        <v>#VALUE!</v>
      </c>
    </row>
    <row r="120" spans="1:9">
      <c r="A120" s="7" t="s">
        <v>2740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SUMIF('[4]2.报价结算清单'!$F$2:$F$578,$A120,'[4]2.报价结算清单'!$L$2:$L$578)</f>
        <v>#VALUE!</v>
      </c>
      <c r="H120" s="13" t="e">
        <f>SUMIF('[4]2.报价结算清单'!$F$2:$F$578,$A120,'[4]2.报价结算清单'!$N$2:$N$578)</f>
        <v>#VALUE!</v>
      </c>
      <c r="I120" s="15" t="e">
        <f>SUMIF('[4]2.报价结算清单'!$F$2:$F$578,A120,'[4]2.报价结算清单'!$P$2:$P$578)</f>
        <v>#VALUE!</v>
      </c>
    </row>
    <row r="121" spans="1:9">
      <c r="A121" s="7" t="s">
        <v>2741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SUMIF('[4]2.报价结算清单'!$F$2:$F$578,$A121,'[4]2.报价结算清单'!$L$2:$L$578)</f>
        <v>#VALUE!</v>
      </c>
      <c r="H121" s="13" t="e">
        <f>SUMIF('[4]2.报价结算清单'!$F$2:$F$578,$A121,'[4]2.报价结算清单'!$N$2:$N$578)</f>
        <v>#VALUE!</v>
      </c>
      <c r="I121" s="15" t="e">
        <f>SUMIF('[4]2.报价结算清单'!$F$2:$F$578,A121,'[4]2.报价结算清单'!$P$2:$P$578)</f>
        <v>#VALUE!</v>
      </c>
    </row>
    <row r="122" spans="1:9">
      <c r="A122" s="7" t="s">
        <v>2742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SUMIF('[4]2.报价结算清单'!$F$2:$F$578,$A122,'[4]2.报价结算清单'!$L$2:$L$578)</f>
        <v>#VALUE!</v>
      </c>
      <c r="H122" s="13" t="e">
        <f>SUMIF('[4]2.报价结算清单'!$F$2:$F$578,$A122,'[4]2.报价结算清单'!$N$2:$N$578)</f>
        <v>#VALUE!</v>
      </c>
      <c r="I122" s="15" t="e">
        <f>SUMIF('[4]2.报价结算清单'!$F$2:$F$578,A122,'[4]2.报价结算清单'!$P$2:$P$578)</f>
        <v>#VALUE!</v>
      </c>
    </row>
    <row r="123" spans="1:9">
      <c r="A123" s="7" t="s">
        <v>2743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SUMIF('[4]2.报价结算清单'!$F$2:$F$578,$A123,'[4]2.报价结算清单'!$L$2:$L$578)</f>
        <v>#VALUE!</v>
      </c>
      <c r="H123" s="13" t="e">
        <f>SUMIF('[4]2.报价结算清单'!$F$2:$F$578,$A123,'[4]2.报价结算清单'!$N$2:$N$578)</f>
        <v>#VALUE!</v>
      </c>
      <c r="I123" s="15" t="e">
        <f>SUMIF('[4]2.报价结算清单'!$F$2:$F$578,A123,'[4]2.报价结算清单'!$P$2:$P$578)</f>
        <v>#VALUE!</v>
      </c>
    </row>
    <row r="124" spans="1:9">
      <c r="A124" s="7" t="s">
        <v>2744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SUMIF('[4]2.报价结算清单'!$F$2:$F$578,$A124,'[4]2.报价结算清单'!$L$2:$L$578)</f>
        <v>#VALUE!</v>
      </c>
      <c r="H124" s="13" t="e">
        <f>SUMIF('[4]2.报价结算清单'!$F$2:$F$578,$A124,'[4]2.报价结算清单'!$N$2:$N$578)</f>
        <v>#VALUE!</v>
      </c>
      <c r="I124" s="15" t="e">
        <f>SUMIF('[4]2.报价结算清单'!$F$2:$F$578,A124,'[4]2.报价结算清单'!$P$2:$P$578)</f>
        <v>#VALUE!</v>
      </c>
    </row>
    <row r="125" spans="1:9">
      <c r="A125" s="7" t="s">
        <v>2745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SUMIF('[4]2.报价结算清单'!$F$2:$F$578,$A125,'[4]2.报价结算清单'!$L$2:$L$578)</f>
        <v>#VALUE!</v>
      </c>
      <c r="H125" s="13" t="e">
        <f>SUMIF('[4]2.报价结算清单'!$F$2:$F$578,$A125,'[4]2.报价结算清单'!$N$2:$N$578)</f>
        <v>#VALUE!</v>
      </c>
      <c r="I125" s="15" t="e">
        <f>SUMIF('[4]2.报价结算清单'!$F$2:$F$578,A125,'[4]2.报价结算清单'!$P$2:$P$578)</f>
        <v>#VALUE!</v>
      </c>
    </row>
    <row r="126" spans="1:9">
      <c r="A126" s="7" t="s">
        <v>2746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SUMIF('[4]2.报价结算清单'!$F$2:$F$578,$A126,'[4]2.报价结算清单'!$L$2:$L$578)</f>
        <v>#VALUE!</v>
      </c>
      <c r="H126" s="13" t="e">
        <f>SUMIF('[4]2.报价结算清单'!$F$2:$F$578,$A126,'[4]2.报价结算清单'!$N$2:$N$578)</f>
        <v>#VALUE!</v>
      </c>
      <c r="I126" s="15" t="e">
        <f>SUMIF('[4]2.报价结算清单'!$F$2:$F$578,A126,'[4]2.报价结算清单'!$P$2:$P$578)</f>
        <v>#VALUE!</v>
      </c>
    </row>
    <row r="127" spans="1:9">
      <c r="A127" s="7" t="s">
        <v>2747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SUMIF('[4]2.报价结算清单'!$F$2:$F$578,$A127,'[4]2.报价结算清单'!$L$2:$L$578)</f>
        <v>#VALUE!</v>
      </c>
      <c r="H127" s="13" t="e">
        <f>SUMIF('[4]2.报价结算清单'!$F$2:$F$578,$A127,'[4]2.报价结算清单'!$N$2:$N$578)</f>
        <v>#VALUE!</v>
      </c>
      <c r="I127" s="15" t="e">
        <f>SUMIF('[4]2.报价结算清单'!$F$2:$F$578,A127,'[4]2.报价结算清单'!$P$2:$P$578)</f>
        <v>#VALUE!</v>
      </c>
    </row>
    <row r="128" spans="1:9">
      <c r="A128" s="7" t="s">
        <v>2748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SUMIF('[4]2.报价结算清单'!$F$2:$F$578,$A128,'[4]2.报价结算清单'!$L$2:$L$578)</f>
        <v>#VALUE!</v>
      </c>
      <c r="H128" s="13" t="e">
        <f>SUMIF('[4]2.报价结算清单'!$F$2:$F$578,$A128,'[4]2.报价结算清单'!$N$2:$N$578)</f>
        <v>#VALUE!</v>
      </c>
      <c r="I128" s="15" t="e">
        <f>SUMIF('[4]2.报价结算清单'!$F$2:$F$578,A128,'[4]2.报价结算清单'!$P$2:$P$578)</f>
        <v>#VALUE!</v>
      </c>
    </row>
    <row r="129" spans="1:9">
      <c r="A129" s="7" t="s">
        <v>2749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SUMIF('[4]2.报价结算清单'!$F$2:$F$578,$A129,'[4]2.报价结算清单'!$L$2:$L$578)</f>
        <v>#VALUE!</v>
      </c>
      <c r="H129" s="13" t="e">
        <f>SUMIF('[4]2.报价结算清单'!$F$2:$F$578,$A129,'[4]2.报价结算清单'!$N$2:$N$578)</f>
        <v>#VALUE!</v>
      </c>
      <c r="I129" s="15" t="e">
        <f>SUMIF('[4]2.报价结算清单'!$F$2:$F$578,A129,'[4]2.报价结算清单'!$P$2:$P$578)</f>
        <v>#VALUE!</v>
      </c>
    </row>
    <row r="130" spans="1:9">
      <c r="A130" s="7" t="s">
        <v>2750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SUMIF('[4]2.报价结算清单'!$F$2:$F$578,$A130,'[4]2.报价结算清单'!$L$2:$L$578)</f>
        <v>#VALUE!</v>
      </c>
      <c r="H130" s="13" t="e">
        <f>SUMIF('[4]2.报价结算清单'!$F$2:$F$578,$A130,'[4]2.报价结算清单'!$N$2:$N$578)</f>
        <v>#VALUE!</v>
      </c>
      <c r="I130" s="15" t="e">
        <f>SUMIF('[4]2.报价结算清单'!$F$2:$F$578,A130,'[4]2.报价结算清单'!$P$2:$P$578)</f>
        <v>#VALUE!</v>
      </c>
    </row>
    <row r="131" spans="1:9">
      <c r="A131" s="7" t="s">
        <v>2751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SUMIF('[4]2.报价结算清单'!$F$2:$F$578,$A131,'[4]2.报价结算清单'!$L$2:$L$578)</f>
        <v>#VALUE!</v>
      </c>
      <c r="H131" s="13" t="e">
        <f>SUMIF('[4]2.报价结算清单'!$F$2:$F$578,$A131,'[4]2.报价结算清单'!$N$2:$N$578)</f>
        <v>#VALUE!</v>
      </c>
      <c r="I131" s="15" t="e">
        <f>SUMIF('[4]2.报价结算清单'!$F$2:$F$578,A131,'[4]2.报价结算清单'!$P$2:$P$578)</f>
        <v>#VALUE!</v>
      </c>
    </row>
    <row r="132" spans="1:9">
      <c r="A132" s="7" t="s">
        <v>2752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SUMIF('[4]2.报价结算清单'!$F$2:$F$578,$A132,'[4]2.报价结算清单'!$L$2:$L$578)</f>
        <v>#VALUE!</v>
      </c>
      <c r="H132" s="13" t="e">
        <f>SUMIF('[4]2.报价结算清单'!$F$2:$F$578,$A132,'[4]2.报价结算清单'!$N$2:$N$578)</f>
        <v>#VALUE!</v>
      </c>
      <c r="I132" s="15" t="e">
        <f>SUMIF('[4]2.报价结算清单'!$F$2:$F$578,A132,'[4]2.报价结算清单'!$P$2:$P$578)</f>
        <v>#VALUE!</v>
      </c>
    </row>
    <row r="133" spans="1:9">
      <c r="A133" s="7" t="s">
        <v>2422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SUMIF('[4]2.报价结算清单'!$F$2:$F$578,$A133,'[4]2.报价结算清单'!$L$2:$L$578)</f>
        <v>#VALUE!</v>
      </c>
      <c r="H133" s="13" t="e">
        <f>SUMIF('[4]2.报价结算清单'!$F$2:$F$578,$A133,'[4]2.报价结算清单'!$N$2:$N$578)</f>
        <v>#VALUE!</v>
      </c>
      <c r="I133" s="15" t="e">
        <f>SUMIF('[4]2.报价结算清单'!$F$2:$F$578,A133,'[4]2.报价结算清单'!$P$2:$P$578)</f>
        <v>#VALUE!</v>
      </c>
    </row>
    <row r="134" spans="1:9">
      <c r="A134" s="7" t="s">
        <v>2753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SUMIF('[4]2.报价结算清单'!$F$2:$F$578,$A134,'[4]2.报价结算清单'!$L$2:$L$578)</f>
        <v>#VALUE!</v>
      </c>
      <c r="H134" s="13" t="e">
        <f>SUMIF('[4]2.报价结算清单'!$F$2:$F$578,$A134,'[4]2.报价结算清单'!$N$2:$N$578)</f>
        <v>#VALUE!</v>
      </c>
      <c r="I134" s="15" t="e">
        <f>SUMIF('[4]2.报价结算清单'!$F$2:$F$578,A134,'[4]2.报价结算清单'!$P$2:$P$578)</f>
        <v>#VALUE!</v>
      </c>
    </row>
    <row r="135" spans="1:9">
      <c r="A135" s="7" t="s">
        <v>2754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SUMIF('[4]2.报价结算清单'!$F$2:$F$578,$A135,'[4]2.报价结算清单'!$L$2:$L$578)</f>
        <v>#VALUE!</v>
      </c>
      <c r="H135" s="13" t="e">
        <f>SUMIF('[4]2.报价结算清单'!$F$2:$F$578,$A135,'[4]2.报价结算清单'!$N$2:$N$578)</f>
        <v>#VALUE!</v>
      </c>
      <c r="I135" s="15" t="e">
        <f>SUMIF('[4]2.报价结算清单'!$F$2:$F$578,A135,'[4]2.报价结算清单'!$P$2:$P$578)</f>
        <v>#VALUE!</v>
      </c>
    </row>
    <row r="136" spans="1:9">
      <c r="A136" s="7" t="s">
        <v>2416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SUMIF('[4]2.报价结算清单'!$F$2:$F$578,$A136,'[4]2.报价结算清单'!$L$2:$L$578)</f>
        <v>#VALUE!</v>
      </c>
      <c r="H136" s="13" t="e">
        <f>SUMIF('[4]2.报价结算清单'!$F$2:$F$578,$A136,'[4]2.报价结算清单'!$N$2:$N$578)</f>
        <v>#VALUE!</v>
      </c>
      <c r="I136" s="15" t="e">
        <f>SUMIF('[4]2.报价结算清单'!$F$2:$F$578,A136,'[4]2.报价结算清单'!$P$2:$P$578)</f>
        <v>#VALUE!</v>
      </c>
    </row>
    <row r="137" spans="1:9">
      <c r="A137" s="7" t="s">
        <v>2755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SUMIF('[4]2.报价结算清单'!$F$2:$F$578,$A137,'[4]2.报价结算清单'!$L$2:$L$578)</f>
        <v>#VALUE!</v>
      </c>
      <c r="H137" s="13" t="e">
        <f>SUMIF('[4]2.报价结算清单'!$F$2:$F$578,$A137,'[4]2.报价结算清单'!$N$2:$N$578)</f>
        <v>#VALUE!</v>
      </c>
      <c r="I137" s="15" t="e">
        <f>SUMIF('[4]2.报价结算清单'!$F$2:$F$578,A137,'[4]2.报价结算清单'!$P$2:$P$578)</f>
        <v>#VALUE!</v>
      </c>
    </row>
    <row r="138" spans="1:9">
      <c r="A138" s="7" t="s">
        <v>2756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SUMIF('[4]2.报价结算清单'!$F$2:$F$578,$A138,'[4]2.报价结算清单'!$L$2:$L$578)</f>
        <v>#VALUE!</v>
      </c>
      <c r="H138" s="13" t="e">
        <f>SUMIF('[4]2.报价结算清单'!$F$2:$F$578,$A138,'[4]2.报价结算清单'!$N$2:$N$578)</f>
        <v>#VALUE!</v>
      </c>
      <c r="I138" s="15" t="e">
        <f>SUMIF('[4]2.报价结算清单'!$F$2:$F$578,A138,'[4]2.报价结算清单'!$P$2:$P$578)</f>
        <v>#VALUE!</v>
      </c>
    </row>
    <row r="139" spans="1:9">
      <c r="A139" s="7" t="s">
        <v>2757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SUMIF('[4]2.报价结算清单'!$F$2:$F$578,$A139,'[4]2.报价结算清单'!$L$2:$L$578)</f>
        <v>#VALUE!</v>
      </c>
      <c r="H139" s="13" t="e">
        <f>SUMIF('[4]2.报价结算清单'!$F$2:$F$578,$A139,'[4]2.报价结算清单'!$N$2:$N$578)</f>
        <v>#VALUE!</v>
      </c>
      <c r="I139" s="15" t="e">
        <f>SUMIF('[4]2.报价结算清单'!$F$2:$F$578,A139,'[4]2.报价结算清单'!$P$2:$P$578)</f>
        <v>#VALUE!</v>
      </c>
    </row>
    <row r="140" spans="1:9">
      <c r="A140" s="7" t="s">
        <v>2758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SUMIF('[4]2.报价结算清单'!$F$2:$F$578,$A140,'[4]2.报价结算清单'!$L$2:$L$578)</f>
        <v>#VALUE!</v>
      </c>
      <c r="H140" s="13" t="e">
        <f>SUMIF('[4]2.报价结算清单'!$F$2:$F$578,$A140,'[4]2.报价结算清单'!$N$2:$N$578)</f>
        <v>#VALUE!</v>
      </c>
      <c r="I140" s="15" t="e">
        <f>SUMIF('[4]2.报价结算清单'!$F$2:$F$578,A140,'[4]2.报价结算清单'!$P$2:$P$578)</f>
        <v>#VALUE!</v>
      </c>
    </row>
    <row r="141" spans="1:9">
      <c r="A141" s="7" t="s">
        <v>2759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SUMIF('[4]2.报价结算清单'!$F$2:$F$578,$A141,'[4]2.报价结算清单'!$L$2:$L$578)</f>
        <v>#VALUE!</v>
      </c>
      <c r="H141" s="13" t="e">
        <f>SUMIF('[4]2.报价结算清单'!$F$2:$F$578,$A141,'[4]2.报价结算清单'!$N$2:$N$578)</f>
        <v>#VALUE!</v>
      </c>
      <c r="I141" s="15" t="e">
        <f>SUMIF('[4]2.报价结算清单'!$F$2:$F$578,A141,'[4]2.报价结算清单'!$P$2:$P$578)</f>
        <v>#VALUE!</v>
      </c>
    </row>
    <row r="142" spans="1:9">
      <c r="A142" s="7" t="s">
        <v>2760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SUMIF('[4]2.报价结算清单'!$F$2:$F$578,$A142,'[4]2.报价结算清单'!$L$2:$L$578)</f>
        <v>#VALUE!</v>
      </c>
      <c r="H142" s="13" t="e">
        <f>SUMIF('[4]2.报价结算清单'!$F$2:$F$578,$A142,'[4]2.报价结算清单'!$N$2:$N$578)</f>
        <v>#VALUE!</v>
      </c>
      <c r="I142" s="15" t="e">
        <f>SUMIF('[4]2.报价结算清单'!$F$2:$F$578,A142,'[4]2.报价结算清单'!$P$2:$P$578)</f>
        <v>#VALUE!</v>
      </c>
    </row>
    <row r="143" spans="1:9">
      <c r="A143" s="7" t="s">
        <v>2761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SUMIF('[4]2.报价结算清单'!$F$2:$F$578,$A143,'[4]2.报价结算清单'!$L$2:$L$578)</f>
        <v>#VALUE!</v>
      </c>
      <c r="H143" s="13" t="e">
        <f>SUMIF('[4]2.报价结算清单'!$F$2:$F$578,$A143,'[4]2.报价结算清单'!$N$2:$N$578)</f>
        <v>#VALUE!</v>
      </c>
      <c r="I143" s="15" t="e">
        <f>SUMIF('[4]2.报价结算清单'!$F$2:$F$578,A143,'[4]2.报价结算清单'!$P$2:$P$578)</f>
        <v>#VALUE!</v>
      </c>
    </row>
    <row r="144" spans="1:9">
      <c r="A144" s="7" t="s">
        <v>2762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SUMIF('[4]2.报价结算清单'!$F$2:$F$578,$A144,'[4]2.报价结算清单'!$L$2:$L$578)</f>
        <v>#VALUE!</v>
      </c>
      <c r="H144" s="13" t="e">
        <f>SUMIF('[4]2.报价结算清单'!$F$2:$F$578,$A144,'[4]2.报价结算清单'!$N$2:$N$578)</f>
        <v>#VALUE!</v>
      </c>
      <c r="I144" s="15" t="e">
        <f>SUMIF('[4]2.报价结算清单'!$F$2:$F$578,A144,'[4]2.报价结算清单'!$P$2:$P$578)</f>
        <v>#VALUE!</v>
      </c>
    </row>
    <row r="145" spans="1:9">
      <c r="A145" s="7" t="s">
        <v>2763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SUMIF('[4]2.报价结算清单'!$F$2:$F$578,$A145,'[4]2.报价结算清单'!$L$2:$L$578)</f>
        <v>#VALUE!</v>
      </c>
      <c r="H145" s="13" t="e">
        <f>SUMIF('[4]2.报价结算清单'!$F$2:$F$578,$A145,'[4]2.报价结算清单'!$N$2:$N$578)</f>
        <v>#VALUE!</v>
      </c>
      <c r="I145" s="15" t="e">
        <f>SUMIF('[4]2.报价结算清单'!$F$2:$F$578,A145,'[4]2.报价结算清单'!$P$2:$P$578)</f>
        <v>#VALUE!</v>
      </c>
    </row>
    <row r="146" spans="1:9">
      <c r="A146" s="7" t="s">
        <v>2764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SUMIF('[4]2.报价结算清单'!$F$2:$F$578,$A146,'[4]2.报价结算清单'!$L$2:$L$578)</f>
        <v>#VALUE!</v>
      </c>
      <c r="H146" s="13" t="e">
        <f>SUMIF('[4]2.报价结算清单'!$F$2:$F$578,$A146,'[4]2.报价结算清单'!$N$2:$N$578)</f>
        <v>#VALUE!</v>
      </c>
      <c r="I146" s="15" t="e">
        <f>SUMIF('[4]2.报价结算清单'!$F$2:$F$578,A146,'[4]2.报价结算清单'!$P$2:$P$578)</f>
        <v>#VALUE!</v>
      </c>
    </row>
    <row r="147" spans="1:9">
      <c r="A147" s="7" t="s">
        <v>2765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SUMIF('[4]2.报价结算清单'!$F$2:$F$578,$A147,'[4]2.报价结算清单'!$L$2:$L$578)</f>
        <v>#VALUE!</v>
      </c>
      <c r="H147" s="13" t="e">
        <f>SUMIF('[4]2.报价结算清单'!$F$2:$F$578,$A147,'[4]2.报价结算清单'!$N$2:$N$578)</f>
        <v>#VALUE!</v>
      </c>
      <c r="I147" s="15" t="e">
        <f>SUMIF('[4]2.报价结算清单'!$F$2:$F$578,A147,'[4]2.报价结算清单'!$P$2:$P$578)</f>
        <v>#VALUE!</v>
      </c>
    </row>
    <row r="148" spans="1:9">
      <c r="A148" s="7" t="s">
        <v>2766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SUMIF('[4]2.报价结算清单'!$F$2:$F$578,$A148,'[4]2.报价结算清单'!$L$2:$L$578)</f>
        <v>#VALUE!</v>
      </c>
      <c r="H148" s="13" t="e">
        <f>SUMIF('[4]2.报价结算清单'!$F$2:$F$578,$A148,'[4]2.报价结算清单'!$N$2:$N$578)</f>
        <v>#VALUE!</v>
      </c>
      <c r="I148" s="15" t="e">
        <f>SUMIF('[4]2.报价结算清单'!$F$2:$F$578,A148,'[4]2.报价结算清单'!$P$2:$P$578)</f>
        <v>#VALUE!</v>
      </c>
    </row>
    <row r="149" spans="1:9">
      <c r="A149" s="7" t="s">
        <v>2767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SUMIF('[4]2.报价结算清单'!$F$2:$F$578,$A149,'[4]2.报价结算清单'!$L$2:$L$578)</f>
        <v>#VALUE!</v>
      </c>
      <c r="H149" s="13" t="e">
        <f>SUMIF('[4]2.报价结算清单'!$F$2:$F$578,$A149,'[4]2.报价结算清单'!$N$2:$N$578)</f>
        <v>#VALUE!</v>
      </c>
      <c r="I149" s="15" t="e">
        <f>SUMIF('[4]2.报价结算清单'!$F$2:$F$578,A149,'[4]2.报价结算清单'!$P$2:$P$578)</f>
        <v>#VALUE!</v>
      </c>
    </row>
    <row r="150" spans="1:9">
      <c r="A150" s="7" t="s">
        <v>2440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SUMIF('[4]2.报价结算清单'!$F$2:$F$578,$A150,'[4]2.报价结算清单'!$L$2:$L$578)</f>
        <v>#VALUE!</v>
      </c>
      <c r="H150" s="13" t="e">
        <f>SUMIF('[4]2.报价结算清单'!$F$2:$F$578,$A150,'[4]2.报价结算清单'!$N$2:$N$578)</f>
        <v>#VALUE!</v>
      </c>
      <c r="I150" s="15" t="e">
        <f>SUMIF('[4]2.报价结算清单'!$F$2:$F$578,A150,'[4]2.报价结算清单'!$P$2:$P$578)</f>
        <v>#VALUE!</v>
      </c>
    </row>
    <row r="151" spans="1:9">
      <c r="A151" s="7" t="s">
        <v>2768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SUMIF('[4]2.报价结算清单'!$F$2:$F$578,$A151,'[4]2.报价结算清单'!$L$2:$L$578)</f>
        <v>#VALUE!</v>
      </c>
      <c r="H151" s="13" t="e">
        <f>SUMIF('[4]2.报价结算清单'!$F$2:$F$578,$A151,'[4]2.报价结算清单'!$N$2:$N$578)</f>
        <v>#VALUE!</v>
      </c>
      <c r="I151" s="15" t="e">
        <f>SUMIF('[4]2.报价结算清单'!$F$2:$F$578,A151,'[4]2.报价结算清单'!$P$2:$P$578)</f>
        <v>#VALUE!</v>
      </c>
    </row>
    <row r="152" spans="1:9" ht="24.75">
      <c r="A152" s="7" t="s">
        <v>2769</v>
      </c>
      <c r="B152" s="8" t="s">
        <v>1001</v>
      </c>
      <c r="C152" s="8" t="s">
        <v>2280</v>
      </c>
      <c r="D152" s="9" t="s">
        <v>3179</v>
      </c>
      <c r="E152" s="8" t="s">
        <v>90</v>
      </c>
      <c r="F152" s="12">
        <v>237.44</v>
      </c>
      <c r="G152" s="13" t="e">
        <f>SUMIF('[4]2.报价结算清单'!$F$2:$F$578,$A152,'[4]2.报价结算清单'!$L$2:$L$578)</f>
        <v>#VALUE!</v>
      </c>
      <c r="H152" s="13" t="e">
        <f>SUMIF('[4]2.报价结算清单'!$F$2:$F$578,$A152,'[4]2.报价结算清单'!$N$2:$N$578)</f>
        <v>#VALUE!</v>
      </c>
      <c r="I152" s="15" t="e">
        <f>SUMIF('[4]2.报价结算清单'!$F$2:$F$578,A152,'[4]2.报价结算清单'!$P$2:$P$578)</f>
        <v>#VALUE!</v>
      </c>
    </row>
    <row r="153" spans="1:9" ht="24.75">
      <c r="A153" s="7" t="s">
        <v>2436</v>
      </c>
      <c r="B153" s="8" t="s">
        <v>1676</v>
      </c>
      <c r="C153" s="8" t="s">
        <v>2280</v>
      </c>
      <c r="D153" s="9" t="s">
        <v>3180</v>
      </c>
      <c r="E153" s="8" t="s">
        <v>90</v>
      </c>
      <c r="F153" s="12">
        <v>424</v>
      </c>
      <c r="G153" s="13" t="e">
        <f>SUMIF('[4]2.报价结算清单'!$F$2:$F$578,$A153,'[4]2.报价结算清单'!$L$2:$L$578)</f>
        <v>#VALUE!</v>
      </c>
      <c r="H153" s="13" t="e">
        <f>SUMIF('[4]2.报价结算清单'!$F$2:$F$578,$A153,'[4]2.报价结算清单'!$N$2:$N$578)</f>
        <v>#VALUE!</v>
      </c>
      <c r="I153" s="15" t="e">
        <f>SUMIF('[4]2.报价结算清单'!$F$2:$F$578,A153,'[4]2.报价结算清单'!$P$2:$P$578)</f>
        <v>#VALUE!</v>
      </c>
    </row>
    <row r="154" spans="1:9">
      <c r="A154" s="7" t="s">
        <v>2770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SUMIF('[4]2.报价结算清单'!$F$2:$F$578,$A154,'[4]2.报价结算清单'!$L$2:$L$578)</f>
        <v>#VALUE!</v>
      </c>
      <c r="H154" s="13" t="e">
        <f>SUMIF('[4]2.报价结算清单'!$F$2:$F$578,$A154,'[4]2.报价结算清单'!$N$2:$N$578)</f>
        <v>#VALUE!</v>
      </c>
      <c r="I154" s="15" t="e">
        <f>SUMIF('[4]2.报价结算清单'!$F$2:$F$578,A154,'[4]2.报价结算清单'!$P$2:$P$578)</f>
        <v>#VALUE!</v>
      </c>
    </row>
    <row r="155" spans="1:9">
      <c r="A155" s="7" t="s">
        <v>2771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SUMIF('[4]2.报价结算清单'!$F$2:$F$578,$A155,'[4]2.报价结算清单'!$L$2:$L$578)</f>
        <v>#VALUE!</v>
      </c>
      <c r="H155" s="13" t="e">
        <f>SUMIF('[4]2.报价结算清单'!$F$2:$F$578,$A155,'[4]2.报价结算清单'!$N$2:$N$578)</f>
        <v>#VALUE!</v>
      </c>
      <c r="I155" s="15" t="e">
        <f>SUMIF('[4]2.报价结算清单'!$F$2:$F$578,A155,'[4]2.报价结算清单'!$P$2:$P$578)</f>
        <v>#VALUE!</v>
      </c>
    </row>
    <row r="156" spans="1:9">
      <c r="A156" s="7" t="s">
        <v>2772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SUMIF('[4]2.报价结算清单'!$F$2:$F$578,$A156,'[4]2.报价结算清单'!$L$2:$L$578)</f>
        <v>#VALUE!</v>
      </c>
      <c r="H156" s="13" t="e">
        <f>SUMIF('[4]2.报价结算清单'!$F$2:$F$578,$A156,'[4]2.报价结算清单'!$N$2:$N$578)</f>
        <v>#VALUE!</v>
      </c>
      <c r="I156" s="15" t="e">
        <f>SUMIF('[4]2.报价结算清单'!$F$2:$F$578,A156,'[4]2.报价结算清单'!$P$2:$P$578)</f>
        <v>#VALUE!</v>
      </c>
    </row>
    <row r="157" spans="1:9">
      <c r="A157" s="7" t="s">
        <v>2773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SUMIF('[4]2.报价结算清单'!$F$2:$F$578,$A157,'[4]2.报价结算清单'!$L$2:$L$578)</f>
        <v>#VALUE!</v>
      </c>
      <c r="H157" s="13" t="e">
        <f>SUMIF('[4]2.报价结算清单'!$F$2:$F$578,$A157,'[4]2.报价结算清单'!$N$2:$N$578)</f>
        <v>#VALUE!</v>
      </c>
      <c r="I157" s="15" t="e">
        <f>SUMIF('[4]2.报价结算清单'!$F$2:$F$578,A157,'[4]2.报价结算清单'!$P$2:$P$578)</f>
        <v>#VALUE!</v>
      </c>
    </row>
    <row r="158" spans="1:9">
      <c r="A158" s="7" t="s">
        <v>2774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SUMIF('[4]2.报价结算清单'!$F$2:$F$578,$A158,'[4]2.报价结算清单'!$L$2:$L$578)</f>
        <v>#VALUE!</v>
      </c>
      <c r="H158" s="13" t="e">
        <f>SUMIF('[4]2.报价结算清单'!$F$2:$F$578,$A158,'[4]2.报价结算清单'!$N$2:$N$578)</f>
        <v>#VALUE!</v>
      </c>
      <c r="I158" s="15" t="e">
        <f>SUMIF('[4]2.报价结算清单'!$F$2:$F$578,A158,'[4]2.报价结算清单'!$P$2:$P$578)</f>
        <v>#VALUE!</v>
      </c>
    </row>
    <row r="159" spans="1:9">
      <c r="A159" s="7" t="s">
        <v>2775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SUMIF('[4]2.报价结算清单'!$F$2:$F$578,$A159,'[4]2.报价结算清单'!$L$2:$L$578)</f>
        <v>#VALUE!</v>
      </c>
      <c r="H159" s="13" t="e">
        <f>SUMIF('[4]2.报价结算清单'!$F$2:$F$578,$A159,'[4]2.报价结算清单'!$N$2:$N$578)</f>
        <v>#VALUE!</v>
      </c>
      <c r="I159" s="15" t="e">
        <f>SUMIF('[4]2.报价结算清单'!$F$2:$F$578,A159,'[4]2.报价结算清单'!$P$2:$P$578)</f>
        <v>#VALUE!</v>
      </c>
    </row>
    <row r="160" spans="1:9">
      <c r="A160" s="7" t="s">
        <v>2776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SUMIF('[4]2.报价结算清单'!$F$2:$F$578,$A160,'[4]2.报价结算清单'!$L$2:$L$578)</f>
        <v>#VALUE!</v>
      </c>
      <c r="H160" s="13" t="e">
        <f>SUMIF('[4]2.报价结算清单'!$F$2:$F$578,$A160,'[4]2.报价结算清单'!$N$2:$N$578)</f>
        <v>#VALUE!</v>
      </c>
      <c r="I160" s="15" t="e">
        <f>SUMIF('[4]2.报价结算清单'!$F$2:$F$578,A160,'[4]2.报价结算清单'!$P$2:$P$578)</f>
        <v>#VALUE!</v>
      </c>
    </row>
    <row r="161" spans="1:9">
      <c r="A161" s="7" t="s">
        <v>2777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SUMIF('[4]2.报价结算清单'!$F$2:$F$578,$A161,'[4]2.报价结算清单'!$L$2:$L$578)</f>
        <v>#VALUE!</v>
      </c>
      <c r="H161" s="13" t="e">
        <f>SUMIF('[4]2.报价结算清单'!$F$2:$F$578,$A161,'[4]2.报价结算清单'!$N$2:$N$578)</f>
        <v>#VALUE!</v>
      </c>
      <c r="I161" s="15" t="e">
        <f>SUMIF('[4]2.报价结算清单'!$F$2:$F$578,A161,'[4]2.报价结算清单'!$P$2:$P$578)</f>
        <v>#VALUE!</v>
      </c>
    </row>
    <row r="162" spans="1:9">
      <c r="A162" s="7" t="s">
        <v>2778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SUMIF('[4]2.报价结算清单'!$F$2:$F$578,$A162,'[4]2.报价结算清单'!$L$2:$L$578)</f>
        <v>#VALUE!</v>
      </c>
      <c r="H162" s="13" t="e">
        <f>SUMIF('[4]2.报价结算清单'!$F$2:$F$578,$A162,'[4]2.报价结算清单'!$N$2:$N$578)</f>
        <v>#VALUE!</v>
      </c>
      <c r="I162" s="15" t="e">
        <f>SUMIF('[4]2.报价结算清单'!$F$2:$F$578,A162,'[4]2.报价结算清单'!$P$2:$P$578)</f>
        <v>#VALUE!</v>
      </c>
    </row>
    <row r="163" spans="1:9">
      <c r="A163" s="7" t="s">
        <v>2779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SUMIF('[4]2.报价结算清单'!$F$2:$F$578,$A163,'[4]2.报价结算清单'!$L$2:$L$578)</f>
        <v>#VALUE!</v>
      </c>
      <c r="H163" s="13" t="e">
        <f>SUMIF('[4]2.报价结算清单'!$F$2:$F$578,$A163,'[4]2.报价结算清单'!$N$2:$N$578)</f>
        <v>#VALUE!</v>
      </c>
      <c r="I163" s="15" t="e">
        <f>SUMIF('[4]2.报价结算清单'!$F$2:$F$578,A163,'[4]2.报价结算清单'!$P$2:$P$578)</f>
        <v>#VALUE!</v>
      </c>
    </row>
    <row r="164" spans="1:9">
      <c r="A164" s="7" t="s">
        <v>2780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SUMIF('[4]2.报价结算清单'!$F$2:$F$578,$A164,'[4]2.报价结算清单'!$L$2:$L$578)</f>
        <v>#VALUE!</v>
      </c>
      <c r="H164" s="13" t="e">
        <f>SUMIF('[4]2.报价结算清单'!$F$2:$F$578,$A164,'[4]2.报价结算清单'!$N$2:$N$578)</f>
        <v>#VALUE!</v>
      </c>
      <c r="I164" s="15" t="e">
        <f>SUMIF('[4]2.报价结算清单'!$F$2:$F$578,A164,'[4]2.报价结算清单'!$P$2:$P$578)</f>
        <v>#VALUE!</v>
      </c>
    </row>
    <row r="165" spans="1:9">
      <c r="A165" s="7" t="s">
        <v>2781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SUMIF('[4]2.报价结算清单'!$F$2:$F$578,$A165,'[4]2.报价结算清单'!$L$2:$L$578)</f>
        <v>#VALUE!</v>
      </c>
      <c r="H165" s="13" t="e">
        <f>SUMIF('[4]2.报价结算清单'!$F$2:$F$578,$A165,'[4]2.报价结算清单'!$N$2:$N$578)</f>
        <v>#VALUE!</v>
      </c>
      <c r="I165" s="15" t="e">
        <f>SUMIF('[4]2.报价结算清单'!$F$2:$F$578,A165,'[4]2.报价结算清单'!$P$2:$P$578)</f>
        <v>#VALUE!</v>
      </c>
    </row>
    <row r="166" spans="1:9">
      <c r="A166" s="7" t="s">
        <v>2782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SUMIF('[4]2.报价结算清单'!$F$2:$F$578,$A166,'[4]2.报价结算清单'!$L$2:$L$578)</f>
        <v>#VALUE!</v>
      </c>
      <c r="H166" s="13" t="e">
        <f>SUMIF('[4]2.报价结算清单'!$F$2:$F$578,$A166,'[4]2.报价结算清单'!$N$2:$N$578)</f>
        <v>#VALUE!</v>
      </c>
      <c r="I166" s="15" t="e">
        <f>SUMIF('[4]2.报价结算清单'!$F$2:$F$578,A166,'[4]2.报价结算清单'!$P$2:$P$578)</f>
        <v>#VALUE!</v>
      </c>
    </row>
    <row r="167" spans="1:9">
      <c r="A167" s="7" t="s">
        <v>2783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SUMIF('[4]2.报价结算清单'!$F$2:$F$578,$A167,'[4]2.报价结算清单'!$L$2:$L$578)</f>
        <v>#VALUE!</v>
      </c>
      <c r="H167" s="13" t="e">
        <f>SUMIF('[4]2.报价结算清单'!$F$2:$F$578,$A167,'[4]2.报价结算清单'!$N$2:$N$578)</f>
        <v>#VALUE!</v>
      </c>
      <c r="I167" s="15" t="e">
        <f>SUMIF('[4]2.报价结算清单'!$F$2:$F$578,A167,'[4]2.报价结算清单'!$P$2:$P$578)</f>
        <v>#VALUE!</v>
      </c>
    </row>
    <row r="168" spans="1:9">
      <c r="A168" s="7" t="s">
        <v>2784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SUMIF('[4]2.报价结算清单'!$F$2:$F$578,$A168,'[4]2.报价结算清单'!$L$2:$L$578)</f>
        <v>#VALUE!</v>
      </c>
      <c r="H168" s="13" t="e">
        <f>SUMIF('[4]2.报价结算清单'!$F$2:$F$578,$A168,'[4]2.报价结算清单'!$N$2:$N$578)</f>
        <v>#VALUE!</v>
      </c>
      <c r="I168" s="15" t="e">
        <f>SUMIF('[4]2.报价结算清单'!$F$2:$F$578,A168,'[4]2.报价结算清单'!$P$2:$P$578)</f>
        <v>#VALUE!</v>
      </c>
    </row>
    <row r="169" spans="1:9">
      <c r="A169" s="7" t="s">
        <v>2785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SUMIF('[4]2.报价结算清单'!$F$2:$F$578,$A169,'[4]2.报价结算清单'!$L$2:$L$578)</f>
        <v>#VALUE!</v>
      </c>
      <c r="H169" s="13" t="e">
        <f>SUMIF('[4]2.报价结算清单'!$F$2:$F$578,$A169,'[4]2.报价结算清单'!$N$2:$N$578)</f>
        <v>#VALUE!</v>
      </c>
      <c r="I169" s="15" t="e">
        <f>SUMIF('[4]2.报价结算清单'!$F$2:$F$578,A169,'[4]2.报价结算清单'!$P$2:$P$578)</f>
        <v>#VALUE!</v>
      </c>
    </row>
    <row r="170" spans="1:9">
      <c r="A170" s="7" t="s">
        <v>2786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SUMIF('[4]2.报价结算清单'!$F$2:$F$578,$A170,'[4]2.报价结算清单'!$L$2:$L$578)</f>
        <v>#VALUE!</v>
      </c>
      <c r="H170" s="13" t="e">
        <f>SUMIF('[4]2.报价结算清单'!$F$2:$F$578,$A170,'[4]2.报价结算清单'!$N$2:$N$578)</f>
        <v>#VALUE!</v>
      </c>
      <c r="I170" s="15" t="e">
        <f>SUMIF('[4]2.报价结算清单'!$F$2:$F$578,A170,'[4]2.报价结算清单'!$P$2:$P$578)</f>
        <v>#VALUE!</v>
      </c>
    </row>
    <row r="171" spans="1:9">
      <c r="A171" s="7" t="s">
        <v>2787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SUMIF('[4]2.报价结算清单'!$F$2:$F$578,$A171,'[4]2.报价结算清单'!$L$2:$L$578)</f>
        <v>#VALUE!</v>
      </c>
      <c r="H171" s="13" t="e">
        <f>SUMIF('[4]2.报价结算清单'!$F$2:$F$578,$A171,'[4]2.报价结算清单'!$N$2:$N$578)</f>
        <v>#VALUE!</v>
      </c>
      <c r="I171" s="15" t="e">
        <f>SUMIF('[4]2.报价结算清单'!$F$2:$F$578,A171,'[4]2.报价结算清单'!$P$2:$P$578)</f>
        <v>#VALUE!</v>
      </c>
    </row>
    <row r="172" spans="1:9">
      <c r="A172" s="7" t="s">
        <v>2788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SUMIF('[4]2.报价结算清单'!$F$2:$F$578,$A172,'[4]2.报价结算清单'!$L$2:$L$578)</f>
        <v>#VALUE!</v>
      </c>
      <c r="H172" s="13" t="e">
        <f>SUMIF('[4]2.报价结算清单'!$F$2:$F$578,$A172,'[4]2.报价结算清单'!$N$2:$N$578)</f>
        <v>#VALUE!</v>
      </c>
      <c r="I172" s="15" t="e">
        <f>SUMIF('[4]2.报价结算清单'!$F$2:$F$578,A172,'[4]2.报价结算清单'!$P$2:$P$578)</f>
        <v>#VALUE!</v>
      </c>
    </row>
    <row r="173" spans="1:9">
      <c r="A173" s="7" t="s">
        <v>2789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SUMIF('[4]2.报价结算清单'!$F$2:$F$578,$A173,'[4]2.报价结算清单'!$L$2:$L$578)</f>
        <v>#VALUE!</v>
      </c>
      <c r="H173" s="13" t="e">
        <f>SUMIF('[4]2.报价结算清单'!$F$2:$F$578,$A173,'[4]2.报价结算清单'!$N$2:$N$578)</f>
        <v>#VALUE!</v>
      </c>
      <c r="I173" s="15" t="e">
        <f>SUMIF('[4]2.报价结算清单'!$F$2:$F$578,A173,'[4]2.报价结算清单'!$P$2:$P$578)</f>
        <v>#VALUE!</v>
      </c>
    </row>
    <row r="174" spans="1:9">
      <c r="A174" s="7" t="s">
        <v>2790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SUMIF('[4]2.报价结算清单'!$F$2:$F$578,$A174,'[4]2.报价结算清单'!$L$2:$L$578)</f>
        <v>#VALUE!</v>
      </c>
      <c r="H174" s="13" t="e">
        <f>SUMIF('[4]2.报价结算清单'!$F$2:$F$578,$A174,'[4]2.报价结算清单'!$N$2:$N$578)</f>
        <v>#VALUE!</v>
      </c>
      <c r="I174" s="15" t="e">
        <f>SUMIF('[4]2.报价结算清单'!$F$2:$F$578,A174,'[4]2.报价结算清单'!$P$2:$P$578)</f>
        <v>#VALUE!</v>
      </c>
    </row>
    <row r="175" spans="1:9">
      <c r="A175" s="7" t="s">
        <v>2791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SUMIF('[4]2.报价结算清单'!$F$2:$F$578,$A175,'[4]2.报价结算清单'!$L$2:$L$578)</f>
        <v>#VALUE!</v>
      </c>
      <c r="H175" s="13" t="e">
        <f>SUMIF('[4]2.报价结算清单'!$F$2:$F$578,$A175,'[4]2.报价结算清单'!$N$2:$N$578)</f>
        <v>#VALUE!</v>
      </c>
      <c r="I175" s="15" t="e">
        <f>SUMIF('[4]2.报价结算清单'!$F$2:$F$578,A175,'[4]2.报价结算清单'!$P$2:$P$578)</f>
        <v>#VALUE!</v>
      </c>
    </row>
    <row r="176" spans="1:9">
      <c r="A176" s="7" t="s">
        <v>2792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SUMIF('[4]2.报价结算清单'!$F$2:$F$578,$A176,'[4]2.报价结算清单'!$L$2:$L$578)</f>
        <v>#VALUE!</v>
      </c>
      <c r="H176" s="13" t="e">
        <f>SUMIF('[4]2.报价结算清单'!$F$2:$F$578,$A176,'[4]2.报价结算清单'!$N$2:$N$578)</f>
        <v>#VALUE!</v>
      </c>
      <c r="I176" s="15" t="e">
        <f>SUMIF('[4]2.报价结算清单'!$F$2:$F$578,A176,'[4]2.报价结算清单'!$P$2:$P$578)</f>
        <v>#VALUE!</v>
      </c>
    </row>
    <row r="177" spans="1:9">
      <c r="A177" s="7" t="s">
        <v>2793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SUMIF('[4]2.报价结算清单'!$F$2:$F$578,$A177,'[4]2.报价结算清单'!$L$2:$L$578)</f>
        <v>#VALUE!</v>
      </c>
      <c r="H177" s="13" t="e">
        <f>SUMIF('[4]2.报价结算清单'!$F$2:$F$578,$A177,'[4]2.报价结算清单'!$N$2:$N$578)</f>
        <v>#VALUE!</v>
      </c>
      <c r="I177" s="15" t="e">
        <f>SUMIF('[4]2.报价结算清单'!$F$2:$F$578,A177,'[4]2.报价结算清单'!$P$2:$P$578)</f>
        <v>#VALUE!</v>
      </c>
    </row>
    <row r="178" spans="1:9">
      <c r="A178" s="7" t="s">
        <v>2794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SUMIF('[4]2.报价结算清单'!$F$2:$F$578,$A178,'[4]2.报价结算清单'!$L$2:$L$578)</f>
        <v>#VALUE!</v>
      </c>
      <c r="H178" s="13" t="e">
        <f>SUMIF('[4]2.报价结算清单'!$F$2:$F$578,$A178,'[4]2.报价结算清单'!$N$2:$N$578)</f>
        <v>#VALUE!</v>
      </c>
      <c r="I178" s="15" t="e">
        <f>SUMIF('[4]2.报价结算清单'!$F$2:$F$578,A178,'[4]2.报价结算清单'!$P$2:$P$578)</f>
        <v>#VALUE!</v>
      </c>
    </row>
    <row r="179" spans="1:9">
      <c r="A179" s="7" t="s">
        <v>2795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SUMIF('[4]2.报价结算清单'!$F$2:$F$578,$A179,'[4]2.报价结算清单'!$L$2:$L$578)</f>
        <v>#VALUE!</v>
      </c>
      <c r="H179" s="13" t="e">
        <f>SUMIF('[4]2.报价结算清单'!$F$2:$F$578,$A179,'[4]2.报价结算清单'!$N$2:$N$578)</f>
        <v>#VALUE!</v>
      </c>
      <c r="I179" s="15" t="e">
        <f>SUMIF('[4]2.报价结算清单'!$F$2:$F$578,A179,'[4]2.报价结算清单'!$P$2:$P$578)</f>
        <v>#VALUE!</v>
      </c>
    </row>
    <row r="180" spans="1:9">
      <c r="A180" s="7" t="s">
        <v>2796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SUMIF('[4]2.报价结算清单'!$F$2:$F$578,$A180,'[4]2.报价结算清单'!$L$2:$L$578)</f>
        <v>#VALUE!</v>
      </c>
      <c r="H180" s="13" t="e">
        <f>SUMIF('[4]2.报价结算清单'!$F$2:$F$578,$A180,'[4]2.报价结算清单'!$N$2:$N$578)</f>
        <v>#VALUE!</v>
      </c>
      <c r="I180" s="15" t="e">
        <f>SUMIF('[4]2.报价结算清单'!$F$2:$F$578,A180,'[4]2.报价结算清单'!$P$2:$P$578)</f>
        <v>#VALUE!</v>
      </c>
    </row>
    <row r="181" spans="1:9">
      <c r="A181" s="7" t="s">
        <v>2797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SUMIF('[4]2.报价结算清单'!$F$2:$F$578,$A181,'[4]2.报价结算清单'!$L$2:$L$578)</f>
        <v>#VALUE!</v>
      </c>
      <c r="H181" s="13" t="e">
        <f>SUMIF('[4]2.报价结算清单'!$F$2:$F$578,$A181,'[4]2.报价结算清单'!$N$2:$N$578)</f>
        <v>#VALUE!</v>
      </c>
      <c r="I181" s="15" t="e">
        <f>SUMIF('[4]2.报价结算清单'!$F$2:$F$578,A181,'[4]2.报价结算清单'!$P$2:$P$578)</f>
        <v>#VALUE!</v>
      </c>
    </row>
    <row r="182" spans="1:9">
      <c r="A182" s="7" t="s">
        <v>2798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SUMIF('[4]2.报价结算清单'!$F$2:$F$578,$A182,'[4]2.报价结算清单'!$L$2:$L$578)</f>
        <v>#VALUE!</v>
      </c>
      <c r="H182" s="13" t="e">
        <f>SUMIF('[4]2.报价结算清单'!$F$2:$F$578,$A182,'[4]2.报价结算清单'!$N$2:$N$578)</f>
        <v>#VALUE!</v>
      </c>
      <c r="I182" s="15" t="e">
        <f>SUMIF('[4]2.报价结算清单'!$F$2:$F$578,A182,'[4]2.报价结算清单'!$P$2:$P$578)</f>
        <v>#VALUE!</v>
      </c>
    </row>
    <row r="183" spans="1:9">
      <c r="A183" s="7" t="s">
        <v>2799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SUMIF('[4]2.报价结算清单'!$F$2:$F$578,$A183,'[4]2.报价结算清单'!$L$2:$L$578)</f>
        <v>#VALUE!</v>
      </c>
      <c r="H183" s="13" t="e">
        <f>SUMIF('[4]2.报价结算清单'!$F$2:$F$578,$A183,'[4]2.报价结算清单'!$N$2:$N$578)</f>
        <v>#VALUE!</v>
      </c>
      <c r="I183" s="15" t="e">
        <f>SUMIF('[4]2.报价结算清单'!$F$2:$F$578,A183,'[4]2.报价结算清单'!$P$2:$P$578)</f>
        <v>#VALUE!</v>
      </c>
    </row>
    <row r="184" spans="1:9">
      <c r="A184" s="7" t="s">
        <v>2800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SUMIF('[4]2.报价结算清单'!$F$2:$F$578,$A184,'[4]2.报价结算清单'!$L$2:$L$578)</f>
        <v>#VALUE!</v>
      </c>
      <c r="H184" s="13" t="e">
        <f>SUMIF('[4]2.报价结算清单'!$F$2:$F$578,$A184,'[4]2.报价结算清单'!$N$2:$N$578)</f>
        <v>#VALUE!</v>
      </c>
      <c r="I184" s="15" t="e">
        <f>SUMIF('[4]2.报价结算清单'!$F$2:$F$578,A184,'[4]2.报价结算清单'!$P$2:$P$578)</f>
        <v>#VALUE!</v>
      </c>
    </row>
    <row r="185" spans="1:9">
      <c r="A185" s="7" t="s">
        <v>2801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SUMIF('[4]2.报价结算清单'!$F$2:$F$578,$A185,'[4]2.报价结算清单'!$L$2:$L$578)</f>
        <v>#VALUE!</v>
      </c>
      <c r="H185" s="13" t="e">
        <f>SUMIF('[4]2.报价结算清单'!$F$2:$F$578,$A185,'[4]2.报价结算清单'!$N$2:$N$578)</f>
        <v>#VALUE!</v>
      </c>
      <c r="I185" s="15" t="e">
        <f>SUMIF('[4]2.报价结算清单'!$F$2:$F$578,A185,'[4]2.报价结算清单'!$P$2:$P$578)</f>
        <v>#VALUE!</v>
      </c>
    </row>
    <row r="186" spans="1:9">
      <c r="A186" s="7" t="s">
        <v>2802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SUMIF('[4]2.报价结算清单'!$F$2:$F$578,$A186,'[4]2.报价结算清单'!$L$2:$L$578)</f>
        <v>#VALUE!</v>
      </c>
      <c r="H186" s="13" t="e">
        <f>SUMIF('[4]2.报价结算清单'!$F$2:$F$578,$A186,'[4]2.报价结算清单'!$N$2:$N$578)</f>
        <v>#VALUE!</v>
      </c>
      <c r="I186" s="15" t="e">
        <f>SUMIF('[4]2.报价结算清单'!$F$2:$F$578,A186,'[4]2.报价结算清单'!$P$2:$P$578)</f>
        <v>#VALUE!</v>
      </c>
    </row>
    <row r="187" spans="1:9">
      <c r="A187" s="7" t="s">
        <v>2803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SUMIF('[4]2.报价结算清单'!$F$2:$F$578,$A187,'[4]2.报价结算清单'!$L$2:$L$578)</f>
        <v>#VALUE!</v>
      </c>
      <c r="H187" s="13" t="e">
        <f>SUMIF('[4]2.报价结算清单'!$F$2:$F$578,$A187,'[4]2.报价结算清单'!$N$2:$N$578)</f>
        <v>#VALUE!</v>
      </c>
      <c r="I187" s="15" t="e">
        <f>SUMIF('[4]2.报价结算清单'!$F$2:$F$578,A187,'[4]2.报价结算清单'!$P$2:$P$578)</f>
        <v>#VALUE!</v>
      </c>
    </row>
    <row r="188" spans="1:9">
      <c r="A188" s="7" t="s">
        <v>2804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SUMIF('[4]2.报价结算清单'!$F$2:$F$578,$A188,'[4]2.报价结算清单'!$L$2:$L$578)</f>
        <v>#VALUE!</v>
      </c>
      <c r="H188" s="13" t="e">
        <f>SUMIF('[4]2.报价结算清单'!$F$2:$F$578,$A188,'[4]2.报价结算清单'!$N$2:$N$578)</f>
        <v>#VALUE!</v>
      </c>
      <c r="I188" s="15" t="e">
        <f>SUMIF('[4]2.报价结算清单'!$F$2:$F$578,A188,'[4]2.报价结算清单'!$P$2:$P$578)</f>
        <v>#VALUE!</v>
      </c>
    </row>
    <row r="189" spans="1:9">
      <c r="A189" s="7" t="s">
        <v>2805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SUMIF('[4]2.报价结算清单'!$F$2:$F$578,$A189,'[4]2.报价结算清单'!$L$2:$L$578)</f>
        <v>#VALUE!</v>
      </c>
      <c r="H189" s="13" t="e">
        <f>SUMIF('[4]2.报价结算清单'!$F$2:$F$578,$A189,'[4]2.报价结算清单'!$N$2:$N$578)</f>
        <v>#VALUE!</v>
      </c>
      <c r="I189" s="15" t="e">
        <f>SUMIF('[4]2.报价结算清单'!$F$2:$F$578,A189,'[4]2.报价结算清单'!$P$2:$P$578)</f>
        <v>#VALUE!</v>
      </c>
    </row>
    <row r="190" spans="1:9">
      <c r="A190" s="7" t="s">
        <v>2806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SUMIF('[4]2.报价结算清单'!$F$2:$F$578,$A190,'[4]2.报价结算清单'!$L$2:$L$578)</f>
        <v>#VALUE!</v>
      </c>
      <c r="H190" s="13" t="e">
        <f>SUMIF('[4]2.报价结算清单'!$F$2:$F$578,$A190,'[4]2.报价结算清单'!$N$2:$N$578)</f>
        <v>#VALUE!</v>
      </c>
      <c r="I190" s="15" t="e">
        <f>SUMIF('[4]2.报价结算清单'!$F$2:$F$578,A190,'[4]2.报价结算清单'!$P$2:$P$578)</f>
        <v>#VALUE!</v>
      </c>
    </row>
    <row r="191" spans="1:9">
      <c r="A191" s="7" t="s">
        <v>2807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SUMIF('[4]2.报价结算清单'!$F$2:$F$578,$A191,'[4]2.报价结算清单'!$L$2:$L$578)</f>
        <v>#VALUE!</v>
      </c>
      <c r="H191" s="13" t="e">
        <f>SUMIF('[4]2.报价结算清单'!$F$2:$F$578,$A191,'[4]2.报价结算清单'!$N$2:$N$578)</f>
        <v>#VALUE!</v>
      </c>
      <c r="I191" s="15" t="e">
        <f>SUMIF('[4]2.报价结算清单'!$F$2:$F$578,A191,'[4]2.报价结算清单'!$P$2:$P$578)</f>
        <v>#VALUE!</v>
      </c>
    </row>
    <row r="192" spans="1:9">
      <c r="A192" s="7" t="s">
        <v>2808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SUMIF('[4]2.报价结算清单'!$F$2:$F$578,$A192,'[4]2.报价结算清单'!$L$2:$L$578)</f>
        <v>#VALUE!</v>
      </c>
      <c r="H192" s="13" t="e">
        <f>SUMIF('[4]2.报价结算清单'!$F$2:$F$578,$A192,'[4]2.报价结算清单'!$N$2:$N$578)</f>
        <v>#VALUE!</v>
      </c>
      <c r="I192" s="15" t="e">
        <f>SUMIF('[4]2.报价结算清单'!$F$2:$F$578,A192,'[4]2.报价结算清单'!$P$2:$P$578)</f>
        <v>#VALUE!</v>
      </c>
    </row>
    <row r="193" spans="1:9">
      <c r="A193" s="7" t="s">
        <v>2809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SUMIF('[4]2.报价结算清单'!$F$2:$F$578,$A193,'[4]2.报价结算清单'!$L$2:$L$578)</f>
        <v>#VALUE!</v>
      </c>
      <c r="H193" s="13" t="e">
        <f>SUMIF('[4]2.报价结算清单'!$F$2:$F$578,$A193,'[4]2.报价结算清单'!$N$2:$N$578)</f>
        <v>#VALUE!</v>
      </c>
      <c r="I193" s="15" t="e">
        <f>SUMIF('[4]2.报价结算清单'!$F$2:$F$578,A193,'[4]2.报价结算清单'!$P$2:$P$578)</f>
        <v>#VALUE!</v>
      </c>
    </row>
    <row r="194" spans="1:9">
      <c r="A194" s="7" t="s">
        <v>2810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SUMIF('[4]2.报价结算清单'!$F$2:$F$578,$A194,'[4]2.报价结算清单'!$L$2:$L$578)</f>
        <v>#VALUE!</v>
      </c>
      <c r="H194" s="13" t="e">
        <f>SUMIF('[4]2.报价结算清单'!$F$2:$F$578,$A194,'[4]2.报价结算清单'!$N$2:$N$578)</f>
        <v>#VALUE!</v>
      </c>
      <c r="I194" s="15" t="e">
        <f>SUMIF('[4]2.报价结算清单'!$F$2:$F$578,A194,'[4]2.报价结算清单'!$P$2:$P$578)</f>
        <v>#VALUE!</v>
      </c>
    </row>
    <row r="195" spans="1:9">
      <c r="A195" s="7" t="s">
        <v>2811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SUMIF('[4]2.报价结算清单'!$F$2:$F$578,$A195,'[4]2.报价结算清单'!$L$2:$L$578)</f>
        <v>#VALUE!</v>
      </c>
      <c r="H195" s="13" t="e">
        <f>SUMIF('[4]2.报价结算清单'!$F$2:$F$578,$A195,'[4]2.报价结算清单'!$N$2:$N$578)</f>
        <v>#VALUE!</v>
      </c>
      <c r="I195" s="15" t="e">
        <f>SUMIF('[4]2.报价结算清单'!$F$2:$F$578,A195,'[4]2.报价结算清单'!$P$2:$P$578)</f>
        <v>#VALUE!</v>
      </c>
    </row>
    <row r="196" spans="1:9" ht="14" customHeight="1">
      <c r="A196" s="7" t="s">
        <v>2812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SUMIF('[4]2.报价结算清单'!$F$2:$F$578,$A196,'[4]2.报价结算清单'!$L$2:$L$578)</f>
        <v>#VALUE!</v>
      </c>
      <c r="H196" s="13" t="e">
        <f>SUMIF('[4]2.报价结算清单'!$F$2:$F$578,$A196,'[4]2.报价结算清单'!$N$2:$N$578)</f>
        <v>#VALUE!</v>
      </c>
      <c r="I196" s="15" t="e">
        <f>SUMIF('[4]2.报价结算清单'!$F$2:$F$578,A196,'[4]2.报价结算清单'!$P$2:$P$578)</f>
        <v>#VALUE!</v>
      </c>
    </row>
    <row r="197" spans="1:9">
      <c r="A197" s="7" t="s">
        <v>2813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SUMIF('[4]2.报价结算清单'!$F$2:$F$578,$A197,'[4]2.报价结算清单'!$L$2:$L$578)</f>
        <v>#VALUE!</v>
      </c>
      <c r="H197" s="13" t="e">
        <f>SUMIF('[4]2.报价结算清单'!$F$2:$F$578,$A197,'[4]2.报价结算清单'!$N$2:$N$578)</f>
        <v>#VALUE!</v>
      </c>
      <c r="I197" s="15" t="e">
        <f>SUMIF('[4]2.报价结算清单'!$F$2:$F$578,A197,'[4]2.报价结算清单'!$P$2:$P$578)</f>
        <v>#VALUE!</v>
      </c>
    </row>
    <row r="198" spans="1:9">
      <c r="A198" s="7" t="s">
        <v>2814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SUMIF('[4]2.报价结算清单'!$F$2:$F$578,$A198,'[4]2.报价结算清单'!$L$2:$L$578)</f>
        <v>#VALUE!</v>
      </c>
      <c r="H198" s="13" t="e">
        <f>SUMIF('[4]2.报价结算清单'!$F$2:$F$578,$A198,'[4]2.报价结算清单'!$N$2:$N$578)</f>
        <v>#VALUE!</v>
      </c>
      <c r="I198" s="15" t="e">
        <f>SUMIF('[4]2.报价结算清单'!$F$2:$F$578,A198,'[4]2.报价结算清单'!$P$2:$P$578)</f>
        <v>#VALUE!</v>
      </c>
    </row>
    <row r="199" spans="1:9">
      <c r="A199" s="7" t="s">
        <v>2815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SUMIF('[4]2.报价结算清单'!$F$2:$F$578,$A199,'[4]2.报价结算清单'!$L$2:$L$578)</f>
        <v>#VALUE!</v>
      </c>
      <c r="H199" s="13" t="e">
        <f>SUMIF('[4]2.报价结算清单'!$F$2:$F$578,$A199,'[4]2.报价结算清单'!$N$2:$N$578)</f>
        <v>#VALUE!</v>
      </c>
      <c r="I199" s="15" t="e">
        <f>SUMIF('[4]2.报价结算清单'!$F$2:$F$578,A199,'[4]2.报价结算清单'!$P$2:$P$578)</f>
        <v>#VALUE!</v>
      </c>
    </row>
    <row r="200" spans="1:9">
      <c r="A200" s="7" t="s">
        <v>2816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SUMIF('[4]2.报价结算清单'!$F$2:$F$578,$A200,'[4]2.报价结算清单'!$L$2:$L$578)</f>
        <v>#VALUE!</v>
      </c>
      <c r="H200" s="13" t="e">
        <f>SUMIF('[4]2.报价结算清单'!$F$2:$F$578,$A200,'[4]2.报价结算清单'!$N$2:$N$578)</f>
        <v>#VALUE!</v>
      </c>
      <c r="I200" s="15" t="e">
        <f>SUMIF('[4]2.报价结算清单'!$F$2:$F$578,A200,'[4]2.报价结算清单'!$P$2:$P$578)</f>
        <v>#VALUE!</v>
      </c>
    </row>
    <row r="201" spans="1:9">
      <c r="A201" s="7" t="s">
        <v>2817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SUMIF('[4]2.报价结算清单'!$F$2:$F$578,$A201,'[4]2.报价结算清单'!$L$2:$L$578)</f>
        <v>#VALUE!</v>
      </c>
      <c r="H201" s="13" t="e">
        <f>SUMIF('[4]2.报价结算清单'!$F$2:$F$578,$A201,'[4]2.报价结算清单'!$N$2:$N$578)</f>
        <v>#VALUE!</v>
      </c>
      <c r="I201" s="15" t="e">
        <f>SUMIF('[4]2.报价结算清单'!$F$2:$F$578,A201,'[4]2.报价结算清单'!$P$2:$P$578)</f>
        <v>#VALUE!</v>
      </c>
    </row>
    <row r="202" spans="1:9">
      <c r="A202" s="7" t="s">
        <v>2818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SUMIF('[4]2.报价结算清单'!$F$2:$F$578,$A202,'[4]2.报价结算清单'!$L$2:$L$578)</f>
        <v>#VALUE!</v>
      </c>
      <c r="H202" s="13" t="e">
        <f>SUMIF('[4]2.报价结算清单'!$F$2:$F$578,$A202,'[4]2.报价结算清单'!$N$2:$N$578)</f>
        <v>#VALUE!</v>
      </c>
      <c r="I202" s="15" t="e">
        <f>SUMIF('[4]2.报价结算清单'!$F$2:$F$578,A202,'[4]2.报价结算清单'!$P$2:$P$578)</f>
        <v>#VALUE!</v>
      </c>
    </row>
    <row r="203" spans="1:9">
      <c r="A203" s="7" t="s">
        <v>2819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SUMIF('[4]2.报价结算清单'!$F$2:$F$578,$A203,'[4]2.报价结算清单'!$L$2:$L$578)</f>
        <v>#VALUE!</v>
      </c>
      <c r="H203" s="13" t="e">
        <f>SUMIF('[4]2.报价结算清单'!$F$2:$F$578,$A203,'[4]2.报价结算清单'!$N$2:$N$578)</f>
        <v>#VALUE!</v>
      </c>
      <c r="I203" s="15" t="e">
        <f>SUMIF('[4]2.报价结算清单'!$F$2:$F$578,A203,'[4]2.报价结算清单'!$P$2:$P$578)</f>
        <v>#VALUE!</v>
      </c>
    </row>
    <row r="204" spans="1:9">
      <c r="A204" s="7" t="s">
        <v>2820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SUMIF('[4]2.报价结算清单'!$F$2:$F$578,$A204,'[4]2.报价结算清单'!$L$2:$L$578)</f>
        <v>#VALUE!</v>
      </c>
      <c r="H204" s="13" t="e">
        <f>SUMIF('[4]2.报价结算清单'!$F$2:$F$578,$A204,'[4]2.报价结算清单'!$N$2:$N$578)</f>
        <v>#VALUE!</v>
      </c>
      <c r="I204" s="15" t="e">
        <f>SUMIF('[4]2.报价结算清单'!$F$2:$F$578,A204,'[4]2.报价结算清单'!$P$2:$P$578)</f>
        <v>#VALUE!</v>
      </c>
    </row>
    <row r="205" spans="1:9">
      <c r="A205" s="7" t="s">
        <v>2821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SUMIF('[4]2.报价结算清单'!$F$2:$F$578,$A205,'[4]2.报价结算清单'!$L$2:$L$578)</f>
        <v>#VALUE!</v>
      </c>
      <c r="H205" s="13" t="e">
        <f>SUMIF('[4]2.报价结算清单'!$F$2:$F$578,$A205,'[4]2.报价结算清单'!$N$2:$N$578)</f>
        <v>#VALUE!</v>
      </c>
      <c r="I205" s="15" t="e">
        <f>SUMIF('[4]2.报价结算清单'!$F$2:$F$578,A205,'[4]2.报价结算清单'!$P$2:$P$578)</f>
        <v>#VALUE!</v>
      </c>
    </row>
    <row r="206" spans="1:9">
      <c r="A206" s="7" t="s">
        <v>2822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SUMIF('[4]2.报价结算清单'!$F$2:$F$578,$A206,'[4]2.报价结算清单'!$L$2:$L$578)</f>
        <v>#VALUE!</v>
      </c>
      <c r="H206" s="13" t="e">
        <f>SUMIF('[4]2.报价结算清单'!$F$2:$F$578,$A206,'[4]2.报价结算清单'!$N$2:$N$578)</f>
        <v>#VALUE!</v>
      </c>
      <c r="I206" s="15" t="e">
        <f>SUMIF('[4]2.报价结算清单'!$F$2:$F$578,A206,'[4]2.报价结算清单'!$P$2:$P$578)</f>
        <v>#VALUE!</v>
      </c>
    </row>
    <row r="207" spans="1:9">
      <c r="A207" s="7" t="s">
        <v>2823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SUMIF('[4]2.报价结算清单'!$F$2:$F$578,$A207,'[4]2.报价结算清单'!$L$2:$L$578)</f>
        <v>#VALUE!</v>
      </c>
      <c r="H207" s="13" t="e">
        <f>SUMIF('[4]2.报价结算清单'!$F$2:$F$578,$A207,'[4]2.报价结算清单'!$N$2:$N$578)</f>
        <v>#VALUE!</v>
      </c>
      <c r="I207" s="15" t="e">
        <f>SUMIF('[4]2.报价结算清单'!$F$2:$F$578,A207,'[4]2.报价结算清单'!$P$2:$P$578)</f>
        <v>#VALUE!</v>
      </c>
    </row>
    <row r="208" spans="1:9">
      <c r="A208" s="7" t="s">
        <v>2824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SUMIF('[4]2.报价结算清单'!$F$2:$F$578,$A208,'[4]2.报价结算清单'!$L$2:$L$578)</f>
        <v>#VALUE!</v>
      </c>
      <c r="H208" s="13" t="e">
        <f>SUMIF('[4]2.报价结算清单'!$F$2:$F$578,$A208,'[4]2.报价结算清单'!$N$2:$N$578)</f>
        <v>#VALUE!</v>
      </c>
      <c r="I208" s="15" t="e">
        <f>SUMIF('[4]2.报价结算清单'!$F$2:$F$578,A208,'[4]2.报价结算清单'!$P$2:$P$578)</f>
        <v>#VALUE!</v>
      </c>
    </row>
    <row r="209" spans="1:9">
      <c r="A209" s="7" t="s">
        <v>2825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SUMIF('[4]2.报价结算清单'!$F$2:$F$578,$A209,'[4]2.报价结算清单'!$L$2:$L$578)</f>
        <v>#VALUE!</v>
      </c>
      <c r="H209" s="13" t="e">
        <f>SUMIF('[4]2.报价结算清单'!$F$2:$F$578,$A209,'[4]2.报价结算清单'!$N$2:$N$578)</f>
        <v>#VALUE!</v>
      </c>
      <c r="I209" s="15" t="e">
        <f>SUMIF('[4]2.报价结算清单'!$F$2:$F$578,A209,'[4]2.报价结算清单'!$P$2:$P$578)</f>
        <v>#VALUE!</v>
      </c>
    </row>
    <row r="210" spans="1:9">
      <c r="A210" s="7" t="s">
        <v>2826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SUMIF('[4]2.报价结算清单'!$F$2:$F$578,$A210,'[4]2.报价结算清单'!$L$2:$L$578)</f>
        <v>#VALUE!</v>
      </c>
      <c r="H210" s="13" t="e">
        <f>SUMIF('[4]2.报价结算清单'!$F$2:$F$578,$A210,'[4]2.报价结算清单'!$N$2:$N$578)</f>
        <v>#VALUE!</v>
      </c>
      <c r="I210" s="15" t="e">
        <f>SUMIF('[4]2.报价结算清单'!$F$2:$F$578,A210,'[4]2.报价结算清单'!$P$2:$P$578)</f>
        <v>#VALUE!</v>
      </c>
    </row>
    <row r="211" spans="1:9">
      <c r="A211" s="7" t="s">
        <v>2827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SUMIF('[4]2.报价结算清单'!$F$2:$F$578,$A211,'[4]2.报价结算清单'!$L$2:$L$578)</f>
        <v>#VALUE!</v>
      </c>
      <c r="H211" s="13" t="e">
        <f>SUMIF('[4]2.报价结算清单'!$F$2:$F$578,$A211,'[4]2.报价结算清单'!$N$2:$N$578)</f>
        <v>#VALUE!</v>
      </c>
      <c r="I211" s="15" t="e">
        <f>SUMIF('[4]2.报价结算清单'!$F$2:$F$578,A211,'[4]2.报价结算清单'!$P$2:$P$578)</f>
        <v>#VALUE!</v>
      </c>
    </row>
    <row r="212" spans="1:9">
      <c r="A212" s="7" t="s">
        <v>2828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SUMIF('[4]2.报价结算清单'!$F$2:$F$578,$A212,'[4]2.报价结算清单'!$L$2:$L$578)</f>
        <v>#VALUE!</v>
      </c>
      <c r="H212" s="13" t="e">
        <f>SUMIF('[4]2.报价结算清单'!$F$2:$F$578,$A212,'[4]2.报价结算清单'!$N$2:$N$578)</f>
        <v>#VALUE!</v>
      </c>
      <c r="I212" s="15" t="e">
        <f>SUMIF('[4]2.报价结算清单'!$F$2:$F$578,A212,'[4]2.报价结算清单'!$P$2:$P$578)</f>
        <v>#VALUE!</v>
      </c>
    </row>
    <row r="213" spans="1:9">
      <c r="A213" s="7" t="s">
        <v>2829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SUMIF('[4]2.报价结算清单'!$F$2:$F$578,$A213,'[4]2.报价结算清单'!$L$2:$L$578)</f>
        <v>#VALUE!</v>
      </c>
      <c r="H213" s="13" t="e">
        <f>SUMIF('[4]2.报价结算清单'!$F$2:$F$578,$A213,'[4]2.报价结算清单'!$N$2:$N$578)</f>
        <v>#VALUE!</v>
      </c>
      <c r="I213" s="15" t="e">
        <f>SUMIF('[4]2.报价结算清单'!$F$2:$F$578,A213,'[4]2.报价结算清单'!$P$2:$P$578)</f>
        <v>#VALUE!</v>
      </c>
    </row>
    <row r="214" spans="1:9">
      <c r="A214" s="7" t="s">
        <v>2830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SUMIF('[4]2.报价结算清单'!$F$2:$F$578,$A214,'[4]2.报价结算清单'!$L$2:$L$578)</f>
        <v>#VALUE!</v>
      </c>
      <c r="H214" s="13" t="e">
        <f>SUMIF('[4]2.报价结算清单'!$F$2:$F$578,$A214,'[4]2.报价结算清单'!$N$2:$N$578)</f>
        <v>#VALUE!</v>
      </c>
      <c r="I214" s="15" t="e">
        <f>SUMIF('[4]2.报价结算清单'!$F$2:$F$578,A214,'[4]2.报价结算清单'!$P$2:$P$578)</f>
        <v>#VALUE!</v>
      </c>
    </row>
    <row r="215" spans="1:9">
      <c r="A215" s="7" t="s">
        <v>2831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SUMIF('[4]2.报价结算清单'!$F$2:$F$578,$A215,'[4]2.报价结算清单'!$L$2:$L$578)</f>
        <v>#VALUE!</v>
      </c>
      <c r="H215" s="13" t="e">
        <f>SUMIF('[4]2.报价结算清单'!$F$2:$F$578,$A215,'[4]2.报价结算清单'!$N$2:$N$578)</f>
        <v>#VALUE!</v>
      </c>
      <c r="I215" s="15" t="e">
        <f>SUMIF('[4]2.报价结算清单'!$F$2:$F$578,A215,'[4]2.报价结算清单'!$P$2:$P$578)</f>
        <v>#VALUE!</v>
      </c>
    </row>
    <row r="216" spans="1:9">
      <c r="A216" s="7" t="s">
        <v>2832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SUMIF('[4]2.报价结算清单'!$F$2:$F$578,$A216,'[4]2.报价结算清单'!$L$2:$L$578)</f>
        <v>#VALUE!</v>
      </c>
      <c r="H216" s="13" t="e">
        <f>SUMIF('[4]2.报价结算清单'!$F$2:$F$578,$A216,'[4]2.报价结算清单'!$N$2:$N$578)</f>
        <v>#VALUE!</v>
      </c>
      <c r="I216" s="15" t="e">
        <f>SUMIF('[4]2.报价结算清单'!$F$2:$F$578,A216,'[4]2.报价结算清单'!$P$2:$P$578)</f>
        <v>#VALUE!</v>
      </c>
    </row>
    <row r="217" spans="1:9">
      <c r="A217" s="7" t="s">
        <v>2833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SUMIF('[4]2.报价结算清单'!$F$2:$F$578,$A217,'[4]2.报价结算清单'!$L$2:$L$578)</f>
        <v>#VALUE!</v>
      </c>
      <c r="H217" s="13" t="e">
        <f>SUMIF('[4]2.报价结算清单'!$F$2:$F$578,$A217,'[4]2.报价结算清单'!$N$2:$N$578)</f>
        <v>#VALUE!</v>
      </c>
      <c r="I217" s="15" t="e">
        <f>SUMIF('[4]2.报价结算清单'!$F$2:$F$578,A217,'[4]2.报价结算清单'!$P$2:$P$578)</f>
        <v>#VALUE!</v>
      </c>
    </row>
    <row r="218" spans="1:9">
      <c r="A218" s="7" t="s">
        <v>2834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SUMIF('[4]2.报价结算清单'!$F$2:$F$578,$A218,'[4]2.报价结算清单'!$L$2:$L$578)</f>
        <v>#VALUE!</v>
      </c>
      <c r="H218" s="13" t="e">
        <f>SUMIF('[4]2.报价结算清单'!$F$2:$F$578,$A218,'[4]2.报价结算清单'!$N$2:$N$578)</f>
        <v>#VALUE!</v>
      </c>
      <c r="I218" s="15" t="e">
        <f>SUMIF('[4]2.报价结算清单'!$F$2:$F$578,A218,'[4]2.报价结算清单'!$P$2:$P$578)</f>
        <v>#VALUE!</v>
      </c>
    </row>
    <row r="219" spans="1:9">
      <c r="A219" s="7" t="s">
        <v>2835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SUMIF('[4]2.报价结算清单'!$F$2:$F$578,$A219,'[4]2.报价结算清单'!$L$2:$L$578)</f>
        <v>#VALUE!</v>
      </c>
      <c r="H219" s="13" t="e">
        <f>SUMIF('[4]2.报价结算清单'!$F$2:$F$578,$A219,'[4]2.报价结算清单'!$N$2:$N$578)</f>
        <v>#VALUE!</v>
      </c>
      <c r="I219" s="15" t="e">
        <f>SUMIF('[4]2.报价结算清单'!$F$2:$F$578,A219,'[4]2.报价结算清单'!$P$2:$P$578)</f>
        <v>#VALUE!</v>
      </c>
    </row>
    <row r="220" spans="1:9">
      <c r="A220" s="7" t="s">
        <v>2836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SUMIF('[4]2.报价结算清单'!$F$2:$F$578,$A220,'[4]2.报价结算清单'!$L$2:$L$578)</f>
        <v>#VALUE!</v>
      </c>
      <c r="H220" s="13" t="e">
        <f>SUMIF('[4]2.报价结算清单'!$F$2:$F$578,$A220,'[4]2.报价结算清单'!$N$2:$N$578)</f>
        <v>#VALUE!</v>
      </c>
      <c r="I220" s="15" t="e">
        <f>SUMIF('[4]2.报价结算清单'!$F$2:$F$578,A220,'[4]2.报价结算清单'!$P$2:$P$578)</f>
        <v>#VALUE!</v>
      </c>
    </row>
    <row r="221" spans="1:9">
      <c r="A221" s="7" t="s">
        <v>2837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SUMIF('[4]2.报价结算清单'!$F$2:$F$578,$A221,'[4]2.报价结算清单'!$L$2:$L$578)</f>
        <v>#VALUE!</v>
      </c>
      <c r="H221" s="13" t="e">
        <f>SUMIF('[4]2.报价结算清单'!$F$2:$F$578,$A221,'[4]2.报价结算清单'!$N$2:$N$578)</f>
        <v>#VALUE!</v>
      </c>
      <c r="I221" s="15" t="e">
        <f>SUMIF('[4]2.报价结算清单'!$F$2:$F$578,A221,'[4]2.报价结算清单'!$P$2:$P$578)</f>
        <v>#VALUE!</v>
      </c>
    </row>
    <row r="222" spans="1:9">
      <c r="A222" s="7" t="s">
        <v>2838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SUMIF('[4]2.报价结算清单'!$F$2:$F$578,$A222,'[4]2.报价结算清单'!$L$2:$L$578)</f>
        <v>#VALUE!</v>
      </c>
      <c r="H222" s="13" t="e">
        <f>SUMIF('[4]2.报价结算清单'!$F$2:$F$578,$A222,'[4]2.报价结算清单'!$N$2:$N$578)</f>
        <v>#VALUE!</v>
      </c>
      <c r="I222" s="15" t="e">
        <f>SUMIF('[4]2.报价结算清单'!$F$2:$F$578,A222,'[4]2.报价结算清单'!$P$2:$P$578)</f>
        <v>#VALUE!</v>
      </c>
    </row>
    <row r="223" spans="1:9">
      <c r="A223" s="7" t="s">
        <v>2839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SUMIF('[4]2.报价结算清单'!$F$2:$F$578,$A223,'[4]2.报价结算清单'!$L$2:$L$578)</f>
        <v>#VALUE!</v>
      </c>
      <c r="H223" s="13" t="e">
        <f>SUMIF('[4]2.报价结算清单'!$F$2:$F$578,$A223,'[4]2.报价结算清单'!$N$2:$N$578)</f>
        <v>#VALUE!</v>
      </c>
      <c r="I223" s="15" t="e">
        <f>SUMIF('[4]2.报价结算清单'!$F$2:$F$578,A223,'[4]2.报价结算清单'!$P$2:$P$578)</f>
        <v>#VALUE!</v>
      </c>
    </row>
    <row r="224" spans="1:9">
      <c r="A224" s="7" t="s">
        <v>2840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SUMIF('[4]2.报价结算清单'!$F$2:$F$578,$A224,'[4]2.报价结算清单'!$L$2:$L$578)</f>
        <v>#VALUE!</v>
      </c>
      <c r="H224" s="13" t="e">
        <f>SUMIF('[4]2.报价结算清单'!$F$2:$F$578,$A224,'[4]2.报价结算清单'!$N$2:$N$578)</f>
        <v>#VALUE!</v>
      </c>
      <c r="I224" s="15" t="e">
        <f>SUMIF('[4]2.报价结算清单'!$F$2:$F$578,A224,'[4]2.报价结算清单'!$P$2:$P$578)</f>
        <v>#VALUE!</v>
      </c>
    </row>
    <row r="225" spans="1:9">
      <c r="A225" s="7" t="s">
        <v>2841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SUMIF('[4]2.报价结算清单'!$F$2:$F$578,$A225,'[4]2.报价结算清单'!$L$2:$L$578)</f>
        <v>#VALUE!</v>
      </c>
      <c r="H225" s="13" t="e">
        <f>SUMIF('[4]2.报价结算清单'!$F$2:$F$578,$A225,'[4]2.报价结算清单'!$N$2:$N$578)</f>
        <v>#VALUE!</v>
      </c>
      <c r="I225" s="15" t="e">
        <f>SUMIF('[4]2.报价结算清单'!$F$2:$F$578,A225,'[4]2.报价结算清单'!$P$2:$P$578)</f>
        <v>#VALUE!</v>
      </c>
    </row>
    <row r="226" spans="1:9">
      <c r="A226" s="7" t="s">
        <v>2842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SUMIF('[4]2.报价结算清单'!$F$2:$F$578,$A226,'[4]2.报价结算清单'!$L$2:$L$578)</f>
        <v>#VALUE!</v>
      </c>
      <c r="H226" s="13" t="e">
        <f>SUMIF('[4]2.报价结算清单'!$F$2:$F$578,$A226,'[4]2.报价结算清单'!$N$2:$N$578)</f>
        <v>#VALUE!</v>
      </c>
      <c r="I226" s="15" t="e">
        <f>SUMIF('[4]2.报价结算清单'!$F$2:$F$578,A226,'[4]2.报价结算清单'!$P$2:$P$578)</f>
        <v>#VALUE!</v>
      </c>
    </row>
    <row r="227" spans="1:9">
      <c r="A227" s="7" t="s">
        <v>2843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SUMIF('[4]2.报价结算清单'!$F$2:$F$578,$A227,'[4]2.报价结算清单'!$L$2:$L$578)</f>
        <v>#VALUE!</v>
      </c>
      <c r="H227" s="13" t="e">
        <f>SUMIF('[4]2.报价结算清单'!$F$2:$F$578,$A227,'[4]2.报价结算清单'!$N$2:$N$578)</f>
        <v>#VALUE!</v>
      </c>
      <c r="I227" s="15" t="e">
        <f>SUMIF('[4]2.报价结算清单'!$F$2:$F$578,A227,'[4]2.报价结算清单'!$P$2:$P$578)</f>
        <v>#VALUE!</v>
      </c>
    </row>
    <row r="228" spans="1:9">
      <c r="A228" s="7" t="s">
        <v>2844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SUMIF('[4]2.报价结算清单'!$F$2:$F$578,$A228,'[4]2.报价结算清单'!$L$2:$L$578)</f>
        <v>#VALUE!</v>
      </c>
      <c r="H228" s="13" t="e">
        <f>SUMIF('[4]2.报价结算清单'!$F$2:$F$578,$A228,'[4]2.报价结算清单'!$N$2:$N$578)</f>
        <v>#VALUE!</v>
      </c>
      <c r="I228" s="15" t="e">
        <f>SUMIF('[4]2.报价结算清单'!$F$2:$F$578,A228,'[4]2.报价结算清单'!$P$2:$P$578)</f>
        <v>#VALUE!</v>
      </c>
    </row>
    <row r="229" spans="1:9">
      <c r="A229" s="7" t="s">
        <v>2845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SUMIF('[4]2.报价结算清单'!$F$2:$F$578,$A229,'[4]2.报价结算清单'!$L$2:$L$578)</f>
        <v>#VALUE!</v>
      </c>
      <c r="H229" s="13" t="e">
        <f>SUMIF('[4]2.报价结算清单'!$F$2:$F$578,$A229,'[4]2.报价结算清单'!$N$2:$N$578)</f>
        <v>#VALUE!</v>
      </c>
      <c r="I229" s="15" t="e">
        <f>SUMIF('[4]2.报价结算清单'!$F$2:$F$578,A229,'[4]2.报价结算清单'!$P$2:$P$578)</f>
        <v>#VALUE!</v>
      </c>
    </row>
    <row r="230" spans="1:9">
      <c r="A230" s="7" t="s">
        <v>2392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SUMIF('[4]2.报价结算清单'!$F$2:$F$578,$A230,'[4]2.报价结算清单'!$L$2:$L$578)</f>
        <v>#VALUE!</v>
      </c>
      <c r="H230" s="13" t="e">
        <f>SUMIF('[4]2.报价结算清单'!$F$2:$F$578,$A230,'[4]2.报价结算清单'!$N$2:$N$578)</f>
        <v>#VALUE!</v>
      </c>
      <c r="I230" s="15" t="e">
        <f>SUMIF('[4]2.报价结算清单'!$F$2:$F$578,A230,'[4]2.报价结算清单'!$P$2:$P$578)</f>
        <v>#VALUE!</v>
      </c>
    </row>
    <row r="231" spans="1:9">
      <c r="A231" s="7" t="s">
        <v>2846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SUMIF('[4]2.报价结算清单'!$F$2:$F$578,$A231,'[4]2.报价结算清单'!$L$2:$L$578)</f>
        <v>#VALUE!</v>
      </c>
      <c r="H231" s="13" t="e">
        <f>SUMIF('[4]2.报价结算清单'!$F$2:$F$578,$A231,'[4]2.报价结算清单'!$N$2:$N$578)</f>
        <v>#VALUE!</v>
      </c>
      <c r="I231" s="15" t="e">
        <f>SUMIF('[4]2.报价结算清单'!$F$2:$F$578,A231,'[4]2.报价结算清单'!$P$2:$P$578)</f>
        <v>#VALUE!</v>
      </c>
    </row>
    <row r="232" spans="1:9">
      <c r="A232" s="7" t="s">
        <v>2847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SUMIF('[4]2.报价结算清单'!$F$2:$F$578,$A232,'[4]2.报价结算清单'!$L$2:$L$578)</f>
        <v>#VALUE!</v>
      </c>
      <c r="H232" s="13" t="e">
        <f>SUMIF('[4]2.报价结算清单'!$F$2:$F$578,$A232,'[4]2.报价结算清单'!$N$2:$N$578)</f>
        <v>#VALUE!</v>
      </c>
      <c r="I232" s="15" t="e">
        <f>SUMIF('[4]2.报价结算清单'!$F$2:$F$578,A232,'[4]2.报价结算清单'!$P$2:$P$578)</f>
        <v>#VALUE!</v>
      </c>
    </row>
    <row r="233" spans="1:9">
      <c r="A233" s="7" t="s">
        <v>2848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SUMIF('[4]2.报价结算清单'!$F$2:$F$578,$A233,'[4]2.报价结算清单'!$L$2:$L$578)</f>
        <v>#VALUE!</v>
      </c>
      <c r="H233" s="13" t="e">
        <f>SUMIF('[4]2.报价结算清单'!$F$2:$F$578,$A233,'[4]2.报价结算清单'!$N$2:$N$578)</f>
        <v>#VALUE!</v>
      </c>
      <c r="I233" s="15" t="e">
        <f>SUMIF('[4]2.报价结算清单'!$F$2:$F$578,A233,'[4]2.报价结算清单'!$P$2:$P$578)</f>
        <v>#VALUE!</v>
      </c>
    </row>
    <row r="234" spans="1:9">
      <c r="A234" s="7" t="s">
        <v>2849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SUMIF('[4]2.报价结算清单'!$F$2:$F$578,$A234,'[4]2.报价结算清单'!$L$2:$L$578)</f>
        <v>#VALUE!</v>
      </c>
      <c r="H234" s="13" t="e">
        <f>SUMIF('[4]2.报价结算清单'!$F$2:$F$578,$A234,'[4]2.报价结算清单'!$N$2:$N$578)</f>
        <v>#VALUE!</v>
      </c>
      <c r="I234" s="15" t="e">
        <f>SUMIF('[4]2.报价结算清单'!$F$2:$F$578,A234,'[4]2.报价结算清单'!$P$2:$P$578)</f>
        <v>#VALUE!</v>
      </c>
    </row>
    <row r="235" spans="1:9">
      <c r="A235" s="7" t="s">
        <v>2850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SUMIF('[4]2.报价结算清单'!$F$2:$F$578,$A235,'[4]2.报价结算清单'!$L$2:$L$578)</f>
        <v>#VALUE!</v>
      </c>
      <c r="H235" s="13" t="e">
        <f>SUMIF('[4]2.报价结算清单'!$F$2:$F$578,$A235,'[4]2.报价结算清单'!$N$2:$N$578)</f>
        <v>#VALUE!</v>
      </c>
      <c r="I235" s="15" t="e">
        <f>SUMIF('[4]2.报价结算清单'!$F$2:$F$578,A235,'[4]2.报价结算清单'!$P$2:$P$578)</f>
        <v>#VALUE!</v>
      </c>
    </row>
    <row r="236" spans="1:9">
      <c r="A236" s="7" t="s">
        <v>2851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SUMIF('[4]2.报价结算清单'!$F$2:$F$578,$A236,'[4]2.报价结算清单'!$L$2:$L$578)</f>
        <v>#VALUE!</v>
      </c>
      <c r="H236" s="13" t="e">
        <f>SUMIF('[4]2.报价结算清单'!$F$2:$F$578,$A236,'[4]2.报价结算清单'!$N$2:$N$578)</f>
        <v>#VALUE!</v>
      </c>
      <c r="I236" s="15" t="e">
        <f>SUMIF('[4]2.报价结算清单'!$F$2:$F$578,A236,'[4]2.报价结算清单'!$P$2:$P$578)</f>
        <v>#VALUE!</v>
      </c>
    </row>
    <row r="237" spans="1:9">
      <c r="A237" s="7" t="s">
        <v>2852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SUMIF('[4]2.报价结算清单'!$F$2:$F$578,$A237,'[4]2.报价结算清单'!$L$2:$L$578)</f>
        <v>#VALUE!</v>
      </c>
      <c r="H237" s="13" t="e">
        <f>SUMIF('[4]2.报价结算清单'!$F$2:$F$578,$A237,'[4]2.报价结算清单'!$N$2:$N$578)</f>
        <v>#VALUE!</v>
      </c>
      <c r="I237" s="15" t="e">
        <f>SUMIF('[4]2.报价结算清单'!$F$2:$F$578,A237,'[4]2.报价结算清单'!$P$2:$P$578)</f>
        <v>#VALUE!</v>
      </c>
    </row>
    <row r="238" spans="1:9">
      <c r="A238" s="7" t="s">
        <v>2853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SUMIF('[4]2.报价结算清单'!$F$2:$F$578,$A238,'[4]2.报价结算清单'!$L$2:$L$578)</f>
        <v>#VALUE!</v>
      </c>
      <c r="H238" s="13" t="e">
        <f>SUMIF('[4]2.报价结算清单'!$F$2:$F$578,$A238,'[4]2.报价结算清单'!$N$2:$N$578)</f>
        <v>#VALUE!</v>
      </c>
      <c r="I238" s="15" t="e">
        <f>SUMIF('[4]2.报价结算清单'!$F$2:$F$578,A238,'[4]2.报价结算清单'!$P$2:$P$578)</f>
        <v>#VALUE!</v>
      </c>
    </row>
    <row r="239" spans="1:9">
      <c r="A239" s="7" t="s">
        <v>2854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SUMIF('[4]2.报价结算清单'!$F$2:$F$578,$A239,'[4]2.报价结算清单'!$L$2:$L$578)</f>
        <v>#VALUE!</v>
      </c>
      <c r="H239" s="13" t="e">
        <f>SUMIF('[4]2.报价结算清单'!$F$2:$F$578,$A239,'[4]2.报价结算清单'!$N$2:$N$578)</f>
        <v>#VALUE!</v>
      </c>
      <c r="I239" s="15" t="e">
        <f>SUMIF('[4]2.报价结算清单'!$F$2:$F$578,A239,'[4]2.报价结算清单'!$P$2:$P$578)</f>
        <v>#VALUE!</v>
      </c>
    </row>
    <row r="240" spans="1:9">
      <c r="A240" s="7" t="s">
        <v>2855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SUMIF('[4]2.报价结算清单'!$F$2:$F$578,$A240,'[4]2.报价结算清单'!$L$2:$L$578)</f>
        <v>#VALUE!</v>
      </c>
      <c r="H240" s="13" t="e">
        <f>SUMIF('[4]2.报价结算清单'!$F$2:$F$578,$A240,'[4]2.报价结算清单'!$N$2:$N$578)</f>
        <v>#VALUE!</v>
      </c>
      <c r="I240" s="15" t="e">
        <f>SUMIF('[4]2.报价结算清单'!$F$2:$F$578,A240,'[4]2.报价结算清单'!$P$2:$P$578)</f>
        <v>#VALUE!</v>
      </c>
    </row>
    <row r="241" spans="1:9">
      <c r="A241" s="7" t="s">
        <v>2856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SUMIF('[4]2.报价结算清单'!$F$2:$F$578,$A241,'[4]2.报价结算清单'!$L$2:$L$578)</f>
        <v>#VALUE!</v>
      </c>
      <c r="H241" s="13" t="e">
        <f>SUMIF('[4]2.报价结算清单'!$F$2:$F$578,$A241,'[4]2.报价结算清单'!$N$2:$N$578)</f>
        <v>#VALUE!</v>
      </c>
      <c r="I241" s="15" t="e">
        <f>SUMIF('[4]2.报价结算清单'!$F$2:$F$578,A241,'[4]2.报价结算清单'!$P$2:$P$578)</f>
        <v>#VALUE!</v>
      </c>
    </row>
    <row r="242" spans="1:9">
      <c r="A242" s="7" t="s">
        <v>2857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SUMIF('[4]2.报价结算清单'!$F$2:$F$578,$A242,'[4]2.报价结算清单'!$L$2:$L$578)</f>
        <v>#VALUE!</v>
      </c>
      <c r="H242" s="13" t="e">
        <f>SUMIF('[4]2.报价结算清单'!$F$2:$F$578,$A242,'[4]2.报价结算清单'!$N$2:$N$578)</f>
        <v>#VALUE!</v>
      </c>
      <c r="I242" s="15" t="e">
        <f>SUMIF('[4]2.报价结算清单'!$F$2:$F$578,A242,'[4]2.报价结算清单'!$P$2:$P$578)</f>
        <v>#VALUE!</v>
      </c>
    </row>
    <row r="243" spans="1:9">
      <c r="A243" s="7" t="s">
        <v>2858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SUMIF('[4]2.报价结算清单'!$F$2:$F$578,$A243,'[4]2.报价结算清单'!$L$2:$L$578)</f>
        <v>#VALUE!</v>
      </c>
      <c r="H243" s="13" t="e">
        <f>SUMIF('[4]2.报价结算清单'!$F$2:$F$578,$A243,'[4]2.报价结算清单'!$N$2:$N$578)</f>
        <v>#VALUE!</v>
      </c>
      <c r="I243" s="15" t="e">
        <f>SUMIF('[4]2.报价结算清单'!$F$2:$F$578,A243,'[4]2.报价结算清单'!$P$2:$P$578)</f>
        <v>#VALUE!</v>
      </c>
    </row>
    <row r="244" spans="1:9">
      <c r="A244" s="7" t="s">
        <v>2859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SUMIF('[4]2.报价结算清单'!$F$2:$F$578,$A244,'[4]2.报价结算清单'!$L$2:$L$578)</f>
        <v>#VALUE!</v>
      </c>
      <c r="H244" s="13" t="e">
        <f>SUMIF('[4]2.报价结算清单'!$F$2:$F$578,$A244,'[4]2.报价结算清单'!$N$2:$N$578)</f>
        <v>#VALUE!</v>
      </c>
      <c r="I244" s="15" t="e">
        <f>SUMIF('[4]2.报价结算清单'!$F$2:$F$578,A244,'[4]2.报价结算清单'!$P$2:$P$578)</f>
        <v>#VALUE!</v>
      </c>
    </row>
    <row r="245" spans="1:9">
      <c r="A245" s="7" t="s">
        <v>2860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SUMIF('[4]2.报价结算清单'!$F$2:$F$578,$A245,'[4]2.报价结算清单'!$L$2:$L$578)</f>
        <v>#VALUE!</v>
      </c>
      <c r="H245" s="13" t="e">
        <f>SUMIF('[4]2.报价结算清单'!$F$2:$F$578,$A245,'[4]2.报价结算清单'!$N$2:$N$578)</f>
        <v>#VALUE!</v>
      </c>
      <c r="I245" s="15" t="e">
        <f>SUMIF('[4]2.报价结算清单'!$F$2:$F$578,A245,'[4]2.报价结算清单'!$P$2:$P$578)</f>
        <v>#VALUE!</v>
      </c>
    </row>
    <row r="246" spans="1:9">
      <c r="A246" s="7" t="s">
        <v>2861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SUMIF('[4]2.报价结算清单'!$F$2:$F$578,$A246,'[4]2.报价结算清单'!$L$2:$L$578)</f>
        <v>#VALUE!</v>
      </c>
      <c r="H246" s="13" t="e">
        <f>SUMIF('[4]2.报价结算清单'!$F$2:$F$578,$A246,'[4]2.报价结算清单'!$N$2:$N$578)</f>
        <v>#VALUE!</v>
      </c>
      <c r="I246" s="15" t="e">
        <f>SUMIF('[4]2.报价结算清单'!$F$2:$F$578,A246,'[4]2.报价结算清单'!$P$2:$P$578)</f>
        <v>#VALUE!</v>
      </c>
    </row>
    <row r="247" spans="1:9">
      <c r="A247" s="7" t="s">
        <v>2862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SUMIF('[4]2.报价结算清单'!$F$2:$F$578,$A247,'[4]2.报价结算清单'!$L$2:$L$578)</f>
        <v>#VALUE!</v>
      </c>
      <c r="H247" s="13" t="e">
        <f>SUMIF('[4]2.报价结算清单'!$F$2:$F$578,$A247,'[4]2.报价结算清单'!$N$2:$N$578)</f>
        <v>#VALUE!</v>
      </c>
      <c r="I247" s="15" t="e">
        <f>SUMIF('[4]2.报价结算清单'!$F$2:$F$578,A247,'[4]2.报价结算清单'!$P$2:$P$578)</f>
        <v>#VALUE!</v>
      </c>
    </row>
    <row r="248" spans="1:9">
      <c r="A248" s="7" t="s">
        <v>2863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SUMIF('[4]2.报价结算清单'!$F$2:$F$578,$A248,'[4]2.报价结算清单'!$L$2:$L$578)</f>
        <v>#VALUE!</v>
      </c>
      <c r="H248" s="13" t="e">
        <f>SUMIF('[4]2.报价结算清单'!$F$2:$F$578,$A248,'[4]2.报价结算清单'!$N$2:$N$578)</f>
        <v>#VALUE!</v>
      </c>
      <c r="I248" s="15" t="e">
        <f>SUMIF('[4]2.报价结算清单'!$F$2:$F$578,A248,'[4]2.报价结算清单'!$P$2:$P$578)</f>
        <v>#VALUE!</v>
      </c>
    </row>
    <row r="249" spans="1:9">
      <c r="A249" s="7" t="s">
        <v>2864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SUMIF('[4]2.报价结算清单'!$F$2:$F$578,$A249,'[4]2.报价结算清单'!$L$2:$L$578)</f>
        <v>#VALUE!</v>
      </c>
      <c r="H249" s="13" t="e">
        <f>SUMIF('[4]2.报价结算清单'!$F$2:$F$578,$A249,'[4]2.报价结算清单'!$N$2:$N$578)</f>
        <v>#VALUE!</v>
      </c>
      <c r="I249" s="15" t="e">
        <f>SUMIF('[4]2.报价结算清单'!$F$2:$F$578,A249,'[4]2.报价结算清单'!$P$2:$P$578)</f>
        <v>#VALUE!</v>
      </c>
    </row>
    <row r="250" spans="1:9">
      <c r="A250" s="7" t="s">
        <v>2865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SUMIF('[4]2.报价结算清单'!$F$2:$F$578,$A250,'[4]2.报价结算清单'!$L$2:$L$578)</f>
        <v>#VALUE!</v>
      </c>
      <c r="H250" s="13" t="e">
        <f>SUMIF('[4]2.报价结算清单'!$F$2:$F$578,$A250,'[4]2.报价结算清单'!$N$2:$N$578)</f>
        <v>#VALUE!</v>
      </c>
      <c r="I250" s="15" t="e">
        <f>SUMIF('[4]2.报价结算清单'!$F$2:$F$578,A250,'[4]2.报价结算清单'!$P$2:$P$578)</f>
        <v>#VALUE!</v>
      </c>
    </row>
    <row r="251" spans="1:9">
      <c r="A251" s="7" t="s">
        <v>2866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SUMIF('[4]2.报价结算清单'!$F$2:$F$578,$A251,'[4]2.报价结算清单'!$L$2:$L$578)</f>
        <v>#VALUE!</v>
      </c>
      <c r="H251" s="13" t="e">
        <f>SUMIF('[4]2.报价结算清单'!$F$2:$F$578,$A251,'[4]2.报价结算清单'!$N$2:$N$578)</f>
        <v>#VALUE!</v>
      </c>
      <c r="I251" s="15" t="e">
        <f>SUMIF('[4]2.报价结算清单'!$F$2:$F$578,A251,'[4]2.报价结算清单'!$P$2:$P$578)</f>
        <v>#VALUE!</v>
      </c>
    </row>
    <row r="252" spans="1:9">
      <c r="A252" s="7" t="s">
        <v>2867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SUMIF('[4]2.报价结算清单'!$F$2:$F$578,$A252,'[4]2.报价结算清单'!$L$2:$L$578)</f>
        <v>#VALUE!</v>
      </c>
      <c r="H252" s="13" t="e">
        <f>SUMIF('[4]2.报价结算清单'!$F$2:$F$578,$A252,'[4]2.报价结算清单'!$N$2:$N$578)</f>
        <v>#VALUE!</v>
      </c>
      <c r="I252" s="15" t="e">
        <f>SUMIF('[4]2.报价结算清单'!$F$2:$F$578,A252,'[4]2.报价结算清单'!$P$2:$P$578)</f>
        <v>#VALUE!</v>
      </c>
    </row>
    <row r="253" spans="1:9">
      <c r="A253" s="7" t="s">
        <v>2868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SUMIF('[4]2.报价结算清单'!$F$2:$F$578,$A253,'[4]2.报价结算清单'!$L$2:$L$578)</f>
        <v>#VALUE!</v>
      </c>
      <c r="H253" s="13" t="e">
        <f>SUMIF('[4]2.报价结算清单'!$F$2:$F$578,$A253,'[4]2.报价结算清单'!$N$2:$N$578)</f>
        <v>#VALUE!</v>
      </c>
      <c r="I253" s="15" t="e">
        <f>SUMIF('[4]2.报价结算清单'!$F$2:$F$578,A253,'[4]2.报价结算清单'!$P$2:$P$578)</f>
        <v>#VALUE!</v>
      </c>
    </row>
    <row r="254" spans="1:9">
      <c r="A254" s="7" t="s">
        <v>2869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SUMIF('[4]2.报价结算清单'!$F$2:$F$578,$A254,'[4]2.报价结算清单'!$L$2:$L$578)</f>
        <v>#VALUE!</v>
      </c>
      <c r="H254" s="13" t="e">
        <f>SUMIF('[4]2.报价结算清单'!$F$2:$F$578,$A254,'[4]2.报价结算清单'!$N$2:$N$578)</f>
        <v>#VALUE!</v>
      </c>
      <c r="I254" s="15" t="e">
        <f>SUMIF('[4]2.报价结算清单'!$F$2:$F$578,A254,'[4]2.报价结算清单'!$P$2:$P$578)</f>
        <v>#VALUE!</v>
      </c>
    </row>
    <row r="255" spans="1:9">
      <c r="A255" s="7" t="s">
        <v>2870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SUMIF('[4]2.报价结算清单'!$F$2:$F$578,$A255,'[4]2.报价结算清单'!$L$2:$L$578)</f>
        <v>#VALUE!</v>
      </c>
      <c r="H255" s="13" t="e">
        <f>SUMIF('[4]2.报价结算清单'!$F$2:$F$578,$A255,'[4]2.报价结算清单'!$N$2:$N$578)</f>
        <v>#VALUE!</v>
      </c>
      <c r="I255" s="15" t="e">
        <f>SUMIF('[4]2.报价结算清单'!$F$2:$F$578,A255,'[4]2.报价结算清单'!$P$2:$P$578)</f>
        <v>#VALUE!</v>
      </c>
    </row>
    <row r="256" spans="1:9">
      <c r="A256" s="7" t="s">
        <v>2492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SUMIF('[4]2.报价结算清单'!$F$2:$F$578,$A256,'[4]2.报价结算清单'!$L$2:$L$578)</f>
        <v>#VALUE!</v>
      </c>
      <c r="H256" s="13" t="e">
        <f>SUMIF('[4]2.报价结算清单'!$F$2:$F$578,$A256,'[4]2.报价结算清单'!$N$2:$N$578)</f>
        <v>#VALUE!</v>
      </c>
      <c r="I256" s="15" t="e">
        <f>SUMIF('[4]2.报价结算清单'!$F$2:$F$578,A256,'[4]2.报价结算清单'!$P$2:$P$578)</f>
        <v>#VALUE!</v>
      </c>
    </row>
    <row r="257" spans="1:9">
      <c r="A257" s="7" t="s">
        <v>2871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SUMIF('[4]2.报价结算清单'!$F$2:$F$578,$A257,'[4]2.报价结算清单'!$L$2:$L$578)</f>
        <v>#VALUE!</v>
      </c>
      <c r="H257" s="13" t="e">
        <f>SUMIF('[4]2.报价结算清单'!$F$2:$F$578,$A257,'[4]2.报价结算清单'!$N$2:$N$578)</f>
        <v>#VALUE!</v>
      </c>
      <c r="I257" s="15" t="e">
        <f>SUMIF('[4]2.报价结算清单'!$F$2:$F$578,A257,'[4]2.报价结算清单'!$P$2:$P$578)</f>
        <v>#VALUE!</v>
      </c>
    </row>
    <row r="258" spans="1:9">
      <c r="A258" s="7" t="s">
        <v>2872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SUMIF('[4]2.报价结算清单'!$F$2:$F$578,$A258,'[4]2.报价结算清单'!$L$2:$L$578)</f>
        <v>#VALUE!</v>
      </c>
      <c r="H258" s="13" t="e">
        <f>SUMIF('[4]2.报价结算清单'!$F$2:$F$578,$A258,'[4]2.报价结算清单'!$N$2:$N$578)</f>
        <v>#VALUE!</v>
      </c>
      <c r="I258" s="15" t="e">
        <f>SUMIF('[4]2.报价结算清单'!$F$2:$F$578,A258,'[4]2.报价结算清单'!$P$2:$P$578)</f>
        <v>#VALUE!</v>
      </c>
    </row>
    <row r="259" spans="1:9">
      <c r="A259" s="7" t="s">
        <v>2873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SUMIF('[4]2.报价结算清单'!$F$2:$F$578,$A259,'[4]2.报价结算清单'!$L$2:$L$578)</f>
        <v>#VALUE!</v>
      </c>
      <c r="H259" s="13" t="e">
        <f>SUMIF('[4]2.报价结算清单'!$F$2:$F$578,$A259,'[4]2.报价结算清单'!$N$2:$N$578)</f>
        <v>#VALUE!</v>
      </c>
      <c r="I259" s="15" t="e">
        <f>SUMIF('[4]2.报价结算清单'!$F$2:$F$578,A259,'[4]2.报价结算清单'!$P$2:$P$578)</f>
        <v>#VALUE!</v>
      </c>
    </row>
    <row r="260" spans="1:9">
      <c r="A260" s="7" t="s">
        <v>2874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SUMIF('[4]2.报价结算清单'!$F$2:$F$578,$A260,'[4]2.报价结算清单'!$L$2:$L$578)</f>
        <v>#VALUE!</v>
      </c>
      <c r="H260" s="13" t="e">
        <f>SUMIF('[4]2.报价结算清单'!$F$2:$F$578,$A260,'[4]2.报价结算清单'!$N$2:$N$578)</f>
        <v>#VALUE!</v>
      </c>
      <c r="I260" s="15" t="e">
        <f>SUMIF('[4]2.报价结算清单'!$F$2:$F$578,A260,'[4]2.报价结算清单'!$P$2:$P$578)</f>
        <v>#VALUE!</v>
      </c>
    </row>
    <row r="261" spans="1:9">
      <c r="A261" s="7" t="s">
        <v>2875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SUMIF('[4]2.报价结算清单'!$F$2:$F$578,$A261,'[4]2.报价结算清单'!$L$2:$L$578)</f>
        <v>#VALUE!</v>
      </c>
      <c r="H261" s="13" t="e">
        <f>SUMIF('[4]2.报价结算清单'!$F$2:$F$578,$A261,'[4]2.报价结算清单'!$N$2:$N$578)</f>
        <v>#VALUE!</v>
      </c>
      <c r="I261" s="15" t="e">
        <f>SUMIF('[4]2.报价结算清单'!$F$2:$F$578,A261,'[4]2.报价结算清单'!$P$2:$P$578)</f>
        <v>#VALUE!</v>
      </c>
    </row>
    <row r="262" spans="1:9">
      <c r="A262" s="7" t="s">
        <v>2876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SUMIF('[4]2.报价结算清单'!$F$2:$F$578,$A262,'[4]2.报价结算清单'!$L$2:$L$578)</f>
        <v>#VALUE!</v>
      </c>
      <c r="H262" s="13" t="e">
        <f>SUMIF('[4]2.报价结算清单'!$F$2:$F$578,$A262,'[4]2.报价结算清单'!$N$2:$N$578)</f>
        <v>#VALUE!</v>
      </c>
      <c r="I262" s="15" t="e">
        <f>SUMIF('[4]2.报价结算清单'!$F$2:$F$578,A262,'[4]2.报价结算清单'!$P$2:$P$578)</f>
        <v>#VALUE!</v>
      </c>
    </row>
    <row r="263" spans="1:9">
      <c r="A263" s="7" t="s">
        <v>2877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SUMIF('[4]2.报价结算清单'!$F$2:$F$578,$A263,'[4]2.报价结算清单'!$L$2:$L$578)</f>
        <v>#VALUE!</v>
      </c>
      <c r="H263" s="13" t="e">
        <f>SUMIF('[4]2.报价结算清单'!$F$2:$F$578,$A263,'[4]2.报价结算清单'!$N$2:$N$578)</f>
        <v>#VALUE!</v>
      </c>
      <c r="I263" s="15" t="e">
        <f>SUMIF('[4]2.报价结算清单'!$F$2:$F$578,A263,'[4]2.报价结算清单'!$P$2:$P$578)</f>
        <v>#VALUE!</v>
      </c>
    </row>
    <row r="264" spans="1:9">
      <c r="A264" s="7" t="s">
        <v>2878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SUMIF('[4]2.报价结算清单'!$F$2:$F$578,$A264,'[4]2.报价结算清单'!$L$2:$L$578)</f>
        <v>#VALUE!</v>
      </c>
      <c r="H264" s="13" t="e">
        <f>SUMIF('[4]2.报价结算清单'!$F$2:$F$578,$A264,'[4]2.报价结算清单'!$N$2:$N$578)</f>
        <v>#VALUE!</v>
      </c>
      <c r="I264" s="15" t="e">
        <f>SUMIF('[4]2.报价结算清单'!$F$2:$F$578,A264,'[4]2.报价结算清单'!$P$2:$P$578)</f>
        <v>#VALUE!</v>
      </c>
    </row>
    <row r="265" spans="1:9">
      <c r="A265" s="7" t="s">
        <v>2879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SUMIF('[4]2.报价结算清单'!$F$2:$F$578,$A265,'[4]2.报价结算清单'!$L$2:$L$578)</f>
        <v>#VALUE!</v>
      </c>
      <c r="H265" s="13" t="e">
        <f>SUMIF('[4]2.报价结算清单'!$F$2:$F$578,$A265,'[4]2.报价结算清单'!$N$2:$N$578)</f>
        <v>#VALUE!</v>
      </c>
      <c r="I265" s="15" t="e">
        <f>SUMIF('[4]2.报价结算清单'!$F$2:$F$578,A265,'[4]2.报价结算清单'!$P$2:$P$578)</f>
        <v>#VALUE!</v>
      </c>
    </row>
    <row r="266" spans="1:9">
      <c r="A266" s="7" t="s">
        <v>2880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SUMIF('[4]2.报价结算清单'!$F$2:$F$578,$A266,'[4]2.报价结算清单'!$L$2:$L$578)</f>
        <v>#VALUE!</v>
      </c>
      <c r="H266" s="13" t="e">
        <f>SUMIF('[4]2.报价结算清单'!$F$2:$F$578,$A266,'[4]2.报价结算清单'!$N$2:$N$578)</f>
        <v>#VALUE!</v>
      </c>
      <c r="I266" s="15" t="e">
        <f>SUMIF('[4]2.报价结算清单'!$F$2:$F$578,A266,'[4]2.报价结算清单'!$P$2:$P$578)</f>
        <v>#VALUE!</v>
      </c>
    </row>
    <row r="267" spans="1:9" ht="24.75">
      <c r="A267" s="7" t="s">
        <v>2881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SUMIF('[4]2.报价结算清单'!$F$2:$F$578,$A267,'[4]2.报价结算清单'!$L$2:$L$578)</f>
        <v>#VALUE!</v>
      </c>
      <c r="H267" s="13" t="e">
        <f>SUMIF('[4]2.报价结算清单'!$F$2:$F$578,$A267,'[4]2.报价结算清单'!$N$2:$N$578)</f>
        <v>#VALUE!</v>
      </c>
      <c r="I267" s="15" t="e">
        <f>SUMIF('[4]2.报价结算清单'!$F$2:$F$578,A267,'[4]2.报价结算清单'!$P$2:$P$578)</f>
        <v>#VALUE!</v>
      </c>
    </row>
    <row r="268" spans="1:9" ht="24.75">
      <c r="A268" s="7" t="s">
        <v>2882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SUMIF('[4]2.报价结算清单'!$F$2:$F$578,$A268,'[4]2.报价结算清单'!$L$2:$L$578)</f>
        <v>#VALUE!</v>
      </c>
      <c r="H268" s="13" t="e">
        <f>SUMIF('[4]2.报价结算清单'!$F$2:$F$578,$A268,'[4]2.报价结算清单'!$N$2:$N$578)</f>
        <v>#VALUE!</v>
      </c>
      <c r="I268" s="15" t="e">
        <f>SUMIF('[4]2.报价结算清单'!$F$2:$F$578,A268,'[4]2.报价结算清单'!$P$2:$P$578)</f>
        <v>#VALUE!</v>
      </c>
    </row>
    <row r="269" spans="1:9">
      <c r="A269" s="7" t="s">
        <v>2883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SUMIF('[4]2.报价结算清单'!$F$2:$F$578,$A269,'[4]2.报价结算清单'!$L$2:$L$578)</f>
        <v>#VALUE!</v>
      </c>
      <c r="H269" s="13" t="e">
        <f>SUMIF('[4]2.报价结算清单'!$F$2:$F$578,$A269,'[4]2.报价结算清单'!$N$2:$N$578)</f>
        <v>#VALUE!</v>
      </c>
      <c r="I269" s="15" t="e">
        <f>SUMIF('[4]2.报价结算清单'!$F$2:$F$578,A269,'[4]2.报价结算清单'!$P$2:$P$578)</f>
        <v>#VALUE!</v>
      </c>
    </row>
    <row r="270" spans="1:9">
      <c r="A270" s="7" t="s">
        <v>3159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SUMIF('[4]2.报价结算清单'!$F$2:$F$578,$A270,'[4]2.报价结算清单'!$L$2:$L$578)</f>
        <v>#VALUE!</v>
      </c>
      <c r="H270" s="13" t="e">
        <f>SUMIF('[4]2.报价结算清单'!$F$2:$F$578,$A270,'[4]2.报价结算清单'!$N$2:$N$578)</f>
        <v>#VALUE!</v>
      </c>
      <c r="I270" s="15" t="e">
        <f>SUMIF('[4]2.报价结算清单'!$F$2:$F$578,A270,'[4]2.报价结算清单'!$P$2:$P$578)</f>
        <v>#VALUE!</v>
      </c>
    </row>
    <row r="271" spans="1:9">
      <c r="A271" s="7" t="s">
        <v>2884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SUMIF('[4]2.报价结算清单'!$F$2:$F$578,$A271,'[4]2.报价结算清单'!$L$2:$L$578)</f>
        <v>#VALUE!</v>
      </c>
      <c r="H271" s="13" t="e">
        <f>SUMIF('[4]2.报价结算清单'!$F$2:$F$578,$A271,'[4]2.报价结算清单'!$N$2:$N$578)</f>
        <v>#VALUE!</v>
      </c>
      <c r="I271" s="15" t="e">
        <f>SUMIF('[4]2.报价结算清单'!$F$2:$F$578,A271,'[4]2.报价结算清单'!$P$2:$P$578)</f>
        <v>#VALUE!</v>
      </c>
    </row>
    <row r="272" spans="1:9">
      <c r="A272" s="7" t="s">
        <v>2885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SUMIF('[4]2.报价结算清单'!$F$2:$F$578,$A272,'[4]2.报价结算清单'!$L$2:$L$578)</f>
        <v>#VALUE!</v>
      </c>
      <c r="H272" s="13" t="e">
        <f>SUMIF('[4]2.报价结算清单'!$F$2:$F$578,$A272,'[4]2.报价结算清单'!$N$2:$N$578)</f>
        <v>#VALUE!</v>
      </c>
      <c r="I272" s="15" t="e">
        <f>SUMIF('[4]2.报价结算清单'!$F$2:$F$578,A272,'[4]2.报价结算清单'!$P$2:$P$578)</f>
        <v>#VALUE!</v>
      </c>
    </row>
    <row r="273" spans="1:9">
      <c r="A273" s="7" t="s">
        <v>2886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SUMIF('[4]2.报价结算清单'!$F$2:$F$578,$A273,'[4]2.报价结算清单'!$L$2:$L$578)</f>
        <v>#VALUE!</v>
      </c>
      <c r="H273" s="13" t="e">
        <f>SUMIF('[4]2.报价结算清单'!$F$2:$F$578,$A273,'[4]2.报价结算清单'!$N$2:$N$578)</f>
        <v>#VALUE!</v>
      </c>
      <c r="I273" s="15" t="e">
        <f>SUMIF('[4]2.报价结算清单'!$F$2:$F$578,A273,'[4]2.报价结算清单'!$P$2:$P$578)</f>
        <v>#VALUE!</v>
      </c>
    </row>
    <row r="274" spans="1:9">
      <c r="A274" s="7" t="s">
        <v>2887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SUMIF('[4]2.报价结算清单'!$F$2:$F$578,$A274,'[4]2.报价结算清单'!$L$2:$L$578)</f>
        <v>#VALUE!</v>
      </c>
      <c r="H274" s="13" t="e">
        <f>SUMIF('[4]2.报价结算清单'!$F$2:$F$578,$A274,'[4]2.报价结算清单'!$N$2:$N$578)</f>
        <v>#VALUE!</v>
      </c>
      <c r="I274" s="15" t="e">
        <f>SUMIF('[4]2.报价结算清单'!$F$2:$F$578,A274,'[4]2.报价结算清单'!$P$2:$P$578)</f>
        <v>#VALUE!</v>
      </c>
    </row>
    <row r="275" spans="1:9">
      <c r="A275" s="7" t="s">
        <v>2888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SUMIF('[4]2.报价结算清单'!$F$2:$F$578,$A275,'[4]2.报价结算清单'!$L$2:$L$578)</f>
        <v>#VALUE!</v>
      </c>
      <c r="H275" s="13" t="e">
        <f>SUMIF('[4]2.报价结算清单'!$F$2:$F$578,$A275,'[4]2.报价结算清单'!$N$2:$N$578)</f>
        <v>#VALUE!</v>
      </c>
      <c r="I275" s="15" t="e">
        <f>SUMIF('[4]2.报价结算清单'!$F$2:$F$578,A275,'[4]2.报价结算清单'!$P$2:$P$578)</f>
        <v>#VALUE!</v>
      </c>
    </row>
    <row r="276" spans="1:9">
      <c r="A276" s="7" t="s">
        <v>2451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SUMIF('[4]2.报价结算清单'!$F$2:$F$578,$A276,'[4]2.报价结算清单'!$L$2:$L$578)</f>
        <v>#VALUE!</v>
      </c>
      <c r="H276" s="13" t="e">
        <f>SUMIF('[4]2.报价结算清单'!$F$2:$F$578,$A276,'[4]2.报价结算清单'!$N$2:$N$578)</f>
        <v>#VALUE!</v>
      </c>
      <c r="I276" s="15" t="e">
        <f>SUMIF('[4]2.报价结算清单'!$F$2:$F$578,A276,'[4]2.报价结算清单'!$P$2:$P$578)</f>
        <v>#VALUE!</v>
      </c>
    </row>
    <row r="277" spans="1:9">
      <c r="A277" s="7" t="s">
        <v>2889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SUMIF('[4]2.报价结算清单'!$F$2:$F$578,$A277,'[4]2.报价结算清单'!$L$2:$L$578)</f>
        <v>#VALUE!</v>
      </c>
      <c r="H277" s="13" t="e">
        <f>SUMIF('[4]2.报价结算清单'!$F$2:$F$578,$A277,'[4]2.报价结算清单'!$N$2:$N$578)</f>
        <v>#VALUE!</v>
      </c>
      <c r="I277" s="15" t="e">
        <f>SUMIF('[4]2.报价结算清单'!$F$2:$F$578,A277,'[4]2.报价结算清单'!$P$2:$P$578)</f>
        <v>#VALUE!</v>
      </c>
    </row>
    <row r="278" spans="1:9">
      <c r="A278" s="7" t="s">
        <v>2890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SUMIF('[4]2.报价结算清单'!$F$2:$F$578,$A278,'[4]2.报价结算清单'!$L$2:$L$578)</f>
        <v>#VALUE!</v>
      </c>
      <c r="H278" s="13" t="e">
        <f>SUMIF('[4]2.报价结算清单'!$F$2:$F$578,$A278,'[4]2.报价结算清单'!$N$2:$N$578)</f>
        <v>#VALUE!</v>
      </c>
      <c r="I278" s="15" t="e">
        <f>SUMIF('[4]2.报价结算清单'!$F$2:$F$578,A278,'[4]2.报价结算清单'!$P$2:$P$578)</f>
        <v>#VALUE!</v>
      </c>
    </row>
    <row r="279" spans="1:9">
      <c r="A279" s="7" t="s">
        <v>2891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SUMIF('[4]2.报价结算清单'!$F$2:$F$578,$A279,'[4]2.报价结算清单'!$L$2:$L$578)</f>
        <v>#VALUE!</v>
      </c>
      <c r="H279" s="13" t="e">
        <f>SUMIF('[4]2.报价结算清单'!$F$2:$F$578,$A279,'[4]2.报价结算清单'!$N$2:$N$578)</f>
        <v>#VALUE!</v>
      </c>
      <c r="I279" s="15" t="e">
        <f>SUMIF('[4]2.报价结算清单'!$F$2:$F$578,A279,'[4]2.报价结算清单'!$P$2:$P$578)</f>
        <v>#VALUE!</v>
      </c>
    </row>
    <row r="280" spans="1:9">
      <c r="A280" s="7" t="s">
        <v>2892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SUMIF('[4]2.报价结算清单'!$F$2:$F$578,$A280,'[4]2.报价结算清单'!$L$2:$L$578)</f>
        <v>#VALUE!</v>
      </c>
      <c r="H280" s="13" t="e">
        <f>SUMIF('[4]2.报价结算清单'!$F$2:$F$578,$A280,'[4]2.报价结算清单'!$N$2:$N$578)</f>
        <v>#VALUE!</v>
      </c>
      <c r="I280" s="15" t="e">
        <f>SUMIF('[4]2.报价结算清单'!$F$2:$F$578,A280,'[4]2.报价结算清单'!$P$2:$P$578)</f>
        <v>#VALUE!</v>
      </c>
    </row>
    <row r="281" spans="1:9">
      <c r="A281" s="7" t="s">
        <v>2893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SUMIF('[4]2.报价结算清单'!$F$2:$F$578,$A281,'[4]2.报价结算清单'!$L$2:$L$578)</f>
        <v>#VALUE!</v>
      </c>
      <c r="H281" s="13" t="e">
        <f>SUMIF('[4]2.报价结算清单'!$F$2:$F$578,$A281,'[4]2.报价结算清单'!$N$2:$N$578)</f>
        <v>#VALUE!</v>
      </c>
      <c r="I281" s="15" t="e">
        <f>SUMIF('[4]2.报价结算清单'!$F$2:$F$578,A281,'[4]2.报价结算清单'!$P$2:$P$578)</f>
        <v>#VALUE!</v>
      </c>
    </row>
    <row r="282" spans="1:9">
      <c r="A282" s="7" t="s">
        <v>2894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SUMIF('[4]2.报价结算清单'!$F$2:$F$578,$A282,'[4]2.报价结算清单'!$L$2:$L$578)</f>
        <v>#VALUE!</v>
      </c>
      <c r="H282" s="13" t="e">
        <f>SUMIF('[4]2.报价结算清单'!$F$2:$F$578,$A282,'[4]2.报价结算清单'!$N$2:$N$578)</f>
        <v>#VALUE!</v>
      </c>
      <c r="I282" s="15" t="e">
        <f>SUMIF('[4]2.报价结算清单'!$F$2:$F$578,A282,'[4]2.报价结算清单'!$P$2:$P$578)</f>
        <v>#VALUE!</v>
      </c>
    </row>
    <row r="283" spans="1:9">
      <c r="A283" s="7" t="s">
        <v>2895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SUMIF('[4]2.报价结算清单'!$F$2:$F$578,$A283,'[4]2.报价结算清单'!$L$2:$L$578)</f>
        <v>#VALUE!</v>
      </c>
      <c r="H283" s="13" t="e">
        <f>SUMIF('[4]2.报价结算清单'!$F$2:$F$578,$A283,'[4]2.报价结算清单'!$N$2:$N$578)</f>
        <v>#VALUE!</v>
      </c>
      <c r="I283" s="15" t="e">
        <f>SUMIF('[4]2.报价结算清单'!$F$2:$F$578,A283,'[4]2.报价结算清单'!$P$2:$P$578)</f>
        <v>#VALUE!</v>
      </c>
    </row>
    <row r="284" spans="1:9">
      <c r="A284" s="7" t="s">
        <v>2896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SUMIF('[4]2.报价结算清单'!$F$2:$F$578,$A284,'[4]2.报价结算清单'!$L$2:$L$578)</f>
        <v>#VALUE!</v>
      </c>
      <c r="H284" s="13" t="e">
        <f>SUMIF('[4]2.报价结算清单'!$F$2:$F$578,$A284,'[4]2.报价结算清单'!$N$2:$N$578)</f>
        <v>#VALUE!</v>
      </c>
      <c r="I284" s="15" t="e">
        <f>SUMIF('[4]2.报价结算清单'!$F$2:$F$578,A284,'[4]2.报价结算清单'!$P$2:$P$578)</f>
        <v>#VALUE!</v>
      </c>
    </row>
    <row r="285" spans="1:9">
      <c r="A285" s="7" t="s">
        <v>2897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SUMIF('[4]2.报价结算清单'!$F$2:$F$578,$A285,'[4]2.报价结算清单'!$L$2:$L$578)</f>
        <v>#VALUE!</v>
      </c>
      <c r="H285" s="13" t="e">
        <f>SUMIF('[4]2.报价结算清单'!$F$2:$F$578,$A285,'[4]2.报价结算清单'!$N$2:$N$578)</f>
        <v>#VALUE!</v>
      </c>
      <c r="I285" s="15" t="e">
        <f>SUMIF('[4]2.报价结算清单'!$F$2:$F$578,A285,'[4]2.报价结算清单'!$P$2:$P$578)</f>
        <v>#VALUE!</v>
      </c>
    </row>
    <row r="286" spans="1:9">
      <c r="A286" s="7" t="s">
        <v>2898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SUMIF('[4]2.报价结算清单'!$F$2:$F$578,$A286,'[4]2.报价结算清单'!$L$2:$L$578)</f>
        <v>#VALUE!</v>
      </c>
      <c r="H286" s="13" t="e">
        <f>SUMIF('[4]2.报价结算清单'!$F$2:$F$578,$A286,'[4]2.报价结算清单'!$N$2:$N$578)</f>
        <v>#VALUE!</v>
      </c>
      <c r="I286" s="15" t="e">
        <f>SUMIF('[4]2.报价结算清单'!$F$2:$F$578,A286,'[4]2.报价结算清单'!$P$2:$P$578)</f>
        <v>#VALUE!</v>
      </c>
    </row>
    <row r="287" spans="1:9">
      <c r="A287" s="7" t="s">
        <v>2899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SUMIF('[4]2.报价结算清单'!$F$2:$F$578,$A287,'[4]2.报价结算清单'!$L$2:$L$578)</f>
        <v>#VALUE!</v>
      </c>
      <c r="H287" s="13" t="e">
        <f>SUMIF('[4]2.报价结算清单'!$F$2:$F$578,$A287,'[4]2.报价结算清单'!$N$2:$N$578)</f>
        <v>#VALUE!</v>
      </c>
      <c r="I287" s="15" t="e">
        <f>SUMIF('[4]2.报价结算清单'!$F$2:$F$578,A287,'[4]2.报价结算清单'!$P$2:$P$578)</f>
        <v>#VALUE!</v>
      </c>
    </row>
    <row r="288" spans="1:9">
      <c r="A288" s="7" t="s">
        <v>2900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SUMIF('[4]2.报价结算清单'!$F$2:$F$578,$A288,'[4]2.报价结算清单'!$L$2:$L$578)</f>
        <v>#VALUE!</v>
      </c>
      <c r="H288" s="13" t="e">
        <f>SUMIF('[4]2.报价结算清单'!$F$2:$F$578,$A288,'[4]2.报价结算清单'!$N$2:$N$578)</f>
        <v>#VALUE!</v>
      </c>
      <c r="I288" s="15" t="e">
        <f>SUMIF('[4]2.报价结算清单'!$F$2:$F$578,A288,'[4]2.报价结算清单'!$P$2:$P$578)</f>
        <v>#VALUE!</v>
      </c>
    </row>
    <row r="289" spans="1:9" ht="24.75">
      <c r="A289" s="7" t="s">
        <v>2901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SUMIF('[4]2.报价结算清单'!$F$2:$F$578,$A289,'[4]2.报价结算清单'!$L$2:$L$578)</f>
        <v>#VALUE!</v>
      </c>
      <c r="H289" s="13" t="e">
        <f>SUMIF('[4]2.报价结算清单'!$F$2:$F$578,$A289,'[4]2.报价结算清单'!$N$2:$N$578)</f>
        <v>#VALUE!</v>
      </c>
      <c r="I289" s="15" t="e">
        <f>SUMIF('[4]2.报价结算清单'!$F$2:$F$578,A289,'[4]2.报价结算清单'!$P$2:$P$578)</f>
        <v>#VALUE!</v>
      </c>
    </row>
    <row r="290" spans="1:9" ht="24.75">
      <c r="A290" s="7" t="s">
        <v>2902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SUMIF('[4]2.报价结算清单'!$F$2:$F$578,$A290,'[4]2.报价结算清单'!$L$2:$L$578)</f>
        <v>#VALUE!</v>
      </c>
      <c r="H290" s="13" t="e">
        <f>SUMIF('[4]2.报价结算清单'!$F$2:$F$578,$A290,'[4]2.报价结算清单'!$N$2:$N$578)</f>
        <v>#VALUE!</v>
      </c>
      <c r="I290" s="15" t="e">
        <f>SUMIF('[4]2.报价结算清单'!$F$2:$F$578,A290,'[4]2.报价结算清单'!$P$2:$P$578)</f>
        <v>#VALUE!</v>
      </c>
    </row>
    <row r="291" spans="1:9" ht="24.75">
      <c r="A291" s="7" t="s">
        <v>2903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SUMIF('[4]2.报价结算清单'!$F$2:$F$578,$A291,'[4]2.报价结算清单'!$L$2:$L$578)</f>
        <v>#VALUE!</v>
      </c>
      <c r="H291" s="13" t="e">
        <f>SUMIF('[4]2.报价结算清单'!$F$2:$F$578,$A291,'[4]2.报价结算清单'!$N$2:$N$578)</f>
        <v>#VALUE!</v>
      </c>
      <c r="I291" s="15" t="e">
        <f>SUMIF('[4]2.报价结算清单'!$F$2:$F$578,A291,'[4]2.报价结算清单'!$P$2:$P$578)</f>
        <v>#VALUE!</v>
      </c>
    </row>
    <row r="292" spans="1:9" ht="24.75">
      <c r="A292" s="7" t="s">
        <v>2904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SUMIF('[4]2.报价结算清单'!$F$2:$F$578,$A292,'[4]2.报价结算清单'!$L$2:$L$578)</f>
        <v>#VALUE!</v>
      </c>
      <c r="H292" s="13" t="e">
        <f>SUMIF('[4]2.报价结算清单'!$F$2:$F$578,$A292,'[4]2.报价结算清单'!$N$2:$N$578)</f>
        <v>#VALUE!</v>
      </c>
      <c r="I292" s="15" t="e">
        <f>SUMIF('[4]2.报价结算清单'!$F$2:$F$578,A292,'[4]2.报价结算清单'!$P$2:$P$578)</f>
        <v>#VALUE!</v>
      </c>
    </row>
    <row r="293" spans="1:9" ht="24.75">
      <c r="A293" s="7" t="s">
        <v>2905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SUMIF('[4]2.报价结算清单'!$F$2:$F$578,$A293,'[4]2.报价结算清单'!$L$2:$L$578)</f>
        <v>#VALUE!</v>
      </c>
      <c r="H293" s="13" t="e">
        <f>SUMIF('[4]2.报价结算清单'!$F$2:$F$578,$A293,'[4]2.报价结算清单'!$N$2:$N$578)</f>
        <v>#VALUE!</v>
      </c>
      <c r="I293" s="15" t="e">
        <f>SUMIF('[4]2.报价结算清单'!$F$2:$F$578,A293,'[4]2.报价结算清单'!$P$2:$P$578)</f>
        <v>#VALUE!</v>
      </c>
    </row>
    <row r="294" spans="1:9">
      <c r="A294" s="7" t="s">
        <v>2906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SUMIF('[4]2.报价结算清单'!$F$2:$F$578,$A294,'[4]2.报价结算清单'!$L$2:$L$578)</f>
        <v>#VALUE!</v>
      </c>
      <c r="H294" s="13" t="e">
        <f>SUMIF('[4]2.报价结算清单'!$F$2:$F$578,$A294,'[4]2.报价结算清单'!$N$2:$N$578)</f>
        <v>#VALUE!</v>
      </c>
      <c r="I294" s="15" t="e">
        <f>SUMIF('[4]2.报价结算清单'!$F$2:$F$578,A294,'[4]2.报价结算清单'!$P$2:$P$578)</f>
        <v>#VALUE!</v>
      </c>
    </row>
    <row r="295" spans="1:9">
      <c r="A295" s="7" t="s">
        <v>2907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SUMIF('[4]2.报价结算清单'!$F$2:$F$578,$A295,'[4]2.报价结算清单'!$L$2:$L$578)</f>
        <v>#VALUE!</v>
      </c>
      <c r="H295" s="13" t="e">
        <f>SUMIF('[4]2.报价结算清单'!$F$2:$F$578,$A295,'[4]2.报价结算清单'!$N$2:$N$578)</f>
        <v>#VALUE!</v>
      </c>
      <c r="I295" s="15" t="e">
        <f>SUMIF('[4]2.报价结算清单'!$F$2:$F$578,A295,'[4]2.报价结算清单'!$P$2:$P$578)</f>
        <v>#VALUE!</v>
      </c>
    </row>
    <row r="296" spans="1:9" ht="24.75">
      <c r="A296" s="7" t="s">
        <v>2908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SUMIF('[4]2.报价结算清单'!$F$2:$F$578,$A296,'[4]2.报价结算清单'!$L$2:$L$578)</f>
        <v>#VALUE!</v>
      </c>
      <c r="H296" s="13" t="e">
        <f>SUMIF('[4]2.报价结算清单'!$F$2:$F$578,$A296,'[4]2.报价结算清单'!$N$2:$N$578)</f>
        <v>#VALUE!</v>
      </c>
      <c r="I296" s="15" t="e">
        <f>SUMIF('[4]2.报价结算清单'!$F$2:$F$578,A296,'[4]2.报价结算清单'!$P$2:$P$578)</f>
        <v>#VALUE!</v>
      </c>
    </row>
    <row r="297" spans="1:9" ht="24.75">
      <c r="A297" s="7" t="s">
        <v>2909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SUMIF('[4]2.报价结算清单'!$F$2:$F$578,$A297,'[4]2.报价结算清单'!$L$2:$L$578)</f>
        <v>#VALUE!</v>
      </c>
      <c r="H297" s="13" t="e">
        <f>SUMIF('[4]2.报价结算清单'!$F$2:$F$578,$A297,'[4]2.报价结算清单'!$N$2:$N$578)</f>
        <v>#VALUE!</v>
      </c>
      <c r="I297" s="15" t="e">
        <f>SUMIF('[4]2.报价结算清单'!$F$2:$F$578,A297,'[4]2.报价结算清单'!$P$2:$P$578)</f>
        <v>#VALUE!</v>
      </c>
    </row>
    <row r="298" spans="1:9" ht="24.75">
      <c r="A298" s="7" t="s">
        <v>2910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SUMIF('[4]2.报价结算清单'!$F$2:$F$578,$A298,'[4]2.报价结算清单'!$L$2:$L$578)</f>
        <v>#VALUE!</v>
      </c>
      <c r="H298" s="13" t="e">
        <f>SUMIF('[4]2.报价结算清单'!$F$2:$F$578,$A298,'[4]2.报价结算清单'!$N$2:$N$578)</f>
        <v>#VALUE!</v>
      </c>
      <c r="I298" s="15" t="e">
        <f>SUMIF('[4]2.报价结算清单'!$F$2:$F$578,A298,'[4]2.报价结算清单'!$P$2:$P$578)</f>
        <v>#VALUE!</v>
      </c>
    </row>
    <row r="299" spans="1:9" ht="24.75">
      <c r="A299" s="7" t="s">
        <v>2911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SUMIF('[4]2.报价结算清单'!$F$2:$F$578,$A299,'[4]2.报价结算清单'!$L$2:$L$578)</f>
        <v>#VALUE!</v>
      </c>
      <c r="H299" s="13" t="e">
        <f>SUMIF('[4]2.报价结算清单'!$F$2:$F$578,$A299,'[4]2.报价结算清单'!$N$2:$N$578)</f>
        <v>#VALUE!</v>
      </c>
      <c r="I299" s="15" t="e">
        <f>SUMIF('[4]2.报价结算清单'!$F$2:$F$578,A299,'[4]2.报价结算清单'!$P$2:$P$578)</f>
        <v>#VALUE!</v>
      </c>
    </row>
    <row r="300" spans="1:9" ht="24.75">
      <c r="A300" s="7" t="s">
        <v>2912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SUMIF('[4]2.报价结算清单'!$F$2:$F$578,$A300,'[4]2.报价结算清单'!$L$2:$L$578)</f>
        <v>#VALUE!</v>
      </c>
      <c r="H300" s="13" t="e">
        <f>SUMIF('[4]2.报价结算清单'!$F$2:$F$578,$A300,'[4]2.报价结算清单'!$N$2:$N$578)</f>
        <v>#VALUE!</v>
      </c>
      <c r="I300" s="15" t="e">
        <f>SUMIF('[4]2.报价结算清单'!$F$2:$F$578,A300,'[4]2.报价结算清单'!$P$2:$P$578)</f>
        <v>#VALUE!</v>
      </c>
    </row>
    <row r="301" spans="1:9" ht="24.75">
      <c r="A301" s="7" t="s">
        <v>2913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SUMIF('[4]2.报价结算清单'!$F$2:$F$578,$A301,'[4]2.报价结算清单'!$L$2:$L$578)</f>
        <v>#VALUE!</v>
      </c>
      <c r="H301" s="13" t="e">
        <f>SUMIF('[4]2.报价结算清单'!$F$2:$F$578,$A301,'[4]2.报价结算清单'!$N$2:$N$578)</f>
        <v>#VALUE!</v>
      </c>
      <c r="I301" s="15" t="e">
        <f>SUMIF('[4]2.报价结算清单'!$F$2:$F$578,A301,'[4]2.报价结算清单'!$P$2:$P$578)</f>
        <v>#VALUE!</v>
      </c>
    </row>
    <row r="302" spans="1:9" ht="24.75">
      <c r="A302" s="7" t="s">
        <v>2914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SUMIF('[4]2.报价结算清单'!$F$2:$F$578,$A302,'[4]2.报价结算清单'!$L$2:$L$578)</f>
        <v>#VALUE!</v>
      </c>
      <c r="H302" s="13" t="e">
        <f>SUMIF('[4]2.报价结算清单'!$F$2:$F$578,$A302,'[4]2.报价结算清单'!$N$2:$N$578)</f>
        <v>#VALUE!</v>
      </c>
      <c r="I302" s="15" t="e">
        <f>SUMIF('[4]2.报价结算清单'!$F$2:$F$578,A302,'[4]2.报价结算清单'!$P$2:$P$578)</f>
        <v>#VALUE!</v>
      </c>
    </row>
    <row r="303" spans="1:9">
      <c r="A303" s="7" t="s">
        <v>2915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SUMIF('[4]2.报价结算清单'!$F$2:$F$578,$A303,'[4]2.报价结算清单'!$L$2:$L$578)</f>
        <v>#VALUE!</v>
      </c>
      <c r="H303" s="13" t="e">
        <f>SUMIF('[4]2.报价结算清单'!$F$2:$F$578,$A303,'[4]2.报价结算清单'!$N$2:$N$578)</f>
        <v>#VALUE!</v>
      </c>
      <c r="I303" s="15" t="e">
        <f>SUMIF('[4]2.报价结算清单'!$F$2:$F$578,A303,'[4]2.报价结算清单'!$P$2:$P$578)</f>
        <v>#VALUE!</v>
      </c>
    </row>
    <row r="304" spans="1:9">
      <c r="A304" s="7" t="s">
        <v>2916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SUMIF('[4]2.报价结算清单'!$F$2:$F$578,$A304,'[4]2.报价结算清单'!$L$2:$L$578)</f>
        <v>#VALUE!</v>
      </c>
      <c r="H304" s="13" t="e">
        <f>SUMIF('[4]2.报价结算清单'!$F$2:$F$578,$A304,'[4]2.报价结算清单'!$N$2:$N$578)</f>
        <v>#VALUE!</v>
      </c>
      <c r="I304" s="15" t="e">
        <f>SUMIF('[4]2.报价结算清单'!$F$2:$F$578,A304,'[4]2.报价结算清单'!$P$2:$P$578)</f>
        <v>#VALUE!</v>
      </c>
    </row>
    <row r="305" spans="1:9">
      <c r="A305" s="7" t="s">
        <v>2917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SUMIF('[4]2.报价结算清单'!$F$2:$F$578,$A305,'[4]2.报价结算清单'!$L$2:$L$578)</f>
        <v>#VALUE!</v>
      </c>
      <c r="H305" s="13" t="e">
        <f>SUMIF('[4]2.报价结算清单'!$F$2:$F$578,$A305,'[4]2.报价结算清单'!$N$2:$N$578)</f>
        <v>#VALUE!</v>
      </c>
      <c r="I305" s="15" t="e">
        <f>SUMIF('[4]2.报价结算清单'!$F$2:$F$578,A305,'[4]2.报价结算清单'!$P$2:$P$578)</f>
        <v>#VALUE!</v>
      </c>
    </row>
    <row r="306" spans="1:9" ht="24.75">
      <c r="A306" s="7" t="s">
        <v>2918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SUMIF('[4]2.报价结算清单'!$F$2:$F$578,$A306,'[4]2.报价结算清单'!$L$2:$L$578)</f>
        <v>#VALUE!</v>
      </c>
      <c r="H306" s="13" t="e">
        <f>SUMIF('[4]2.报价结算清单'!$F$2:$F$578,$A306,'[4]2.报价结算清单'!$N$2:$N$578)</f>
        <v>#VALUE!</v>
      </c>
      <c r="I306" s="15" t="e">
        <f>SUMIF('[4]2.报价结算清单'!$F$2:$F$578,A306,'[4]2.报价结算清单'!$P$2:$P$578)</f>
        <v>#VALUE!</v>
      </c>
    </row>
    <row r="307" spans="1:9" ht="24.75">
      <c r="A307" s="7" t="s">
        <v>2919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SUMIF('[4]2.报价结算清单'!$F$2:$F$578,$A307,'[4]2.报价结算清单'!$L$2:$L$578)</f>
        <v>#VALUE!</v>
      </c>
      <c r="H307" s="13" t="e">
        <f>SUMIF('[4]2.报价结算清单'!$F$2:$F$578,$A307,'[4]2.报价结算清单'!$N$2:$N$578)</f>
        <v>#VALUE!</v>
      </c>
      <c r="I307" s="15" t="e">
        <f>SUMIF('[4]2.报价结算清单'!$F$2:$F$578,A307,'[4]2.报价结算清单'!$P$2:$P$578)</f>
        <v>#VALUE!</v>
      </c>
    </row>
    <row r="308" spans="1:9" ht="24.75">
      <c r="A308" s="7" t="s">
        <v>2920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SUMIF('[4]2.报价结算清单'!$F$2:$F$578,$A308,'[4]2.报价结算清单'!$L$2:$L$578)</f>
        <v>#VALUE!</v>
      </c>
      <c r="H308" s="13" t="e">
        <f>SUMIF('[4]2.报价结算清单'!$F$2:$F$578,$A308,'[4]2.报价结算清单'!$N$2:$N$578)</f>
        <v>#VALUE!</v>
      </c>
      <c r="I308" s="15" t="e">
        <f>SUMIF('[4]2.报价结算清单'!$F$2:$F$578,A308,'[4]2.报价结算清单'!$P$2:$P$578)</f>
        <v>#VALUE!</v>
      </c>
    </row>
    <row r="309" spans="1:9" ht="24.75">
      <c r="A309" s="7" t="s">
        <v>2921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SUMIF('[4]2.报价结算清单'!$F$2:$F$578,$A309,'[4]2.报价结算清单'!$L$2:$L$578)</f>
        <v>#VALUE!</v>
      </c>
      <c r="H309" s="13" t="e">
        <f>SUMIF('[4]2.报价结算清单'!$F$2:$F$578,$A309,'[4]2.报价结算清单'!$N$2:$N$578)</f>
        <v>#VALUE!</v>
      </c>
      <c r="I309" s="15" t="e">
        <f>SUMIF('[4]2.报价结算清单'!$F$2:$F$578,A309,'[4]2.报价结算清单'!$P$2:$P$578)</f>
        <v>#VALUE!</v>
      </c>
    </row>
    <row r="310" spans="1:9" ht="24.75">
      <c r="A310" s="7" t="s">
        <v>2922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SUMIF('[4]2.报价结算清单'!$F$2:$F$578,$A310,'[4]2.报价结算清单'!$L$2:$L$578)</f>
        <v>#VALUE!</v>
      </c>
      <c r="H310" s="13" t="e">
        <f>SUMIF('[4]2.报价结算清单'!$F$2:$F$578,$A310,'[4]2.报价结算清单'!$N$2:$N$578)</f>
        <v>#VALUE!</v>
      </c>
      <c r="I310" s="15" t="e">
        <f>SUMIF('[4]2.报价结算清单'!$F$2:$F$578,A310,'[4]2.报价结算清单'!$P$2:$P$578)</f>
        <v>#VALUE!</v>
      </c>
    </row>
    <row r="311" spans="1:9" ht="24.75">
      <c r="A311" s="7" t="s">
        <v>2923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SUMIF('[4]2.报价结算清单'!$F$2:$F$578,$A311,'[4]2.报价结算清单'!$L$2:$L$578)</f>
        <v>#VALUE!</v>
      </c>
      <c r="H311" s="13" t="e">
        <f>SUMIF('[4]2.报价结算清单'!$F$2:$F$578,$A311,'[4]2.报价结算清单'!$N$2:$N$578)</f>
        <v>#VALUE!</v>
      </c>
      <c r="I311" s="15" t="e">
        <f>SUMIF('[4]2.报价结算清单'!$F$2:$F$578,A311,'[4]2.报价结算清单'!$P$2:$P$578)</f>
        <v>#VALUE!</v>
      </c>
    </row>
    <row r="312" spans="1:9" ht="24.75">
      <c r="A312" s="7" t="s">
        <v>2924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SUMIF('[4]2.报价结算清单'!$F$2:$F$578,$A312,'[4]2.报价结算清单'!$L$2:$L$578)</f>
        <v>#VALUE!</v>
      </c>
      <c r="H312" s="13" t="e">
        <f>SUMIF('[4]2.报价结算清单'!$F$2:$F$578,$A312,'[4]2.报价结算清单'!$N$2:$N$578)</f>
        <v>#VALUE!</v>
      </c>
      <c r="I312" s="15" t="e">
        <f>SUMIF('[4]2.报价结算清单'!$F$2:$F$578,A312,'[4]2.报价结算清单'!$P$2:$P$578)</f>
        <v>#VALUE!</v>
      </c>
    </row>
    <row r="313" spans="1:9" ht="24.75">
      <c r="A313" s="7" t="s">
        <v>2925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SUMIF('[4]2.报价结算清单'!$F$2:$F$578,$A313,'[4]2.报价结算清单'!$L$2:$L$578)</f>
        <v>#VALUE!</v>
      </c>
      <c r="H313" s="13" t="e">
        <f>SUMIF('[4]2.报价结算清单'!$F$2:$F$578,$A313,'[4]2.报价结算清单'!$N$2:$N$578)</f>
        <v>#VALUE!</v>
      </c>
      <c r="I313" s="15" t="e">
        <f>SUMIF('[4]2.报价结算清单'!$F$2:$F$578,A313,'[4]2.报价结算清单'!$P$2:$P$578)</f>
        <v>#VALUE!</v>
      </c>
    </row>
    <row r="314" spans="1:9" ht="24.75">
      <c r="A314" s="7" t="s">
        <v>2926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SUMIF('[4]2.报价结算清单'!$F$2:$F$578,$A314,'[4]2.报价结算清单'!$L$2:$L$578)</f>
        <v>#VALUE!</v>
      </c>
      <c r="H314" s="13" t="e">
        <f>SUMIF('[4]2.报价结算清单'!$F$2:$F$578,$A314,'[4]2.报价结算清单'!$N$2:$N$578)</f>
        <v>#VALUE!</v>
      </c>
      <c r="I314" s="15" t="e">
        <f>SUMIF('[4]2.报价结算清单'!$F$2:$F$578,A314,'[4]2.报价结算清单'!$P$2:$P$578)</f>
        <v>#VALUE!</v>
      </c>
    </row>
    <row r="315" spans="1:9" ht="24.75">
      <c r="A315" s="7" t="s">
        <v>2927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SUMIF('[4]2.报价结算清单'!$F$2:$F$578,$A315,'[4]2.报价结算清单'!$L$2:$L$578)</f>
        <v>#VALUE!</v>
      </c>
      <c r="H315" s="13" t="e">
        <f>SUMIF('[4]2.报价结算清单'!$F$2:$F$578,$A315,'[4]2.报价结算清单'!$N$2:$N$578)</f>
        <v>#VALUE!</v>
      </c>
      <c r="I315" s="15" t="e">
        <f>SUMIF('[4]2.报价结算清单'!$F$2:$F$578,A315,'[4]2.报价结算清单'!$P$2:$P$578)</f>
        <v>#VALUE!</v>
      </c>
    </row>
    <row r="316" spans="1:9" ht="24.75">
      <c r="A316" s="7" t="s">
        <v>2928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SUMIF('[4]2.报价结算清单'!$F$2:$F$578,$A316,'[4]2.报价结算清单'!$L$2:$L$578)</f>
        <v>#VALUE!</v>
      </c>
      <c r="H316" s="13" t="e">
        <f>SUMIF('[4]2.报价结算清单'!$F$2:$F$578,$A316,'[4]2.报价结算清单'!$N$2:$N$578)</f>
        <v>#VALUE!</v>
      </c>
      <c r="I316" s="15" t="e">
        <f>SUMIF('[4]2.报价结算清单'!$F$2:$F$578,A316,'[4]2.报价结算清单'!$P$2:$P$578)</f>
        <v>#VALUE!</v>
      </c>
    </row>
    <row r="317" spans="1:9" ht="24.75">
      <c r="A317" s="7" t="s">
        <v>2929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SUMIF('[4]2.报价结算清单'!$F$2:$F$578,$A317,'[4]2.报价结算清单'!$L$2:$L$578)</f>
        <v>#VALUE!</v>
      </c>
      <c r="H317" s="13" t="e">
        <f>SUMIF('[4]2.报价结算清单'!$F$2:$F$578,$A317,'[4]2.报价结算清单'!$N$2:$N$578)</f>
        <v>#VALUE!</v>
      </c>
      <c r="I317" s="15" t="e">
        <f>SUMIF('[4]2.报价结算清单'!$F$2:$F$578,A317,'[4]2.报价结算清单'!$P$2:$P$578)</f>
        <v>#VALUE!</v>
      </c>
    </row>
    <row r="318" spans="1:9" ht="24.75">
      <c r="A318" s="7" t="s">
        <v>2930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SUMIF('[4]2.报价结算清单'!$F$2:$F$578,$A318,'[4]2.报价结算清单'!$L$2:$L$578)</f>
        <v>#VALUE!</v>
      </c>
      <c r="H318" s="13" t="e">
        <f>SUMIF('[4]2.报价结算清单'!$F$2:$F$578,$A318,'[4]2.报价结算清单'!$N$2:$N$578)</f>
        <v>#VALUE!</v>
      </c>
      <c r="I318" s="15" t="e">
        <f>SUMIF('[4]2.报价结算清单'!$F$2:$F$578,A318,'[4]2.报价结算清单'!$P$2:$P$578)</f>
        <v>#VALUE!</v>
      </c>
    </row>
    <row r="319" spans="1:9">
      <c r="A319" s="7" t="s">
        <v>2931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SUMIF('[4]2.报价结算清单'!$F$2:$F$578,$A319,'[4]2.报价结算清单'!$L$2:$L$578)</f>
        <v>#VALUE!</v>
      </c>
      <c r="H319" s="13" t="e">
        <f>SUMIF('[4]2.报价结算清单'!$F$2:$F$578,$A319,'[4]2.报价结算清单'!$N$2:$N$578)</f>
        <v>#VALUE!</v>
      </c>
      <c r="I319" s="15" t="e">
        <f>SUMIF('[4]2.报价结算清单'!$F$2:$F$578,A319,'[4]2.报价结算清单'!$P$2:$P$578)</f>
        <v>#VALUE!</v>
      </c>
    </row>
    <row r="320" spans="1:9">
      <c r="A320" s="7" t="s">
        <v>2932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SUMIF('[4]2.报价结算清单'!$F$2:$F$578,$A320,'[4]2.报价结算清单'!$L$2:$L$578)</f>
        <v>#VALUE!</v>
      </c>
      <c r="H320" s="13" t="e">
        <f>SUMIF('[4]2.报价结算清单'!$F$2:$F$578,$A320,'[4]2.报价结算清单'!$N$2:$N$578)</f>
        <v>#VALUE!</v>
      </c>
      <c r="I320" s="15" t="e">
        <f>SUMIF('[4]2.报价结算清单'!$F$2:$F$578,A320,'[4]2.报价结算清单'!$P$2:$P$578)</f>
        <v>#VALUE!</v>
      </c>
    </row>
    <row r="321" spans="1:9" ht="24.75">
      <c r="A321" s="7" t="s">
        <v>2933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SUMIF('[4]2.报价结算清单'!$F$2:$F$578,$A321,'[4]2.报价结算清单'!$L$2:$L$578)</f>
        <v>#VALUE!</v>
      </c>
      <c r="H321" s="13" t="e">
        <f>SUMIF('[4]2.报价结算清单'!$F$2:$F$578,$A321,'[4]2.报价结算清单'!$N$2:$N$578)</f>
        <v>#VALUE!</v>
      </c>
      <c r="I321" s="15" t="e">
        <f>SUMIF('[4]2.报价结算清单'!$F$2:$F$578,A321,'[4]2.报价结算清单'!$P$2:$P$578)</f>
        <v>#VALUE!</v>
      </c>
    </row>
    <row r="322" spans="1:9">
      <c r="A322" s="7" t="s">
        <v>2934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SUMIF('[4]2.报价结算清单'!$F$2:$F$578,$A322,'[4]2.报价结算清单'!$L$2:$L$578)</f>
        <v>#VALUE!</v>
      </c>
      <c r="H322" s="13" t="e">
        <f>SUMIF('[4]2.报价结算清单'!$F$2:$F$578,$A322,'[4]2.报价结算清单'!$N$2:$N$578)</f>
        <v>#VALUE!</v>
      </c>
      <c r="I322" s="15" t="e">
        <f>SUMIF('[4]2.报价结算清单'!$F$2:$F$578,A322,'[4]2.报价结算清单'!$P$2:$P$578)</f>
        <v>#VALUE!</v>
      </c>
    </row>
    <row r="323" spans="1:9">
      <c r="A323" s="7" t="s">
        <v>2935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SUMIF('[4]2.报价结算清单'!$F$2:$F$578,$A323,'[4]2.报价结算清单'!$L$2:$L$578)</f>
        <v>#VALUE!</v>
      </c>
      <c r="H323" s="13" t="e">
        <f>SUMIF('[4]2.报价结算清单'!$F$2:$F$578,$A323,'[4]2.报价结算清单'!$N$2:$N$578)</f>
        <v>#VALUE!</v>
      </c>
      <c r="I323" s="15" t="e">
        <f>SUMIF('[4]2.报价结算清单'!$F$2:$F$578,A323,'[4]2.报价结算清单'!$P$2:$P$578)</f>
        <v>#VALUE!</v>
      </c>
    </row>
    <row r="324" spans="1:9" ht="24.75">
      <c r="A324" s="7" t="s">
        <v>2936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SUMIF('[4]2.报价结算清单'!$F$2:$F$578,$A324,'[4]2.报价结算清单'!$L$2:$L$578)</f>
        <v>#VALUE!</v>
      </c>
      <c r="H324" s="13" t="e">
        <f>SUMIF('[4]2.报价结算清单'!$F$2:$F$578,$A324,'[4]2.报价结算清单'!$N$2:$N$578)</f>
        <v>#VALUE!</v>
      </c>
      <c r="I324" s="15" t="e">
        <f>SUMIF('[4]2.报价结算清单'!$F$2:$F$578,A324,'[4]2.报价结算清单'!$P$2:$P$578)</f>
        <v>#VALUE!</v>
      </c>
    </row>
    <row r="325" spans="1:9" ht="24.75">
      <c r="A325" s="7" t="s">
        <v>2937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SUMIF('[4]2.报价结算清单'!$F$2:$F$578,$A325,'[4]2.报价结算清单'!$L$2:$L$578)</f>
        <v>#VALUE!</v>
      </c>
      <c r="H325" s="13" t="e">
        <f>SUMIF('[4]2.报价结算清单'!$F$2:$F$578,$A325,'[4]2.报价结算清单'!$N$2:$N$578)</f>
        <v>#VALUE!</v>
      </c>
      <c r="I325" s="15" t="e">
        <f>SUMIF('[4]2.报价结算清单'!$F$2:$F$578,A325,'[4]2.报价结算清单'!$P$2:$P$578)</f>
        <v>#VALUE!</v>
      </c>
    </row>
    <row r="326" spans="1:9" ht="24.75">
      <c r="A326" s="7" t="s">
        <v>2938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SUMIF('[4]2.报价结算清单'!$F$2:$F$578,$A326,'[4]2.报价结算清单'!$L$2:$L$578)</f>
        <v>#VALUE!</v>
      </c>
      <c r="H326" s="13" t="e">
        <f>SUMIF('[4]2.报价结算清单'!$F$2:$F$578,$A326,'[4]2.报价结算清单'!$N$2:$N$578)</f>
        <v>#VALUE!</v>
      </c>
      <c r="I326" s="15" t="e">
        <f>SUMIF('[4]2.报价结算清单'!$F$2:$F$578,A326,'[4]2.报价结算清单'!$P$2:$P$578)</f>
        <v>#VALUE!</v>
      </c>
    </row>
    <row r="327" spans="1:9" ht="24.75">
      <c r="A327" s="7" t="s">
        <v>2939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SUMIF('[4]2.报价结算清单'!$F$2:$F$578,$A327,'[4]2.报价结算清单'!$L$2:$L$578)</f>
        <v>#VALUE!</v>
      </c>
      <c r="H327" s="13" t="e">
        <f>SUMIF('[4]2.报价结算清单'!$F$2:$F$578,$A327,'[4]2.报价结算清单'!$N$2:$N$578)</f>
        <v>#VALUE!</v>
      </c>
      <c r="I327" s="15" t="e">
        <f>SUMIF('[4]2.报价结算清单'!$F$2:$F$578,A327,'[4]2.报价结算清单'!$P$2:$P$578)</f>
        <v>#VALUE!</v>
      </c>
    </row>
    <row r="328" spans="1:9" ht="37.15">
      <c r="A328" s="7" t="s">
        <v>2940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SUMIF('[4]2.报价结算清单'!$F$2:$F$578,$A328,'[4]2.报价结算清单'!$L$2:$L$578)</f>
        <v>#VALUE!</v>
      </c>
      <c r="H328" s="13" t="e">
        <f>SUMIF('[4]2.报价结算清单'!$F$2:$F$578,$A328,'[4]2.报价结算清单'!$N$2:$N$578)</f>
        <v>#VALUE!</v>
      </c>
      <c r="I328" s="15" t="e">
        <f>SUMIF('[4]2.报价结算清单'!$F$2:$F$578,A328,'[4]2.报价结算清单'!$P$2:$P$578)</f>
        <v>#VALUE!</v>
      </c>
    </row>
    <row r="329" spans="1:9" ht="24.75">
      <c r="A329" s="7" t="s">
        <v>2941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SUMIF('[4]2.报价结算清单'!$F$2:$F$578,$A329,'[4]2.报价结算清单'!$L$2:$L$578)</f>
        <v>#VALUE!</v>
      </c>
      <c r="H329" s="13" t="e">
        <f>SUMIF('[4]2.报价结算清单'!$F$2:$F$578,$A329,'[4]2.报价结算清单'!$N$2:$N$578)</f>
        <v>#VALUE!</v>
      </c>
      <c r="I329" s="15" t="e">
        <f>SUMIF('[4]2.报价结算清单'!$F$2:$F$578,A329,'[4]2.报价结算清单'!$P$2:$P$578)</f>
        <v>#VALUE!</v>
      </c>
    </row>
    <row r="330" spans="1:9" ht="24.75">
      <c r="A330" s="7" t="s">
        <v>2942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SUMIF('[4]2.报价结算清单'!$F$2:$F$578,$A330,'[4]2.报价结算清单'!$L$2:$L$578)</f>
        <v>#VALUE!</v>
      </c>
      <c r="H330" s="13" t="e">
        <f>SUMIF('[4]2.报价结算清单'!$F$2:$F$578,$A330,'[4]2.报价结算清单'!$N$2:$N$578)</f>
        <v>#VALUE!</v>
      </c>
      <c r="I330" s="15" t="e">
        <f>SUMIF('[4]2.报价结算清单'!$F$2:$F$578,A330,'[4]2.报价结算清单'!$P$2:$P$578)</f>
        <v>#VALUE!</v>
      </c>
    </row>
    <row r="331" spans="1:9" ht="24.75">
      <c r="A331" s="7" t="s">
        <v>2943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SUMIF('[4]2.报价结算清单'!$F$2:$F$578,$A331,'[4]2.报价结算清单'!$L$2:$L$578)</f>
        <v>#VALUE!</v>
      </c>
      <c r="H331" s="13" t="e">
        <f>SUMIF('[4]2.报价结算清单'!$F$2:$F$578,$A331,'[4]2.报价结算清单'!$N$2:$N$578)</f>
        <v>#VALUE!</v>
      </c>
      <c r="I331" s="15" t="e">
        <f>SUMIF('[4]2.报价结算清单'!$F$2:$F$578,A331,'[4]2.报价结算清单'!$P$2:$P$578)</f>
        <v>#VALUE!</v>
      </c>
    </row>
    <row r="332" spans="1:9" ht="61.9">
      <c r="A332" s="7" t="s">
        <v>2944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SUMIF('[4]2.报价结算清单'!$F$2:$F$578,$A332,'[4]2.报价结算清单'!$L$2:$L$578)</f>
        <v>#VALUE!</v>
      </c>
      <c r="H332" s="13" t="e">
        <f>SUMIF('[4]2.报价结算清单'!$F$2:$F$578,$A332,'[4]2.报价结算清单'!$N$2:$N$578)</f>
        <v>#VALUE!</v>
      </c>
      <c r="I332" s="15" t="e">
        <f>SUMIF('[4]2.报价结算清单'!$F$2:$F$578,A332,'[4]2.报价结算清单'!$P$2:$P$578)</f>
        <v>#VALUE!</v>
      </c>
    </row>
    <row r="333" spans="1:9" ht="37.15">
      <c r="A333" s="7" t="s">
        <v>2945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SUMIF('[4]2.报价结算清单'!$F$2:$F$578,$A333,'[4]2.报价结算清单'!$L$2:$L$578)</f>
        <v>#VALUE!</v>
      </c>
      <c r="H333" s="13" t="e">
        <f>SUMIF('[4]2.报价结算清单'!$F$2:$F$578,$A333,'[4]2.报价结算清单'!$N$2:$N$578)</f>
        <v>#VALUE!</v>
      </c>
      <c r="I333" s="15" t="e">
        <f>SUMIF('[4]2.报价结算清单'!$F$2:$F$578,A333,'[4]2.报价结算清单'!$P$2:$P$578)</f>
        <v>#VALUE!</v>
      </c>
    </row>
    <row r="334" spans="1:9" ht="24.75">
      <c r="A334" s="7" t="s">
        <v>2946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SUMIF('[4]2.报价结算清单'!$F$2:$F$578,$A334,'[4]2.报价结算清单'!$L$2:$L$578)</f>
        <v>#VALUE!</v>
      </c>
      <c r="H334" s="13" t="e">
        <f>SUMIF('[4]2.报价结算清单'!$F$2:$F$578,$A334,'[4]2.报价结算清单'!$N$2:$N$578)</f>
        <v>#VALUE!</v>
      </c>
      <c r="I334" s="15" t="e">
        <f>SUMIF('[4]2.报价结算清单'!$F$2:$F$578,A334,'[4]2.报价结算清单'!$P$2:$P$578)</f>
        <v>#VALUE!</v>
      </c>
    </row>
    <row r="335" spans="1:9" ht="24.75">
      <c r="A335" s="7" t="s">
        <v>2947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SUMIF('[4]2.报价结算清单'!$F$2:$F$578,$A335,'[4]2.报价结算清单'!$L$2:$L$578)</f>
        <v>#VALUE!</v>
      </c>
      <c r="H335" s="13" t="e">
        <f>SUMIF('[4]2.报价结算清单'!$F$2:$F$578,$A335,'[4]2.报价结算清单'!$N$2:$N$578)</f>
        <v>#VALUE!</v>
      </c>
      <c r="I335" s="15" t="e">
        <f>SUMIF('[4]2.报价结算清单'!$F$2:$F$578,A335,'[4]2.报价结算清单'!$P$2:$P$578)</f>
        <v>#VALUE!</v>
      </c>
    </row>
    <row r="336" spans="1:9" ht="24.75">
      <c r="A336" s="7" t="s">
        <v>2948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SUMIF('[4]2.报价结算清单'!$F$2:$F$578,$A336,'[4]2.报价结算清单'!$L$2:$L$578)</f>
        <v>#VALUE!</v>
      </c>
      <c r="H336" s="13" t="e">
        <f>SUMIF('[4]2.报价结算清单'!$F$2:$F$578,$A336,'[4]2.报价结算清单'!$N$2:$N$578)</f>
        <v>#VALUE!</v>
      </c>
      <c r="I336" s="15" t="e">
        <f>SUMIF('[4]2.报价结算清单'!$F$2:$F$578,A336,'[4]2.报价结算清单'!$P$2:$P$578)</f>
        <v>#VALUE!</v>
      </c>
    </row>
    <row r="337" spans="1:9" ht="24.75">
      <c r="A337" s="7" t="s">
        <v>2949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SUMIF('[4]2.报价结算清单'!$F$2:$F$578,$A337,'[4]2.报价结算清单'!$L$2:$L$578)</f>
        <v>#VALUE!</v>
      </c>
      <c r="H337" s="13" t="e">
        <f>SUMIF('[4]2.报价结算清单'!$F$2:$F$578,$A337,'[4]2.报价结算清单'!$N$2:$N$578)</f>
        <v>#VALUE!</v>
      </c>
      <c r="I337" s="15" t="e">
        <f>SUMIF('[4]2.报价结算清单'!$F$2:$F$578,A337,'[4]2.报价结算清单'!$P$2:$P$578)</f>
        <v>#VALUE!</v>
      </c>
    </row>
    <row r="338" spans="1:9" ht="24.75">
      <c r="A338" s="7" t="s">
        <v>2950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SUMIF('[4]2.报价结算清单'!$F$2:$F$578,$A338,'[4]2.报价结算清单'!$L$2:$L$578)</f>
        <v>#VALUE!</v>
      </c>
      <c r="H338" s="13" t="e">
        <f>SUMIF('[4]2.报价结算清单'!$F$2:$F$578,$A338,'[4]2.报价结算清单'!$N$2:$N$578)</f>
        <v>#VALUE!</v>
      </c>
      <c r="I338" s="15" t="e">
        <f>SUMIF('[4]2.报价结算清单'!$F$2:$F$578,A338,'[4]2.报价结算清单'!$P$2:$P$578)</f>
        <v>#VALUE!</v>
      </c>
    </row>
    <row r="339" spans="1:9" ht="24.75">
      <c r="A339" s="7" t="s">
        <v>2951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SUMIF('[4]2.报价结算清单'!$F$2:$F$578,$A339,'[4]2.报价结算清单'!$L$2:$L$578)</f>
        <v>#VALUE!</v>
      </c>
      <c r="H339" s="13" t="e">
        <f>SUMIF('[4]2.报价结算清单'!$F$2:$F$578,$A339,'[4]2.报价结算清单'!$N$2:$N$578)</f>
        <v>#VALUE!</v>
      </c>
      <c r="I339" s="15" t="e">
        <f>SUMIF('[4]2.报价结算清单'!$F$2:$F$578,A339,'[4]2.报价结算清单'!$P$2:$P$578)</f>
        <v>#VALUE!</v>
      </c>
    </row>
    <row r="340" spans="1:9" ht="37.15">
      <c r="A340" s="7" t="s">
        <v>2952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SUMIF('[4]2.报价结算清单'!$F$2:$F$578,$A340,'[4]2.报价结算清单'!$L$2:$L$578)</f>
        <v>#VALUE!</v>
      </c>
      <c r="H340" s="13" t="e">
        <f>SUMIF('[4]2.报价结算清单'!$F$2:$F$578,$A340,'[4]2.报价结算清单'!$N$2:$N$578)</f>
        <v>#VALUE!</v>
      </c>
      <c r="I340" s="15" t="e">
        <f>SUMIF('[4]2.报价结算清单'!$F$2:$F$578,A340,'[4]2.报价结算清单'!$P$2:$P$578)</f>
        <v>#VALUE!</v>
      </c>
    </row>
    <row r="341" spans="1:9" ht="24.75">
      <c r="A341" s="7" t="s">
        <v>2953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SUMIF('[4]2.报价结算清单'!$F$2:$F$578,$A341,'[4]2.报价结算清单'!$L$2:$L$578)</f>
        <v>#VALUE!</v>
      </c>
      <c r="H341" s="13" t="e">
        <f>SUMIF('[4]2.报价结算清单'!$F$2:$F$578,$A341,'[4]2.报价结算清单'!$N$2:$N$578)</f>
        <v>#VALUE!</v>
      </c>
      <c r="I341" s="15" t="e">
        <f>SUMIF('[4]2.报价结算清单'!$F$2:$F$578,A341,'[4]2.报价结算清单'!$P$2:$P$578)</f>
        <v>#VALUE!</v>
      </c>
    </row>
    <row r="342" spans="1:9" ht="24.75">
      <c r="A342" s="7" t="s">
        <v>2954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SUMIF('[4]2.报价结算清单'!$F$2:$F$578,$A342,'[4]2.报价结算清单'!$L$2:$L$578)</f>
        <v>#VALUE!</v>
      </c>
      <c r="H342" s="13" t="e">
        <f>SUMIF('[4]2.报价结算清单'!$F$2:$F$578,$A342,'[4]2.报价结算清单'!$N$2:$N$578)</f>
        <v>#VALUE!</v>
      </c>
      <c r="I342" s="15" t="e">
        <f>SUMIF('[4]2.报价结算清单'!$F$2:$F$578,A342,'[4]2.报价结算清单'!$P$2:$P$578)</f>
        <v>#VALUE!</v>
      </c>
    </row>
    <row r="343" spans="1:9" ht="24.75">
      <c r="A343" s="7" t="s">
        <v>2955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SUMIF('[4]2.报价结算清单'!$F$2:$F$578,$A343,'[4]2.报价结算清单'!$L$2:$L$578)</f>
        <v>#VALUE!</v>
      </c>
      <c r="H343" s="13" t="e">
        <f>SUMIF('[4]2.报价结算清单'!$F$2:$F$578,$A343,'[4]2.报价结算清单'!$N$2:$N$578)</f>
        <v>#VALUE!</v>
      </c>
      <c r="I343" s="15" t="e">
        <f>SUMIF('[4]2.报价结算清单'!$F$2:$F$578,A343,'[4]2.报价结算清单'!$P$2:$P$578)</f>
        <v>#VALUE!</v>
      </c>
    </row>
    <row r="344" spans="1:9" ht="24.75">
      <c r="A344" s="7" t="s">
        <v>2956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SUMIF('[4]2.报价结算清单'!$F$2:$F$578,$A344,'[4]2.报价结算清单'!$L$2:$L$578)</f>
        <v>#VALUE!</v>
      </c>
      <c r="H344" s="13" t="e">
        <f>SUMIF('[4]2.报价结算清单'!$F$2:$F$578,$A344,'[4]2.报价结算清单'!$N$2:$N$578)</f>
        <v>#VALUE!</v>
      </c>
      <c r="I344" s="15" t="e">
        <f>SUMIF('[4]2.报价结算清单'!$F$2:$F$578,A344,'[4]2.报价结算清单'!$P$2:$P$578)</f>
        <v>#VALUE!</v>
      </c>
    </row>
    <row r="345" spans="1:9" ht="24.75">
      <c r="A345" s="7" t="s">
        <v>2957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SUMIF('[4]2.报价结算清单'!$F$2:$F$578,$A345,'[4]2.报价结算清单'!$L$2:$L$578)</f>
        <v>#VALUE!</v>
      </c>
      <c r="H345" s="13" t="e">
        <f>SUMIF('[4]2.报价结算清单'!$F$2:$F$578,$A345,'[4]2.报价结算清单'!$N$2:$N$578)</f>
        <v>#VALUE!</v>
      </c>
      <c r="I345" s="15" t="e">
        <f>SUMIF('[4]2.报价结算清单'!$F$2:$F$578,A345,'[4]2.报价结算清单'!$P$2:$P$578)</f>
        <v>#VALUE!</v>
      </c>
    </row>
    <row r="346" spans="1:9" ht="24.75">
      <c r="A346" s="7" t="s">
        <v>2958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SUMIF('[4]2.报价结算清单'!$F$2:$F$578,$A346,'[4]2.报价结算清单'!$L$2:$L$578)</f>
        <v>#VALUE!</v>
      </c>
      <c r="H346" s="13" t="e">
        <f>SUMIF('[4]2.报价结算清单'!$F$2:$F$578,$A346,'[4]2.报价结算清单'!$N$2:$N$578)</f>
        <v>#VALUE!</v>
      </c>
      <c r="I346" s="15" t="e">
        <f>SUMIF('[4]2.报价结算清单'!$F$2:$F$578,A346,'[4]2.报价结算清单'!$P$2:$P$578)</f>
        <v>#VALUE!</v>
      </c>
    </row>
    <row r="347" spans="1:9" ht="37.15">
      <c r="A347" s="7" t="s">
        <v>2959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SUMIF('[4]2.报价结算清单'!$F$2:$F$578,$A347,'[4]2.报价结算清单'!$L$2:$L$578)</f>
        <v>#VALUE!</v>
      </c>
      <c r="H347" s="13" t="e">
        <f>SUMIF('[4]2.报价结算清单'!$F$2:$F$578,$A347,'[4]2.报价结算清单'!$N$2:$N$578)</f>
        <v>#VALUE!</v>
      </c>
      <c r="I347" s="15" t="e">
        <f>SUMIF('[4]2.报价结算清单'!$F$2:$F$578,A347,'[4]2.报价结算清单'!$P$2:$P$578)</f>
        <v>#VALUE!</v>
      </c>
    </row>
    <row r="348" spans="1:9" ht="37.15">
      <c r="A348" s="7" t="s">
        <v>2960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SUMIF('[4]2.报价结算清单'!$F$2:$F$578,$A348,'[4]2.报价结算清单'!$L$2:$L$578)</f>
        <v>#VALUE!</v>
      </c>
      <c r="H348" s="13" t="e">
        <f>SUMIF('[4]2.报价结算清单'!$F$2:$F$578,$A348,'[4]2.报价结算清单'!$N$2:$N$578)</f>
        <v>#VALUE!</v>
      </c>
      <c r="I348" s="15" t="e">
        <f>SUMIF('[4]2.报价结算清单'!$F$2:$F$578,A348,'[4]2.报价结算清单'!$P$2:$P$578)</f>
        <v>#VALUE!</v>
      </c>
    </row>
    <row r="349" spans="1:9" ht="37.15">
      <c r="A349" s="7" t="s">
        <v>2961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SUMIF('[4]2.报价结算清单'!$F$2:$F$578,$A349,'[4]2.报价结算清单'!$L$2:$L$578)</f>
        <v>#VALUE!</v>
      </c>
      <c r="H349" s="13" t="e">
        <f>SUMIF('[4]2.报价结算清单'!$F$2:$F$578,$A349,'[4]2.报价结算清单'!$N$2:$N$578)</f>
        <v>#VALUE!</v>
      </c>
      <c r="I349" s="15" t="e">
        <f>SUMIF('[4]2.报价结算清单'!$F$2:$F$578,A349,'[4]2.报价结算清单'!$P$2:$P$578)</f>
        <v>#VALUE!</v>
      </c>
    </row>
    <row r="350" spans="1:9" ht="24.75">
      <c r="A350" s="7" t="s">
        <v>2962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SUMIF('[4]2.报价结算清单'!$F$2:$F$578,$A350,'[4]2.报价结算清单'!$L$2:$L$578)</f>
        <v>#VALUE!</v>
      </c>
      <c r="H350" s="13" t="e">
        <f>SUMIF('[4]2.报价结算清单'!$F$2:$F$578,$A350,'[4]2.报价结算清单'!$N$2:$N$578)</f>
        <v>#VALUE!</v>
      </c>
      <c r="I350" s="15" t="e">
        <f>SUMIF('[4]2.报价结算清单'!$F$2:$F$578,A350,'[4]2.报价结算清单'!$P$2:$P$578)</f>
        <v>#VALUE!</v>
      </c>
    </row>
    <row r="351" spans="1:9" ht="37.15">
      <c r="A351" s="7" t="s">
        <v>2963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SUMIF('[4]2.报价结算清单'!$F$2:$F$578,$A351,'[4]2.报价结算清单'!$L$2:$L$578)</f>
        <v>#VALUE!</v>
      </c>
      <c r="H351" s="13" t="e">
        <f>SUMIF('[4]2.报价结算清单'!$F$2:$F$578,$A351,'[4]2.报价结算清单'!$N$2:$N$578)</f>
        <v>#VALUE!</v>
      </c>
      <c r="I351" s="15" t="e">
        <f>SUMIF('[4]2.报价结算清单'!$F$2:$F$578,A351,'[4]2.报价结算清单'!$P$2:$P$578)</f>
        <v>#VALUE!</v>
      </c>
    </row>
    <row r="352" spans="1:9" ht="24.75">
      <c r="A352" s="7" t="s">
        <v>2964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SUMIF('[4]2.报价结算清单'!$F$2:$F$578,$A352,'[4]2.报价结算清单'!$L$2:$L$578)</f>
        <v>#VALUE!</v>
      </c>
      <c r="H352" s="13" t="e">
        <f>SUMIF('[4]2.报价结算清单'!$F$2:$F$578,$A352,'[4]2.报价结算清单'!$N$2:$N$578)</f>
        <v>#VALUE!</v>
      </c>
      <c r="I352" s="15" t="e">
        <f>SUMIF('[4]2.报价结算清单'!$F$2:$F$578,A352,'[4]2.报价结算清单'!$P$2:$P$578)</f>
        <v>#VALUE!</v>
      </c>
    </row>
    <row r="353" spans="1:9" ht="24.75">
      <c r="A353" s="7" t="s">
        <v>2965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SUMIF('[4]2.报价结算清单'!$F$2:$F$578,$A353,'[4]2.报价结算清单'!$L$2:$L$578)</f>
        <v>#VALUE!</v>
      </c>
      <c r="H353" s="13" t="e">
        <f>SUMIF('[4]2.报价结算清单'!$F$2:$F$578,$A353,'[4]2.报价结算清单'!$N$2:$N$578)</f>
        <v>#VALUE!</v>
      </c>
      <c r="I353" s="15" t="e">
        <f>SUMIF('[4]2.报价结算清单'!$F$2:$F$578,A353,'[4]2.报价结算清单'!$P$2:$P$578)</f>
        <v>#VALUE!</v>
      </c>
    </row>
    <row r="354" spans="1:9" ht="24.75">
      <c r="A354" s="7" t="s">
        <v>2966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SUMIF('[4]2.报价结算清单'!$F$2:$F$578,$A354,'[4]2.报价结算清单'!$L$2:$L$578)</f>
        <v>#VALUE!</v>
      </c>
      <c r="H354" s="13" t="e">
        <f>SUMIF('[4]2.报价结算清单'!$F$2:$F$578,$A354,'[4]2.报价结算清单'!$N$2:$N$578)</f>
        <v>#VALUE!</v>
      </c>
      <c r="I354" s="15" t="e">
        <f>SUMIF('[4]2.报价结算清单'!$F$2:$F$578,A354,'[4]2.报价结算清单'!$P$2:$P$578)</f>
        <v>#VALUE!</v>
      </c>
    </row>
    <row r="355" spans="1:9" ht="37.15">
      <c r="A355" s="7" t="s">
        <v>2967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SUMIF('[4]2.报价结算清单'!$F$2:$F$578,$A355,'[4]2.报价结算清单'!$L$2:$L$578)</f>
        <v>#VALUE!</v>
      </c>
      <c r="H355" s="13" t="e">
        <f>SUMIF('[4]2.报价结算清单'!$F$2:$F$578,$A355,'[4]2.报价结算清单'!$N$2:$N$578)</f>
        <v>#VALUE!</v>
      </c>
      <c r="I355" s="15" t="e">
        <f>SUMIF('[4]2.报价结算清单'!$F$2:$F$578,A355,'[4]2.报价结算清单'!$P$2:$P$578)</f>
        <v>#VALUE!</v>
      </c>
    </row>
    <row r="356" spans="1:9" ht="37.15">
      <c r="A356" s="7" t="s">
        <v>2968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SUMIF('[4]2.报价结算清单'!$F$2:$F$578,$A356,'[4]2.报价结算清单'!$L$2:$L$578)</f>
        <v>#VALUE!</v>
      </c>
      <c r="H356" s="13" t="e">
        <f>SUMIF('[4]2.报价结算清单'!$F$2:$F$578,$A356,'[4]2.报价结算清单'!$N$2:$N$578)</f>
        <v>#VALUE!</v>
      </c>
      <c r="I356" s="15" t="e">
        <f>SUMIF('[4]2.报价结算清单'!$F$2:$F$578,A356,'[4]2.报价结算清单'!$P$2:$P$578)</f>
        <v>#VALUE!</v>
      </c>
    </row>
    <row r="357" spans="1:9" ht="24.75">
      <c r="A357" s="7" t="s">
        <v>2969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SUMIF('[4]2.报价结算清单'!$F$2:$F$578,$A357,'[4]2.报价结算清单'!$L$2:$L$578)</f>
        <v>#VALUE!</v>
      </c>
      <c r="H357" s="13" t="e">
        <f>SUMIF('[4]2.报价结算清单'!$F$2:$F$578,$A357,'[4]2.报价结算清单'!$N$2:$N$578)</f>
        <v>#VALUE!</v>
      </c>
      <c r="I357" s="15" t="e">
        <f>SUMIF('[4]2.报价结算清单'!$F$2:$F$578,A357,'[4]2.报价结算清单'!$P$2:$P$578)</f>
        <v>#VALUE!</v>
      </c>
    </row>
    <row r="358" spans="1:9" ht="24.75">
      <c r="A358" s="7" t="s">
        <v>2970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SUMIF('[4]2.报价结算清单'!$F$2:$F$578,$A358,'[4]2.报价结算清单'!$L$2:$L$578)</f>
        <v>#VALUE!</v>
      </c>
      <c r="H358" s="13" t="e">
        <f>SUMIF('[4]2.报价结算清单'!$F$2:$F$578,$A358,'[4]2.报价结算清单'!$N$2:$N$578)</f>
        <v>#VALUE!</v>
      </c>
      <c r="I358" s="15" t="e">
        <f>SUMIF('[4]2.报价结算清单'!$F$2:$F$578,A358,'[4]2.报价结算清单'!$P$2:$P$578)</f>
        <v>#VALUE!</v>
      </c>
    </row>
    <row r="359" spans="1:9" ht="24.75">
      <c r="A359" s="7" t="s">
        <v>2971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SUMIF('[4]2.报价结算清单'!$F$2:$F$578,$A359,'[4]2.报价结算清单'!$L$2:$L$578)</f>
        <v>#VALUE!</v>
      </c>
      <c r="H359" s="13" t="e">
        <f>SUMIF('[4]2.报价结算清单'!$F$2:$F$578,$A359,'[4]2.报价结算清单'!$N$2:$N$578)</f>
        <v>#VALUE!</v>
      </c>
      <c r="I359" s="15" t="e">
        <f>SUMIF('[4]2.报价结算清单'!$F$2:$F$578,A359,'[4]2.报价结算清单'!$P$2:$P$578)</f>
        <v>#VALUE!</v>
      </c>
    </row>
    <row r="360" spans="1:9" ht="24.75">
      <c r="A360" s="7" t="s">
        <v>2972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SUMIF('[4]2.报价结算清单'!$F$2:$F$578,$A360,'[4]2.报价结算清单'!$L$2:$L$578)</f>
        <v>#VALUE!</v>
      </c>
      <c r="H360" s="13" t="e">
        <f>SUMIF('[4]2.报价结算清单'!$F$2:$F$578,$A360,'[4]2.报价结算清单'!$N$2:$N$578)</f>
        <v>#VALUE!</v>
      </c>
      <c r="I360" s="15" t="e">
        <f>SUMIF('[4]2.报价结算清单'!$F$2:$F$578,A360,'[4]2.报价结算清单'!$P$2:$P$578)</f>
        <v>#VALUE!</v>
      </c>
    </row>
    <row r="361" spans="1:9" ht="24.75">
      <c r="A361" s="7" t="s">
        <v>2973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SUMIF('[4]2.报价结算清单'!$F$2:$F$578,$A361,'[4]2.报价结算清单'!$L$2:$L$578)</f>
        <v>#VALUE!</v>
      </c>
      <c r="H361" s="13" t="e">
        <f>SUMIF('[4]2.报价结算清单'!$F$2:$F$578,$A361,'[4]2.报价结算清单'!$N$2:$N$578)</f>
        <v>#VALUE!</v>
      </c>
      <c r="I361" s="15" t="e">
        <f>SUMIF('[4]2.报价结算清单'!$F$2:$F$578,A361,'[4]2.报价结算清单'!$P$2:$P$578)</f>
        <v>#VALUE!</v>
      </c>
    </row>
    <row r="362" spans="1:9" ht="24.75">
      <c r="A362" s="7" t="s">
        <v>2974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SUMIF('[4]2.报价结算清单'!$F$2:$F$578,$A362,'[4]2.报价结算清单'!$L$2:$L$578)</f>
        <v>#VALUE!</v>
      </c>
      <c r="H362" s="13" t="e">
        <f>SUMIF('[4]2.报价结算清单'!$F$2:$F$578,$A362,'[4]2.报价结算清单'!$N$2:$N$578)</f>
        <v>#VALUE!</v>
      </c>
      <c r="I362" s="15" t="e">
        <f>SUMIF('[4]2.报价结算清单'!$F$2:$F$578,A362,'[4]2.报价结算清单'!$P$2:$P$578)</f>
        <v>#VALUE!</v>
      </c>
    </row>
    <row r="363" spans="1:9" ht="24.75">
      <c r="A363" s="7" t="s">
        <v>2975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SUMIF('[4]2.报价结算清单'!$F$2:$F$578,$A363,'[4]2.报价结算清单'!$L$2:$L$578)</f>
        <v>#VALUE!</v>
      </c>
      <c r="H363" s="13" t="e">
        <f>SUMIF('[4]2.报价结算清单'!$F$2:$F$578,$A363,'[4]2.报价结算清单'!$N$2:$N$578)</f>
        <v>#VALUE!</v>
      </c>
      <c r="I363" s="15" t="e">
        <f>SUMIF('[4]2.报价结算清单'!$F$2:$F$578,A363,'[4]2.报价结算清单'!$P$2:$P$578)</f>
        <v>#VALUE!</v>
      </c>
    </row>
    <row r="364" spans="1:9" ht="24.75">
      <c r="A364" s="7" t="s">
        <v>2976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SUMIF('[4]2.报价结算清单'!$F$2:$F$578,$A364,'[4]2.报价结算清单'!$L$2:$L$578)</f>
        <v>#VALUE!</v>
      </c>
      <c r="H364" s="13" t="e">
        <f>SUMIF('[4]2.报价结算清单'!$F$2:$F$578,$A364,'[4]2.报价结算清单'!$N$2:$N$578)</f>
        <v>#VALUE!</v>
      </c>
      <c r="I364" s="15" t="e">
        <f>SUMIF('[4]2.报价结算清单'!$F$2:$F$578,A364,'[4]2.报价结算清单'!$P$2:$P$578)</f>
        <v>#VALUE!</v>
      </c>
    </row>
    <row r="365" spans="1:9" ht="24.75">
      <c r="A365" s="7" t="s">
        <v>2977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SUMIF('[4]2.报价结算清单'!$F$2:$F$578,$A365,'[4]2.报价结算清单'!$L$2:$L$578)</f>
        <v>#VALUE!</v>
      </c>
      <c r="H365" s="13" t="e">
        <f>SUMIF('[4]2.报价结算清单'!$F$2:$F$578,$A365,'[4]2.报价结算清单'!$N$2:$N$578)</f>
        <v>#VALUE!</v>
      </c>
      <c r="I365" s="15" t="e">
        <f>SUMIF('[4]2.报价结算清单'!$F$2:$F$578,A365,'[4]2.报价结算清单'!$P$2:$P$578)</f>
        <v>#VALUE!</v>
      </c>
    </row>
    <row r="366" spans="1:9" ht="24.75">
      <c r="A366" s="7" t="s">
        <v>2978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SUMIF('[4]2.报价结算清单'!$F$2:$F$578,$A366,'[4]2.报价结算清单'!$L$2:$L$578)</f>
        <v>#VALUE!</v>
      </c>
      <c r="H366" s="13" t="e">
        <f>SUMIF('[4]2.报价结算清单'!$F$2:$F$578,$A366,'[4]2.报价结算清单'!$N$2:$N$578)</f>
        <v>#VALUE!</v>
      </c>
      <c r="I366" s="15" t="e">
        <f>SUMIF('[4]2.报价结算清单'!$F$2:$F$578,A366,'[4]2.报价结算清单'!$P$2:$P$578)</f>
        <v>#VALUE!</v>
      </c>
    </row>
    <row r="367" spans="1:9" ht="24.75">
      <c r="A367" s="7" t="s">
        <v>2979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SUMIF('[4]2.报价结算清单'!$F$2:$F$578,$A367,'[4]2.报价结算清单'!$L$2:$L$578)</f>
        <v>#VALUE!</v>
      </c>
      <c r="H367" s="13" t="e">
        <f>SUMIF('[4]2.报价结算清单'!$F$2:$F$578,$A367,'[4]2.报价结算清单'!$N$2:$N$578)</f>
        <v>#VALUE!</v>
      </c>
      <c r="I367" s="15" t="e">
        <f>SUMIF('[4]2.报价结算清单'!$F$2:$F$578,A367,'[4]2.报价结算清单'!$P$2:$P$578)</f>
        <v>#VALUE!</v>
      </c>
    </row>
    <row r="368" spans="1:9" ht="24.75">
      <c r="A368" s="7" t="s">
        <v>2980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SUMIF('[4]2.报价结算清单'!$F$2:$F$578,$A368,'[4]2.报价结算清单'!$L$2:$L$578)</f>
        <v>#VALUE!</v>
      </c>
      <c r="H368" s="13" t="e">
        <f>SUMIF('[4]2.报价结算清单'!$F$2:$F$578,$A368,'[4]2.报价结算清单'!$N$2:$N$578)</f>
        <v>#VALUE!</v>
      </c>
      <c r="I368" s="15" t="e">
        <f>SUMIF('[4]2.报价结算清单'!$F$2:$F$578,A368,'[4]2.报价结算清单'!$P$2:$P$578)</f>
        <v>#VALUE!</v>
      </c>
    </row>
    <row r="369" spans="1:9" ht="24.75">
      <c r="A369" s="7" t="s">
        <v>2981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SUMIF('[4]2.报价结算清单'!$F$2:$F$578,$A369,'[4]2.报价结算清单'!$L$2:$L$578)</f>
        <v>#VALUE!</v>
      </c>
      <c r="H369" s="13" t="e">
        <f>SUMIF('[4]2.报价结算清单'!$F$2:$F$578,$A369,'[4]2.报价结算清单'!$N$2:$N$578)</f>
        <v>#VALUE!</v>
      </c>
      <c r="I369" s="15" t="e">
        <f>SUMIF('[4]2.报价结算清单'!$F$2:$F$578,A369,'[4]2.报价结算清单'!$P$2:$P$578)</f>
        <v>#VALUE!</v>
      </c>
    </row>
    <row r="370" spans="1:9" ht="24.75">
      <c r="A370" s="7" t="s">
        <v>2982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SUMIF('[4]2.报价结算清单'!$F$2:$F$578,$A370,'[4]2.报价结算清单'!$L$2:$L$578)</f>
        <v>#VALUE!</v>
      </c>
      <c r="H370" s="13" t="e">
        <f>SUMIF('[4]2.报价结算清单'!$F$2:$F$578,$A370,'[4]2.报价结算清单'!$N$2:$N$578)</f>
        <v>#VALUE!</v>
      </c>
      <c r="I370" s="15" t="e">
        <f>SUMIF('[4]2.报价结算清单'!$F$2:$F$578,A370,'[4]2.报价结算清单'!$P$2:$P$578)</f>
        <v>#VALUE!</v>
      </c>
    </row>
    <row r="371" spans="1:9" ht="24.75">
      <c r="A371" s="7" t="s">
        <v>2983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SUMIF('[4]2.报价结算清单'!$F$2:$F$578,$A371,'[4]2.报价结算清单'!$L$2:$L$578)</f>
        <v>#VALUE!</v>
      </c>
      <c r="H371" s="13" t="e">
        <f>SUMIF('[4]2.报价结算清单'!$F$2:$F$578,$A371,'[4]2.报价结算清单'!$N$2:$N$578)</f>
        <v>#VALUE!</v>
      </c>
      <c r="I371" s="15" t="e">
        <f>SUMIF('[4]2.报价结算清单'!$F$2:$F$578,A371,'[4]2.报价结算清单'!$P$2:$P$578)</f>
        <v>#VALUE!</v>
      </c>
    </row>
    <row r="372" spans="1:9" ht="24.75">
      <c r="A372" s="7" t="s">
        <v>2984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SUMIF('[4]2.报价结算清单'!$F$2:$F$578,$A372,'[4]2.报价结算清单'!$L$2:$L$578)</f>
        <v>#VALUE!</v>
      </c>
      <c r="H372" s="13" t="e">
        <f>SUMIF('[4]2.报价结算清单'!$F$2:$F$578,$A372,'[4]2.报价结算清单'!$N$2:$N$578)</f>
        <v>#VALUE!</v>
      </c>
      <c r="I372" s="15" t="e">
        <f>SUMIF('[4]2.报价结算清单'!$F$2:$F$578,A372,'[4]2.报价结算清单'!$P$2:$P$578)</f>
        <v>#VALUE!</v>
      </c>
    </row>
    <row r="373" spans="1:9">
      <c r="A373" s="7" t="s">
        <v>2985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SUMIF('[4]2.报价结算清单'!$F$2:$F$578,$A373,'[4]2.报价结算清单'!$L$2:$L$578)</f>
        <v>#VALUE!</v>
      </c>
      <c r="H373" s="13" t="e">
        <f>SUMIF('[4]2.报价结算清单'!$F$2:$F$578,$A373,'[4]2.报价结算清单'!$N$2:$N$578)</f>
        <v>#VALUE!</v>
      </c>
      <c r="I373" s="15" t="e">
        <f>SUMIF('[4]2.报价结算清单'!$F$2:$F$578,A373,'[4]2.报价结算清单'!$P$2:$P$578)</f>
        <v>#VALUE!</v>
      </c>
    </row>
    <row r="374" spans="1:9" ht="24.75">
      <c r="A374" s="7" t="s">
        <v>2986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SUMIF('[4]2.报价结算清单'!$F$2:$F$578,$A374,'[4]2.报价结算清单'!$L$2:$L$578)</f>
        <v>#VALUE!</v>
      </c>
      <c r="H374" s="13" t="e">
        <f>SUMIF('[4]2.报价结算清单'!$F$2:$F$578,$A374,'[4]2.报价结算清单'!$N$2:$N$578)</f>
        <v>#VALUE!</v>
      </c>
      <c r="I374" s="15" t="e">
        <f>SUMIF('[4]2.报价结算清单'!$F$2:$F$578,A374,'[4]2.报价结算清单'!$P$2:$P$578)</f>
        <v>#VALUE!</v>
      </c>
    </row>
    <row r="375" spans="1:9" ht="37.15">
      <c r="A375" s="7" t="s">
        <v>2987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SUMIF('[4]2.报价结算清单'!$F$2:$F$578,$A375,'[4]2.报价结算清单'!$L$2:$L$578)</f>
        <v>#VALUE!</v>
      </c>
      <c r="H375" s="13" t="e">
        <f>SUMIF('[4]2.报价结算清单'!$F$2:$F$578,$A375,'[4]2.报价结算清单'!$N$2:$N$578)</f>
        <v>#VALUE!</v>
      </c>
      <c r="I375" s="15" t="e">
        <f>SUMIF('[4]2.报价结算清单'!$F$2:$F$578,A375,'[4]2.报价结算清单'!$P$2:$P$578)</f>
        <v>#VALUE!</v>
      </c>
    </row>
    <row r="376" spans="1:9" ht="37.15">
      <c r="A376" s="7" t="s">
        <v>2988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SUMIF('[4]2.报价结算清单'!$F$2:$F$578,$A376,'[4]2.报价结算清单'!$L$2:$L$578)</f>
        <v>#VALUE!</v>
      </c>
      <c r="H376" s="13" t="e">
        <f>SUMIF('[4]2.报价结算清单'!$F$2:$F$578,$A376,'[4]2.报价结算清单'!$N$2:$N$578)</f>
        <v>#VALUE!</v>
      </c>
      <c r="I376" s="15" t="e">
        <f>SUMIF('[4]2.报价结算清单'!$F$2:$F$578,A376,'[4]2.报价结算清单'!$P$2:$P$578)</f>
        <v>#VALUE!</v>
      </c>
    </row>
    <row r="377" spans="1:9" ht="37.15">
      <c r="A377" s="7" t="s">
        <v>2989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SUMIF('[4]2.报价结算清单'!$F$2:$F$578,$A377,'[4]2.报价结算清单'!$L$2:$L$578)</f>
        <v>#VALUE!</v>
      </c>
      <c r="H377" s="13" t="e">
        <f>SUMIF('[4]2.报价结算清单'!$F$2:$F$578,$A377,'[4]2.报价结算清单'!$N$2:$N$578)</f>
        <v>#VALUE!</v>
      </c>
      <c r="I377" s="15" t="e">
        <f>SUMIF('[4]2.报价结算清单'!$F$2:$F$578,A377,'[4]2.报价结算清单'!$P$2:$P$578)</f>
        <v>#VALUE!</v>
      </c>
    </row>
    <row r="378" spans="1:9" ht="37.15">
      <c r="A378" s="7" t="s">
        <v>2990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SUMIF('[4]2.报价结算清单'!$F$2:$F$578,$A378,'[4]2.报价结算清单'!$L$2:$L$578)</f>
        <v>#VALUE!</v>
      </c>
      <c r="H378" s="13" t="e">
        <f>SUMIF('[4]2.报价结算清单'!$F$2:$F$578,$A378,'[4]2.报价结算清单'!$N$2:$N$578)</f>
        <v>#VALUE!</v>
      </c>
      <c r="I378" s="15" t="e">
        <f>SUMIF('[4]2.报价结算清单'!$F$2:$F$578,A378,'[4]2.报价结算清单'!$P$2:$P$578)</f>
        <v>#VALUE!</v>
      </c>
    </row>
    <row r="379" spans="1:9" ht="24.75">
      <c r="A379" s="7" t="s">
        <v>2991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SUMIF('[4]2.报价结算清单'!$F$2:$F$578,$A379,'[4]2.报价结算清单'!$L$2:$L$578)</f>
        <v>#VALUE!</v>
      </c>
      <c r="H379" s="13" t="e">
        <f>SUMIF('[4]2.报价结算清单'!$F$2:$F$578,$A379,'[4]2.报价结算清单'!$N$2:$N$578)</f>
        <v>#VALUE!</v>
      </c>
      <c r="I379" s="15" t="e">
        <f>SUMIF('[4]2.报价结算清单'!$F$2:$F$578,A379,'[4]2.报价结算清单'!$P$2:$P$578)</f>
        <v>#VALUE!</v>
      </c>
    </row>
    <row r="380" spans="1:9" ht="24.75">
      <c r="A380" s="7" t="s">
        <v>2992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SUMIF('[4]2.报价结算清单'!$F$2:$F$578,$A380,'[4]2.报价结算清单'!$L$2:$L$578)</f>
        <v>#VALUE!</v>
      </c>
      <c r="H380" s="13" t="e">
        <f>SUMIF('[4]2.报价结算清单'!$F$2:$F$578,$A380,'[4]2.报价结算清单'!$N$2:$N$578)</f>
        <v>#VALUE!</v>
      </c>
      <c r="I380" s="15" t="e">
        <f>SUMIF('[4]2.报价结算清单'!$F$2:$F$578,A380,'[4]2.报价结算清单'!$P$2:$P$578)</f>
        <v>#VALUE!</v>
      </c>
    </row>
    <row r="381" spans="1:9" ht="24.75">
      <c r="A381" s="7" t="s">
        <v>2993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SUMIF('[4]2.报价结算清单'!$F$2:$F$578,$A381,'[4]2.报价结算清单'!$L$2:$L$578)</f>
        <v>#VALUE!</v>
      </c>
      <c r="H381" s="13" t="e">
        <f>SUMIF('[4]2.报价结算清单'!$F$2:$F$578,$A381,'[4]2.报价结算清单'!$N$2:$N$578)</f>
        <v>#VALUE!</v>
      </c>
      <c r="I381" s="15" t="e">
        <f>SUMIF('[4]2.报价结算清单'!$F$2:$F$578,A381,'[4]2.报价结算清单'!$P$2:$P$578)</f>
        <v>#VALUE!</v>
      </c>
    </row>
    <row r="382" spans="1:9" ht="24.75">
      <c r="A382" s="7" t="s">
        <v>2994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SUMIF('[4]2.报价结算清单'!$F$2:$F$578,$A382,'[4]2.报价结算清单'!$L$2:$L$578)</f>
        <v>#VALUE!</v>
      </c>
      <c r="H382" s="13" t="e">
        <f>SUMIF('[4]2.报价结算清单'!$F$2:$F$578,$A382,'[4]2.报价结算清单'!$N$2:$N$578)</f>
        <v>#VALUE!</v>
      </c>
      <c r="I382" s="15" t="e">
        <f>SUMIF('[4]2.报价结算清单'!$F$2:$F$578,A382,'[4]2.报价结算清单'!$P$2:$P$578)</f>
        <v>#VALUE!</v>
      </c>
    </row>
    <row r="383" spans="1:9" ht="37.15">
      <c r="A383" s="7" t="s">
        <v>2995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SUMIF('[4]2.报价结算清单'!$F$2:$F$578,$A383,'[4]2.报价结算清单'!$L$2:$L$578)</f>
        <v>#VALUE!</v>
      </c>
      <c r="H383" s="13" t="e">
        <f>SUMIF('[4]2.报价结算清单'!$F$2:$F$578,$A383,'[4]2.报价结算清单'!$N$2:$N$578)</f>
        <v>#VALUE!</v>
      </c>
      <c r="I383" s="15" t="e">
        <f>SUMIF('[4]2.报价结算清单'!$F$2:$F$578,A383,'[4]2.报价结算清单'!$P$2:$P$578)</f>
        <v>#VALUE!</v>
      </c>
    </row>
    <row r="384" spans="1:9" ht="37.15">
      <c r="A384" s="7" t="s">
        <v>2996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SUMIF('[4]2.报价结算清单'!$F$2:$F$578,$A384,'[4]2.报价结算清单'!$L$2:$L$578)</f>
        <v>#VALUE!</v>
      </c>
      <c r="H384" s="13" t="e">
        <f>SUMIF('[4]2.报价结算清单'!$F$2:$F$578,$A384,'[4]2.报价结算清单'!$N$2:$N$578)</f>
        <v>#VALUE!</v>
      </c>
      <c r="I384" s="15" t="e">
        <f>SUMIF('[4]2.报价结算清单'!$F$2:$F$578,A384,'[4]2.报价结算清单'!$P$2:$P$578)</f>
        <v>#VALUE!</v>
      </c>
    </row>
    <row r="385" spans="1:9" ht="37.15">
      <c r="A385" s="7" t="s">
        <v>2997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SUMIF('[4]2.报价结算清单'!$F$2:$F$578,$A385,'[4]2.报价结算清单'!$L$2:$L$578)</f>
        <v>#VALUE!</v>
      </c>
      <c r="H385" s="13" t="e">
        <f>SUMIF('[4]2.报价结算清单'!$F$2:$F$578,$A385,'[4]2.报价结算清单'!$N$2:$N$578)</f>
        <v>#VALUE!</v>
      </c>
      <c r="I385" s="15" t="e">
        <f>SUMIF('[4]2.报价结算清单'!$F$2:$F$578,A385,'[4]2.报价结算清单'!$P$2:$P$578)</f>
        <v>#VALUE!</v>
      </c>
    </row>
    <row r="386" spans="1:9" ht="37.15">
      <c r="A386" s="7" t="s">
        <v>2998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SUMIF('[4]2.报价结算清单'!$F$2:$F$578,$A386,'[4]2.报价结算清单'!$L$2:$L$578)</f>
        <v>#VALUE!</v>
      </c>
      <c r="H386" s="13" t="e">
        <f>SUMIF('[4]2.报价结算清单'!$F$2:$F$578,$A386,'[4]2.报价结算清单'!$N$2:$N$578)</f>
        <v>#VALUE!</v>
      </c>
      <c r="I386" s="15" t="e">
        <f>SUMIF('[4]2.报价结算清单'!$F$2:$F$578,A386,'[4]2.报价结算清单'!$P$2:$P$578)</f>
        <v>#VALUE!</v>
      </c>
    </row>
    <row r="387" spans="1:9" ht="37.15">
      <c r="A387" s="7" t="s">
        <v>2999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SUMIF('[4]2.报价结算清单'!$F$2:$F$578,$A387,'[4]2.报价结算清单'!$L$2:$L$578)</f>
        <v>#VALUE!</v>
      </c>
      <c r="H387" s="13" t="e">
        <f>SUMIF('[4]2.报价结算清单'!$F$2:$F$578,$A387,'[4]2.报价结算清单'!$N$2:$N$578)</f>
        <v>#VALUE!</v>
      </c>
      <c r="I387" s="15" t="e">
        <f>SUMIF('[4]2.报价结算清单'!$F$2:$F$578,A387,'[4]2.报价结算清单'!$P$2:$P$578)</f>
        <v>#VALUE!</v>
      </c>
    </row>
    <row r="388" spans="1:9" ht="37.15">
      <c r="A388" s="7" t="s">
        <v>3000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SUMIF('[4]2.报价结算清单'!$F$2:$F$578,$A388,'[4]2.报价结算清单'!$L$2:$L$578)</f>
        <v>#VALUE!</v>
      </c>
      <c r="H388" s="13" t="e">
        <f>SUMIF('[4]2.报价结算清单'!$F$2:$F$578,$A388,'[4]2.报价结算清单'!$N$2:$N$578)</f>
        <v>#VALUE!</v>
      </c>
      <c r="I388" s="15" t="e">
        <f>SUMIF('[4]2.报价结算清单'!$F$2:$F$578,A388,'[4]2.报价结算清单'!$P$2:$P$578)</f>
        <v>#VALUE!</v>
      </c>
    </row>
    <row r="389" spans="1:9" ht="24.75">
      <c r="A389" s="7" t="s">
        <v>3001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SUMIF('[4]2.报价结算清单'!$F$2:$F$578,$A389,'[4]2.报价结算清单'!$L$2:$L$578)</f>
        <v>#VALUE!</v>
      </c>
      <c r="H389" s="13" t="e">
        <f>SUMIF('[4]2.报价结算清单'!$F$2:$F$578,$A389,'[4]2.报价结算清单'!$N$2:$N$578)</f>
        <v>#VALUE!</v>
      </c>
      <c r="I389" s="15" t="e">
        <f>SUMIF('[4]2.报价结算清单'!$F$2:$F$578,A389,'[4]2.报价结算清单'!$P$2:$P$578)</f>
        <v>#VALUE!</v>
      </c>
    </row>
    <row r="390" spans="1:9" ht="37.15">
      <c r="A390" s="7" t="s">
        <v>3002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SUMIF('[4]2.报价结算清单'!$F$2:$F$578,$A390,'[4]2.报价结算清单'!$L$2:$L$578)</f>
        <v>#VALUE!</v>
      </c>
      <c r="H390" s="13" t="e">
        <f>SUMIF('[4]2.报价结算清单'!$F$2:$F$578,$A390,'[4]2.报价结算清单'!$N$2:$N$578)</f>
        <v>#VALUE!</v>
      </c>
      <c r="I390" s="15" t="e">
        <f>SUMIF('[4]2.报价结算清单'!$F$2:$F$578,A390,'[4]2.报价结算清单'!$P$2:$P$578)</f>
        <v>#VALUE!</v>
      </c>
    </row>
    <row r="391" spans="1:9" ht="37.15">
      <c r="A391" s="7" t="s">
        <v>3003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SUMIF('[4]2.报价结算清单'!$F$2:$F$578,$A391,'[4]2.报价结算清单'!$L$2:$L$578)</f>
        <v>#VALUE!</v>
      </c>
      <c r="H391" s="13" t="e">
        <f>SUMIF('[4]2.报价结算清单'!$F$2:$F$578,$A391,'[4]2.报价结算清单'!$N$2:$N$578)</f>
        <v>#VALUE!</v>
      </c>
      <c r="I391" s="15" t="e">
        <f>SUMIF('[4]2.报价结算清单'!$F$2:$F$578,A391,'[4]2.报价结算清单'!$P$2:$P$578)</f>
        <v>#VALUE!</v>
      </c>
    </row>
    <row r="392" spans="1:9" ht="24.75">
      <c r="A392" s="7" t="s">
        <v>3004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SUMIF('[4]2.报价结算清单'!$F$2:$F$578,$A392,'[4]2.报价结算清单'!$L$2:$L$578)</f>
        <v>#VALUE!</v>
      </c>
      <c r="H392" s="13" t="e">
        <f>SUMIF('[4]2.报价结算清单'!$F$2:$F$578,$A392,'[4]2.报价结算清单'!$N$2:$N$578)</f>
        <v>#VALUE!</v>
      </c>
      <c r="I392" s="15" t="e">
        <f>SUMIF('[4]2.报价结算清单'!$F$2:$F$578,A392,'[4]2.报价结算清单'!$P$2:$P$578)</f>
        <v>#VALUE!</v>
      </c>
    </row>
    <row r="393" spans="1:9" ht="24.75">
      <c r="A393" s="7" t="s">
        <v>3005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SUMIF('[4]2.报价结算清单'!$F$2:$F$578,$A393,'[4]2.报价结算清单'!$L$2:$L$578)</f>
        <v>#VALUE!</v>
      </c>
      <c r="H393" s="13" t="e">
        <f>SUMIF('[4]2.报价结算清单'!$F$2:$F$578,$A393,'[4]2.报价结算清单'!$N$2:$N$578)</f>
        <v>#VALUE!</v>
      </c>
      <c r="I393" s="15" t="e">
        <f>SUMIF('[4]2.报价结算清单'!$F$2:$F$578,A393,'[4]2.报价结算清单'!$P$2:$P$578)</f>
        <v>#VALUE!</v>
      </c>
    </row>
    <row r="394" spans="1:9" ht="24.75">
      <c r="A394" s="7" t="s">
        <v>3006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SUMIF('[4]2.报价结算清单'!$F$2:$F$578,$A394,'[4]2.报价结算清单'!$L$2:$L$578)</f>
        <v>#VALUE!</v>
      </c>
      <c r="H394" s="13" t="e">
        <f>SUMIF('[4]2.报价结算清单'!$F$2:$F$578,$A394,'[4]2.报价结算清单'!$N$2:$N$578)</f>
        <v>#VALUE!</v>
      </c>
      <c r="I394" s="15" t="e">
        <f>SUMIF('[4]2.报价结算清单'!$F$2:$F$578,A394,'[4]2.报价结算清单'!$P$2:$P$578)</f>
        <v>#VALUE!</v>
      </c>
    </row>
    <row r="395" spans="1:9" ht="24.75">
      <c r="A395" s="7" t="s">
        <v>3007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SUMIF('[4]2.报价结算清单'!$F$2:$F$578,$A395,'[4]2.报价结算清单'!$L$2:$L$578)</f>
        <v>#VALUE!</v>
      </c>
      <c r="H395" s="13" t="e">
        <f>SUMIF('[4]2.报价结算清单'!$F$2:$F$578,$A395,'[4]2.报价结算清单'!$N$2:$N$578)</f>
        <v>#VALUE!</v>
      </c>
      <c r="I395" s="15" t="e">
        <f>SUMIF('[4]2.报价结算清单'!$F$2:$F$578,A395,'[4]2.报价结算清单'!$P$2:$P$578)</f>
        <v>#VALUE!</v>
      </c>
    </row>
    <row r="396" spans="1:9" ht="24.75">
      <c r="A396" s="7" t="s">
        <v>3008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SUMIF('[4]2.报价结算清单'!$F$2:$F$578,$A396,'[4]2.报价结算清单'!$L$2:$L$578)</f>
        <v>#VALUE!</v>
      </c>
      <c r="H396" s="13" t="e">
        <f>SUMIF('[4]2.报价结算清单'!$F$2:$F$578,$A396,'[4]2.报价结算清单'!$N$2:$N$578)</f>
        <v>#VALUE!</v>
      </c>
      <c r="I396" s="15" t="e">
        <f>SUMIF('[4]2.报价结算清单'!$F$2:$F$578,A396,'[4]2.报价结算清单'!$P$2:$P$578)</f>
        <v>#VALUE!</v>
      </c>
    </row>
    <row r="397" spans="1:9" ht="37.15">
      <c r="A397" s="7" t="s">
        <v>2489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SUMIF('[4]2.报价结算清单'!$F$2:$F$578,$A397,'[4]2.报价结算清单'!$L$2:$L$578)</f>
        <v>#VALUE!</v>
      </c>
      <c r="H397" s="13" t="e">
        <f>SUMIF('[4]2.报价结算清单'!$F$2:$F$578,$A397,'[4]2.报价结算清单'!$N$2:$N$578)</f>
        <v>#VALUE!</v>
      </c>
      <c r="I397" s="15" t="e">
        <f>SUMIF('[4]2.报价结算清单'!$F$2:$F$578,A397,'[4]2.报价结算清单'!$P$2:$P$578)</f>
        <v>#VALUE!</v>
      </c>
    </row>
    <row r="398" spans="1:9" ht="24.75">
      <c r="A398" s="7" t="s">
        <v>3009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SUMIF('[4]2.报价结算清单'!$F$2:$F$578,$A398,'[4]2.报价结算清单'!$L$2:$L$578)</f>
        <v>#VALUE!</v>
      </c>
      <c r="H398" s="13" t="e">
        <f>SUMIF('[4]2.报价结算清单'!$F$2:$F$578,$A398,'[4]2.报价结算清单'!$N$2:$N$578)</f>
        <v>#VALUE!</v>
      </c>
      <c r="I398" s="15" t="e">
        <f>SUMIF('[4]2.报价结算清单'!$F$2:$F$578,A398,'[4]2.报价结算清单'!$P$2:$P$578)</f>
        <v>#VALUE!</v>
      </c>
    </row>
    <row r="399" spans="1:9">
      <c r="A399" s="7" t="s">
        <v>3010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SUMIF('[4]2.报价结算清单'!$F$2:$F$578,$A399,'[4]2.报价结算清单'!$L$2:$L$578)</f>
        <v>#VALUE!</v>
      </c>
      <c r="H399" s="13" t="e">
        <f>SUMIF('[4]2.报价结算清单'!$F$2:$F$578,$A399,'[4]2.报价结算清单'!$N$2:$N$578)</f>
        <v>#VALUE!</v>
      </c>
      <c r="I399" s="15" t="e">
        <f>SUMIF('[4]2.报价结算清单'!$F$2:$F$578,A399,'[4]2.报价结算清单'!$P$2:$P$578)</f>
        <v>#VALUE!</v>
      </c>
    </row>
    <row r="400" spans="1:9">
      <c r="A400" s="7" t="s">
        <v>3011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SUMIF('[4]2.报价结算清单'!$F$2:$F$578,$A400,'[4]2.报价结算清单'!$L$2:$L$578)</f>
        <v>#VALUE!</v>
      </c>
      <c r="H400" s="13" t="e">
        <f>SUMIF('[4]2.报价结算清单'!$F$2:$F$578,$A400,'[4]2.报价结算清单'!$N$2:$N$578)</f>
        <v>#VALUE!</v>
      </c>
      <c r="I400" s="15" t="e">
        <f>SUMIF('[4]2.报价结算清单'!$F$2:$F$578,A400,'[4]2.报价结算清单'!$P$2:$P$578)</f>
        <v>#VALUE!</v>
      </c>
    </row>
    <row r="401" spans="1:9">
      <c r="A401" s="7" t="s">
        <v>3012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SUMIF('[4]2.报价结算清单'!$F$2:$F$578,$A401,'[4]2.报价结算清单'!$L$2:$L$578)</f>
        <v>#VALUE!</v>
      </c>
      <c r="H401" s="13" t="e">
        <f>SUMIF('[4]2.报价结算清单'!$F$2:$F$578,$A401,'[4]2.报价结算清单'!$N$2:$N$578)</f>
        <v>#VALUE!</v>
      </c>
      <c r="I401" s="15" t="e">
        <f>SUMIF('[4]2.报价结算清单'!$F$2:$F$578,A401,'[4]2.报价结算清单'!$P$2:$P$578)</f>
        <v>#VALUE!</v>
      </c>
    </row>
    <row r="402" spans="1:9">
      <c r="A402" s="7" t="s">
        <v>3013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SUMIF('[4]2.报价结算清单'!$F$2:$F$578,$A402,'[4]2.报价结算清单'!$L$2:$L$578)</f>
        <v>#VALUE!</v>
      </c>
      <c r="H402" s="13" t="e">
        <f>SUMIF('[4]2.报价结算清单'!$F$2:$F$578,$A402,'[4]2.报价结算清单'!$N$2:$N$578)</f>
        <v>#VALUE!</v>
      </c>
      <c r="I402" s="15" t="e">
        <f>SUMIF('[4]2.报价结算清单'!$F$2:$F$578,A402,'[4]2.报价结算清单'!$P$2:$P$578)</f>
        <v>#VALUE!</v>
      </c>
    </row>
    <row r="403" spans="1:9">
      <c r="A403" s="7" t="s">
        <v>3014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SUMIF('[4]2.报价结算清单'!$F$2:$F$578,$A403,'[4]2.报价结算清单'!$L$2:$L$578)</f>
        <v>#VALUE!</v>
      </c>
      <c r="H403" s="13" t="e">
        <f>SUMIF('[4]2.报价结算清单'!$F$2:$F$578,$A403,'[4]2.报价结算清单'!$N$2:$N$578)</f>
        <v>#VALUE!</v>
      </c>
      <c r="I403" s="15" t="e">
        <f>SUMIF('[4]2.报价结算清单'!$F$2:$F$578,A403,'[4]2.报价结算清单'!$P$2:$P$578)</f>
        <v>#VALUE!</v>
      </c>
    </row>
    <row r="404" spans="1:9">
      <c r="A404" s="7" t="s">
        <v>3015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SUMIF('[4]2.报价结算清单'!$F$2:$F$578,$A404,'[4]2.报价结算清单'!$L$2:$L$578)</f>
        <v>#VALUE!</v>
      </c>
      <c r="H404" s="13" t="e">
        <f>SUMIF('[4]2.报价结算清单'!$F$2:$F$578,$A404,'[4]2.报价结算清单'!$N$2:$N$578)</f>
        <v>#VALUE!</v>
      </c>
      <c r="I404" s="15" t="e">
        <f>SUMIF('[4]2.报价结算清单'!$F$2:$F$578,A404,'[4]2.报价结算清单'!$P$2:$P$578)</f>
        <v>#VALUE!</v>
      </c>
    </row>
    <row r="405" spans="1:9">
      <c r="A405" s="7" t="s">
        <v>3016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SUMIF('[4]2.报价结算清单'!$F$2:$F$578,$A405,'[4]2.报价结算清单'!$L$2:$L$578)</f>
        <v>#VALUE!</v>
      </c>
      <c r="H405" s="13" t="e">
        <f>SUMIF('[4]2.报价结算清单'!$F$2:$F$578,$A405,'[4]2.报价结算清单'!$N$2:$N$578)</f>
        <v>#VALUE!</v>
      </c>
      <c r="I405" s="15" t="e">
        <f>SUMIF('[4]2.报价结算清单'!$F$2:$F$578,A405,'[4]2.报价结算清单'!$P$2:$P$578)</f>
        <v>#VALUE!</v>
      </c>
    </row>
    <row r="406" spans="1:9">
      <c r="A406" s="7" t="s">
        <v>3017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SUMIF('[4]2.报价结算清单'!$F$2:$F$578,$A406,'[4]2.报价结算清单'!$L$2:$L$578)</f>
        <v>#VALUE!</v>
      </c>
      <c r="H406" s="13" t="e">
        <f>SUMIF('[4]2.报价结算清单'!$F$2:$F$578,$A406,'[4]2.报价结算清单'!$N$2:$N$578)</f>
        <v>#VALUE!</v>
      </c>
      <c r="I406" s="15" t="e">
        <f>SUMIF('[4]2.报价结算清单'!$F$2:$F$578,A406,'[4]2.报价结算清单'!$P$2:$P$578)</f>
        <v>#VALUE!</v>
      </c>
    </row>
    <row r="407" spans="1:9">
      <c r="A407" s="7" t="s">
        <v>3018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SUMIF('[4]2.报价结算清单'!$F$2:$F$578,$A407,'[4]2.报价结算清单'!$L$2:$L$578)</f>
        <v>#VALUE!</v>
      </c>
      <c r="H407" s="13" t="e">
        <f>SUMIF('[4]2.报价结算清单'!$F$2:$F$578,$A407,'[4]2.报价结算清单'!$N$2:$N$578)</f>
        <v>#VALUE!</v>
      </c>
      <c r="I407" s="15" t="e">
        <f>SUMIF('[4]2.报价结算清单'!$F$2:$F$578,A407,'[4]2.报价结算清单'!$P$2:$P$578)</f>
        <v>#VALUE!</v>
      </c>
    </row>
    <row r="408" spans="1:9">
      <c r="A408" s="7" t="s">
        <v>3019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SUMIF('[4]2.报价结算清单'!$F$2:$F$578,$A408,'[4]2.报价结算清单'!$L$2:$L$578)</f>
        <v>#VALUE!</v>
      </c>
      <c r="H408" s="13" t="e">
        <f>SUMIF('[4]2.报价结算清单'!$F$2:$F$578,$A408,'[4]2.报价结算清单'!$N$2:$N$578)</f>
        <v>#VALUE!</v>
      </c>
      <c r="I408" s="15" t="e">
        <f>SUMIF('[4]2.报价结算清单'!$F$2:$F$578,A408,'[4]2.报价结算清单'!$P$2:$P$578)</f>
        <v>#VALUE!</v>
      </c>
    </row>
    <row r="409" spans="1:9">
      <c r="A409" s="7" t="s">
        <v>3020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SUMIF('[4]2.报价结算清单'!$F$2:$F$578,$A409,'[4]2.报价结算清单'!$L$2:$L$578)</f>
        <v>#VALUE!</v>
      </c>
      <c r="H409" s="13" t="e">
        <f>SUMIF('[4]2.报价结算清单'!$F$2:$F$578,$A409,'[4]2.报价结算清单'!$N$2:$N$578)</f>
        <v>#VALUE!</v>
      </c>
      <c r="I409" s="15" t="e">
        <f>SUMIF('[4]2.报价结算清单'!$F$2:$F$578,A409,'[4]2.报价结算清单'!$P$2:$P$578)</f>
        <v>#VALUE!</v>
      </c>
    </row>
    <row r="410" spans="1:9">
      <c r="A410" s="7" t="s">
        <v>3021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SUMIF('[4]2.报价结算清单'!$F$2:$F$578,$A410,'[4]2.报价结算清单'!$L$2:$L$578)</f>
        <v>#VALUE!</v>
      </c>
      <c r="H410" s="13" t="e">
        <f>SUMIF('[4]2.报价结算清单'!$F$2:$F$578,$A410,'[4]2.报价结算清单'!$N$2:$N$578)</f>
        <v>#VALUE!</v>
      </c>
      <c r="I410" s="15" t="e">
        <f>SUMIF('[4]2.报价结算清单'!$F$2:$F$578,A410,'[4]2.报价结算清单'!$P$2:$P$578)</f>
        <v>#VALUE!</v>
      </c>
    </row>
    <row r="411" spans="1:9">
      <c r="A411" s="7" t="s">
        <v>3022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SUMIF('[4]2.报价结算清单'!$F$2:$F$578,$A411,'[4]2.报价结算清单'!$L$2:$L$578)</f>
        <v>#VALUE!</v>
      </c>
      <c r="H411" s="13" t="e">
        <f>SUMIF('[4]2.报价结算清单'!$F$2:$F$578,$A411,'[4]2.报价结算清单'!$N$2:$N$578)</f>
        <v>#VALUE!</v>
      </c>
      <c r="I411" s="15" t="e">
        <f>SUMIF('[4]2.报价结算清单'!$F$2:$F$578,A411,'[4]2.报价结算清单'!$P$2:$P$578)</f>
        <v>#VALUE!</v>
      </c>
    </row>
    <row r="412" spans="1:9">
      <c r="A412" s="7" t="s">
        <v>3023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SUMIF('[4]2.报价结算清单'!$F$2:$F$578,$A412,'[4]2.报价结算清单'!$L$2:$L$578)</f>
        <v>#VALUE!</v>
      </c>
      <c r="H412" s="13" t="e">
        <f>SUMIF('[4]2.报价结算清单'!$F$2:$F$578,$A412,'[4]2.报价结算清单'!$N$2:$N$578)</f>
        <v>#VALUE!</v>
      </c>
      <c r="I412" s="15" t="e">
        <f>SUMIF('[4]2.报价结算清单'!$F$2:$F$578,A412,'[4]2.报价结算清单'!$P$2:$P$578)</f>
        <v>#VALUE!</v>
      </c>
    </row>
    <row r="413" spans="1:9" ht="37.15">
      <c r="A413" s="7" t="s">
        <v>3024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SUMIF('[4]2.报价结算清单'!$F$2:$F$578,$A413,'[4]2.报价结算清单'!$L$2:$L$578)</f>
        <v>#VALUE!</v>
      </c>
      <c r="H413" s="13" t="e">
        <f>SUMIF('[4]2.报价结算清单'!$F$2:$F$578,$A413,'[4]2.报价结算清单'!$N$2:$N$578)</f>
        <v>#VALUE!</v>
      </c>
      <c r="I413" s="15" t="e">
        <f>SUMIF('[4]2.报价结算清单'!$F$2:$F$578,A413,'[4]2.报价结算清单'!$P$2:$P$578)</f>
        <v>#VALUE!</v>
      </c>
    </row>
    <row r="414" spans="1:9" ht="37.15">
      <c r="A414" s="7" t="s">
        <v>3025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SUMIF('[4]2.报价结算清单'!$F$2:$F$578,$A414,'[4]2.报价结算清单'!$L$2:$L$578)</f>
        <v>#VALUE!</v>
      </c>
      <c r="H414" s="13" t="e">
        <f>SUMIF('[4]2.报价结算清单'!$F$2:$F$578,$A414,'[4]2.报价结算清单'!$N$2:$N$578)</f>
        <v>#VALUE!</v>
      </c>
      <c r="I414" s="15" t="e">
        <f>SUMIF('[4]2.报价结算清单'!$F$2:$F$578,A414,'[4]2.报价结算清单'!$P$2:$P$578)</f>
        <v>#VALUE!</v>
      </c>
    </row>
    <row r="415" spans="1:9" ht="37.15">
      <c r="A415" s="7" t="s">
        <v>3026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SUMIF('[4]2.报价结算清单'!$F$2:$F$578,$A415,'[4]2.报价结算清单'!$L$2:$L$578)</f>
        <v>#VALUE!</v>
      </c>
      <c r="H415" s="13" t="e">
        <f>SUMIF('[4]2.报价结算清单'!$F$2:$F$578,$A415,'[4]2.报价结算清单'!$N$2:$N$578)</f>
        <v>#VALUE!</v>
      </c>
      <c r="I415" s="15" t="e">
        <f>SUMIF('[4]2.报价结算清单'!$F$2:$F$578,A415,'[4]2.报价结算清单'!$P$2:$P$578)</f>
        <v>#VALUE!</v>
      </c>
    </row>
    <row r="416" spans="1:9" ht="37.15">
      <c r="A416" s="7" t="s">
        <v>3027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SUMIF('[4]2.报价结算清单'!$F$2:$F$578,$A416,'[4]2.报价结算清单'!$L$2:$L$578)</f>
        <v>#VALUE!</v>
      </c>
      <c r="H416" s="13" t="e">
        <f>SUMIF('[4]2.报价结算清单'!$F$2:$F$578,$A416,'[4]2.报价结算清单'!$N$2:$N$578)</f>
        <v>#VALUE!</v>
      </c>
      <c r="I416" s="15" t="e">
        <f>SUMIF('[4]2.报价结算清单'!$F$2:$F$578,A416,'[4]2.报价结算清单'!$P$2:$P$578)</f>
        <v>#VALUE!</v>
      </c>
    </row>
    <row r="417" spans="1:9" ht="37.15">
      <c r="A417" s="7" t="s">
        <v>3028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SUMIF('[4]2.报价结算清单'!$F$2:$F$578,$A417,'[4]2.报价结算清单'!$L$2:$L$578)</f>
        <v>#VALUE!</v>
      </c>
      <c r="H417" s="13" t="e">
        <f>SUMIF('[4]2.报价结算清单'!$F$2:$F$578,$A417,'[4]2.报价结算清单'!$N$2:$N$578)</f>
        <v>#VALUE!</v>
      </c>
      <c r="I417" s="15" t="e">
        <f>SUMIF('[4]2.报价结算清单'!$F$2:$F$578,A417,'[4]2.报价结算清单'!$P$2:$P$578)</f>
        <v>#VALUE!</v>
      </c>
    </row>
    <row r="418" spans="1:9" ht="37.15">
      <c r="A418" s="7" t="s">
        <v>3029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SUMIF('[4]2.报价结算清单'!$F$2:$F$578,$A418,'[4]2.报价结算清单'!$L$2:$L$578)</f>
        <v>#VALUE!</v>
      </c>
      <c r="H418" s="13" t="e">
        <f>SUMIF('[4]2.报价结算清单'!$F$2:$F$578,$A418,'[4]2.报价结算清单'!$N$2:$N$578)</f>
        <v>#VALUE!</v>
      </c>
      <c r="I418" s="15" t="e">
        <f>SUMIF('[4]2.报价结算清单'!$F$2:$F$578,A418,'[4]2.报价结算清单'!$P$2:$P$578)</f>
        <v>#VALUE!</v>
      </c>
    </row>
    <row r="419" spans="1:9" ht="37.15">
      <c r="A419" s="7" t="s">
        <v>3030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SUMIF('[4]2.报价结算清单'!$F$2:$F$578,$A419,'[4]2.报价结算清单'!$L$2:$L$578)</f>
        <v>#VALUE!</v>
      </c>
      <c r="H419" s="13" t="e">
        <f>SUMIF('[4]2.报价结算清单'!$F$2:$F$578,$A419,'[4]2.报价结算清单'!$N$2:$N$578)</f>
        <v>#VALUE!</v>
      </c>
      <c r="I419" s="15" t="e">
        <f>SUMIF('[4]2.报价结算清单'!$F$2:$F$578,A419,'[4]2.报价结算清单'!$P$2:$P$578)</f>
        <v>#VALUE!</v>
      </c>
    </row>
    <row r="420" spans="1:9" ht="37.15">
      <c r="A420" s="7" t="s">
        <v>3031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SUMIF('[4]2.报价结算清单'!$F$2:$F$578,$A420,'[4]2.报价结算清单'!$L$2:$L$578)</f>
        <v>#VALUE!</v>
      </c>
      <c r="H420" s="13" t="e">
        <f>SUMIF('[4]2.报价结算清单'!$F$2:$F$578,$A420,'[4]2.报价结算清单'!$N$2:$N$578)</f>
        <v>#VALUE!</v>
      </c>
      <c r="I420" s="15" t="e">
        <f>SUMIF('[4]2.报价结算清单'!$F$2:$F$578,A420,'[4]2.报价结算清单'!$P$2:$P$578)</f>
        <v>#VALUE!</v>
      </c>
    </row>
    <row r="421" spans="1:9" ht="24.75">
      <c r="A421" s="7" t="s">
        <v>3032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SUMIF('[4]2.报价结算清单'!$F$2:$F$578,$A421,'[4]2.报价结算清单'!$L$2:$L$578)</f>
        <v>#VALUE!</v>
      </c>
      <c r="H421" s="13" t="e">
        <f>SUMIF('[4]2.报价结算清单'!$F$2:$F$578,$A421,'[4]2.报价结算清单'!$N$2:$N$578)</f>
        <v>#VALUE!</v>
      </c>
      <c r="I421" s="15" t="e">
        <f>SUMIF('[4]2.报价结算清单'!$F$2:$F$578,A421,'[4]2.报价结算清单'!$P$2:$P$578)</f>
        <v>#VALUE!</v>
      </c>
    </row>
    <row r="422" spans="1:9" ht="24.75">
      <c r="A422" s="7" t="s">
        <v>3033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SUMIF('[4]2.报价结算清单'!$F$2:$F$578,$A422,'[4]2.报价结算清单'!$L$2:$L$578)</f>
        <v>#VALUE!</v>
      </c>
      <c r="H422" s="13" t="e">
        <f>SUMIF('[4]2.报价结算清单'!$F$2:$F$578,$A422,'[4]2.报价结算清单'!$N$2:$N$578)</f>
        <v>#VALUE!</v>
      </c>
      <c r="I422" s="15" t="e">
        <f>SUMIF('[4]2.报价结算清单'!$F$2:$F$578,A422,'[4]2.报价结算清单'!$P$2:$P$578)</f>
        <v>#VALUE!</v>
      </c>
    </row>
    <row r="423" spans="1:9" ht="24.75">
      <c r="A423" s="7" t="s">
        <v>3034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SUMIF('[4]2.报价结算清单'!$F$2:$F$578,$A423,'[4]2.报价结算清单'!$L$2:$L$578)</f>
        <v>#VALUE!</v>
      </c>
      <c r="H423" s="13" t="e">
        <f>SUMIF('[4]2.报价结算清单'!$F$2:$F$578,$A423,'[4]2.报价结算清单'!$N$2:$N$578)</f>
        <v>#VALUE!</v>
      </c>
      <c r="I423" s="15" t="e">
        <f>SUMIF('[4]2.报价结算清单'!$F$2:$F$578,A423,'[4]2.报价结算清单'!$P$2:$P$578)</f>
        <v>#VALUE!</v>
      </c>
    </row>
    <row r="424" spans="1:9" ht="24.75">
      <c r="A424" s="7" t="s">
        <v>3035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SUMIF('[4]2.报价结算清单'!$F$2:$F$578,$A424,'[4]2.报价结算清单'!$L$2:$L$578)</f>
        <v>#VALUE!</v>
      </c>
      <c r="H424" s="13" t="e">
        <f>SUMIF('[4]2.报价结算清单'!$F$2:$F$578,$A424,'[4]2.报价结算清单'!$N$2:$N$578)</f>
        <v>#VALUE!</v>
      </c>
      <c r="I424" s="15" t="e">
        <f>SUMIF('[4]2.报价结算清单'!$F$2:$F$578,A424,'[4]2.报价结算清单'!$P$2:$P$578)</f>
        <v>#VALUE!</v>
      </c>
    </row>
    <row r="425" spans="1:9" ht="24.75">
      <c r="A425" s="7" t="s">
        <v>3036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SUMIF('[4]2.报价结算清单'!$F$2:$F$578,$A425,'[4]2.报价结算清单'!$L$2:$L$578)</f>
        <v>#VALUE!</v>
      </c>
      <c r="H425" s="13" t="e">
        <f>SUMIF('[4]2.报价结算清单'!$F$2:$F$578,$A425,'[4]2.报价结算清单'!$N$2:$N$578)</f>
        <v>#VALUE!</v>
      </c>
      <c r="I425" s="15" t="e">
        <f>SUMIF('[4]2.报价结算清单'!$F$2:$F$578,A425,'[4]2.报价结算清单'!$P$2:$P$578)</f>
        <v>#VALUE!</v>
      </c>
    </row>
    <row r="426" spans="1:9" ht="24.75">
      <c r="A426" s="7" t="s">
        <v>3037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SUMIF('[4]2.报价结算清单'!$F$2:$F$578,$A426,'[4]2.报价结算清单'!$L$2:$L$578)</f>
        <v>#VALUE!</v>
      </c>
      <c r="H426" s="13" t="e">
        <f>SUMIF('[4]2.报价结算清单'!$F$2:$F$578,$A426,'[4]2.报价结算清单'!$N$2:$N$578)</f>
        <v>#VALUE!</v>
      </c>
      <c r="I426" s="15" t="e">
        <f>SUMIF('[4]2.报价结算清单'!$F$2:$F$578,A426,'[4]2.报价结算清单'!$P$2:$P$578)</f>
        <v>#VALUE!</v>
      </c>
    </row>
    <row r="427" spans="1:9" ht="24.75">
      <c r="A427" s="7" t="s">
        <v>3038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SUMIF('[4]2.报价结算清单'!$F$2:$F$578,$A427,'[4]2.报价结算清单'!$L$2:$L$578)</f>
        <v>#VALUE!</v>
      </c>
      <c r="H427" s="13" t="e">
        <f>SUMIF('[4]2.报价结算清单'!$F$2:$F$578,$A427,'[4]2.报价结算清单'!$N$2:$N$578)</f>
        <v>#VALUE!</v>
      </c>
      <c r="I427" s="15" t="e">
        <f>SUMIF('[4]2.报价结算清单'!$F$2:$F$578,A427,'[4]2.报价结算清单'!$P$2:$P$578)</f>
        <v>#VALUE!</v>
      </c>
    </row>
    <row r="428" spans="1:9" ht="24.75">
      <c r="A428" s="7" t="s">
        <v>3039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SUMIF('[4]2.报价结算清单'!$F$2:$F$578,$A428,'[4]2.报价结算清单'!$L$2:$L$578)</f>
        <v>#VALUE!</v>
      </c>
      <c r="H428" s="13" t="e">
        <f>SUMIF('[4]2.报价结算清单'!$F$2:$F$578,$A428,'[4]2.报价结算清单'!$N$2:$N$578)</f>
        <v>#VALUE!</v>
      </c>
      <c r="I428" s="15" t="e">
        <f>SUMIF('[4]2.报价结算清单'!$F$2:$F$578,A428,'[4]2.报价结算清单'!$P$2:$P$578)</f>
        <v>#VALUE!</v>
      </c>
    </row>
    <row r="429" spans="1:9" ht="24.75">
      <c r="A429" s="7" t="s">
        <v>3040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SUMIF('[4]2.报价结算清单'!$F$2:$F$578,$A429,'[4]2.报价结算清单'!$L$2:$L$578)</f>
        <v>#VALUE!</v>
      </c>
      <c r="H429" s="13" t="e">
        <f>SUMIF('[4]2.报价结算清单'!$F$2:$F$578,$A429,'[4]2.报价结算清单'!$N$2:$N$578)</f>
        <v>#VALUE!</v>
      </c>
      <c r="I429" s="15" t="e">
        <f>SUMIF('[4]2.报价结算清单'!$F$2:$F$578,A429,'[4]2.报价结算清单'!$P$2:$P$578)</f>
        <v>#VALUE!</v>
      </c>
    </row>
    <row r="430" spans="1:9" ht="24.75">
      <c r="A430" s="7" t="s">
        <v>3041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SUMIF('[4]2.报价结算清单'!$F$2:$F$578,$A430,'[4]2.报价结算清单'!$L$2:$L$578)</f>
        <v>#VALUE!</v>
      </c>
      <c r="H430" s="13" t="e">
        <f>SUMIF('[4]2.报价结算清单'!$F$2:$F$578,$A430,'[4]2.报价结算清单'!$N$2:$N$578)</f>
        <v>#VALUE!</v>
      </c>
      <c r="I430" s="15" t="e">
        <f>SUMIF('[4]2.报价结算清单'!$F$2:$F$578,A430,'[4]2.报价结算清单'!$P$2:$P$578)</f>
        <v>#VALUE!</v>
      </c>
    </row>
    <row r="431" spans="1:9" ht="24.75">
      <c r="A431" s="7" t="s">
        <v>3042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SUMIF('[4]2.报价结算清单'!$F$2:$F$578,$A431,'[4]2.报价结算清单'!$L$2:$L$578)</f>
        <v>#VALUE!</v>
      </c>
      <c r="H431" s="13" t="e">
        <f>SUMIF('[4]2.报价结算清单'!$F$2:$F$578,$A431,'[4]2.报价结算清单'!$N$2:$N$578)</f>
        <v>#VALUE!</v>
      </c>
      <c r="I431" s="15" t="e">
        <f>SUMIF('[4]2.报价结算清单'!$F$2:$F$578,A431,'[4]2.报价结算清单'!$P$2:$P$578)</f>
        <v>#VALUE!</v>
      </c>
    </row>
    <row r="432" spans="1:9" ht="24.75">
      <c r="A432" s="7" t="s">
        <v>3043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SUMIF('[4]2.报价结算清单'!$F$2:$F$578,$A432,'[4]2.报价结算清单'!$L$2:$L$578)</f>
        <v>#VALUE!</v>
      </c>
      <c r="H432" s="13" t="e">
        <f>SUMIF('[4]2.报价结算清单'!$F$2:$F$578,$A432,'[4]2.报价结算清单'!$N$2:$N$578)</f>
        <v>#VALUE!</v>
      </c>
      <c r="I432" s="15" t="e">
        <f>SUMIF('[4]2.报价结算清单'!$F$2:$F$578,A432,'[4]2.报价结算清单'!$P$2:$P$578)</f>
        <v>#VALUE!</v>
      </c>
    </row>
    <row r="433" spans="1:9" ht="37.15">
      <c r="A433" s="7" t="s">
        <v>3044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SUMIF('[4]2.报价结算清单'!$F$2:$F$578,$A433,'[4]2.报价结算清单'!$L$2:$L$578)</f>
        <v>#VALUE!</v>
      </c>
      <c r="H433" s="13" t="e">
        <f>SUMIF('[4]2.报价结算清单'!$F$2:$F$578,$A433,'[4]2.报价结算清单'!$N$2:$N$578)</f>
        <v>#VALUE!</v>
      </c>
      <c r="I433" s="15" t="e">
        <f>SUMIF('[4]2.报价结算清单'!$F$2:$F$578,A433,'[4]2.报价结算清单'!$P$2:$P$578)</f>
        <v>#VALUE!</v>
      </c>
    </row>
    <row r="434" spans="1:9" ht="37.15">
      <c r="A434" s="7" t="s">
        <v>3045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SUMIF('[4]2.报价结算清单'!$F$2:$F$578,$A434,'[4]2.报价结算清单'!$L$2:$L$578)</f>
        <v>#VALUE!</v>
      </c>
      <c r="H434" s="13" t="e">
        <f>SUMIF('[4]2.报价结算清单'!$F$2:$F$578,$A434,'[4]2.报价结算清单'!$N$2:$N$578)</f>
        <v>#VALUE!</v>
      </c>
      <c r="I434" s="15" t="e">
        <f>SUMIF('[4]2.报价结算清单'!$F$2:$F$578,A434,'[4]2.报价结算清单'!$P$2:$P$578)</f>
        <v>#VALUE!</v>
      </c>
    </row>
    <row r="435" spans="1:9" ht="37.15">
      <c r="A435" s="7" t="s">
        <v>3046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SUMIF('[4]2.报价结算清单'!$F$2:$F$578,$A435,'[4]2.报价结算清单'!$L$2:$L$578)</f>
        <v>#VALUE!</v>
      </c>
      <c r="H435" s="13" t="e">
        <f>SUMIF('[4]2.报价结算清单'!$F$2:$F$578,$A435,'[4]2.报价结算清单'!$N$2:$N$578)</f>
        <v>#VALUE!</v>
      </c>
      <c r="I435" s="15" t="e">
        <f>SUMIF('[4]2.报价结算清单'!$F$2:$F$578,A435,'[4]2.报价结算清单'!$P$2:$P$578)</f>
        <v>#VALUE!</v>
      </c>
    </row>
    <row r="436" spans="1:9" ht="24.75">
      <c r="A436" s="7" t="s">
        <v>3047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SUMIF('[4]2.报价结算清单'!$F$2:$F$578,$A436,'[4]2.报价结算清单'!$L$2:$L$578)</f>
        <v>#VALUE!</v>
      </c>
      <c r="H436" s="13" t="e">
        <f>SUMIF('[4]2.报价结算清单'!$F$2:$F$578,$A436,'[4]2.报价结算清单'!$N$2:$N$578)</f>
        <v>#VALUE!</v>
      </c>
      <c r="I436" s="15" t="e">
        <f>SUMIF('[4]2.报价结算清单'!$F$2:$F$578,A436,'[4]2.报价结算清单'!$P$2:$P$578)</f>
        <v>#VALUE!</v>
      </c>
    </row>
    <row r="437" spans="1:9" ht="24.75">
      <c r="A437" s="7" t="s">
        <v>3048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SUMIF('[4]2.报价结算清单'!$F$2:$F$578,$A437,'[4]2.报价结算清单'!$L$2:$L$578)</f>
        <v>#VALUE!</v>
      </c>
      <c r="H437" s="13" t="e">
        <f>SUMIF('[4]2.报价结算清单'!$F$2:$F$578,$A437,'[4]2.报价结算清单'!$N$2:$N$578)</f>
        <v>#VALUE!</v>
      </c>
      <c r="I437" s="15" t="e">
        <f>SUMIF('[4]2.报价结算清单'!$F$2:$F$578,A437,'[4]2.报价结算清单'!$P$2:$P$578)</f>
        <v>#VALUE!</v>
      </c>
    </row>
    <row r="438" spans="1:9" ht="37.15">
      <c r="A438" s="7" t="s">
        <v>3049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SUMIF('[4]2.报价结算清单'!$F$2:$F$578,$A438,'[4]2.报价结算清单'!$L$2:$L$578)</f>
        <v>#VALUE!</v>
      </c>
      <c r="H438" s="13" t="e">
        <f>SUMIF('[4]2.报价结算清单'!$F$2:$F$578,$A438,'[4]2.报价结算清单'!$N$2:$N$578)</f>
        <v>#VALUE!</v>
      </c>
      <c r="I438" s="15" t="e">
        <f>SUMIF('[4]2.报价结算清单'!$F$2:$F$578,A438,'[4]2.报价结算清单'!$P$2:$P$578)</f>
        <v>#VALUE!</v>
      </c>
    </row>
    <row r="439" spans="1:9" ht="37.15">
      <c r="A439" s="7" t="s">
        <v>3050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SUMIF('[4]2.报价结算清单'!$F$2:$F$578,$A439,'[4]2.报价结算清单'!$L$2:$L$578)</f>
        <v>#VALUE!</v>
      </c>
      <c r="H439" s="13" t="e">
        <f>SUMIF('[4]2.报价结算清单'!$F$2:$F$578,$A439,'[4]2.报价结算清单'!$N$2:$N$578)</f>
        <v>#VALUE!</v>
      </c>
      <c r="I439" s="15" t="e">
        <f>SUMIF('[4]2.报价结算清单'!$F$2:$F$578,A439,'[4]2.报价结算清单'!$P$2:$P$578)</f>
        <v>#VALUE!</v>
      </c>
    </row>
    <row r="440" spans="1:9" ht="37.15">
      <c r="A440" s="7" t="s">
        <v>3051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SUMIF('[4]2.报价结算清单'!$F$2:$F$578,$A440,'[4]2.报价结算清单'!$L$2:$L$578)</f>
        <v>#VALUE!</v>
      </c>
      <c r="H440" s="13" t="e">
        <f>SUMIF('[4]2.报价结算清单'!$F$2:$F$578,$A440,'[4]2.报价结算清单'!$N$2:$N$578)</f>
        <v>#VALUE!</v>
      </c>
      <c r="I440" s="15" t="e">
        <f>SUMIF('[4]2.报价结算清单'!$F$2:$F$578,A440,'[4]2.报价结算清单'!$P$2:$P$578)</f>
        <v>#VALUE!</v>
      </c>
    </row>
    <row r="441" spans="1:9" ht="37.15">
      <c r="A441" s="7" t="s">
        <v>3052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SUMIF('[4]2.报价结算清单'!$F$2:$F$578,$A441,'[4]2.报价结算清单'!$L$2:$L$578)</f>
        <v>#VALUE!</v>
      </c>
      <c r="H441" s="13" t="e">
        <f>SUMIF('[4]2.报价结算清单'!$F$2:$F$578,$A441,'[4]2.报价结算清单'!$N$2:$N$578)</f>
        <v>#VALUE!</v>
      </c>
      <c r="I441" s="15" t="e">
        <f>SUMIF('[4]2.报价结算清单'!$F$2:$F$578,A441,'[4]2.报价结算清单'!$P$2:$P$578)</f>
        <v>#VALUE!</v>
      </c>
    </row>
    <row r="442" spans="1:9" ht="37.15">
      <c r="A442" s="7" t="s">
        <v>3053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SUMIF('[4]2.报价结算清单'!$F$2:$F$578,$A442,'[4]2.报价结算清单'!$L$2:$L$578)</f>
        <v>#VALUE!</v>
      </c>
      <c r="H442" s="13" t="e">
        <f>SUMIF('[4]2.报价结算清单'!$F$2:$F$578,$A442,'[4]2.报价结算清单'!$N$2:$N$578)</f>
        <v>#VALUE!</v>
      </c>
      <c r="I442" s="15" t="e">
        <f>SUMIF('[4]2.报价结算清单'!$F$2:$F$578,A442,'[4]2.报价结算清单'!$P$2:$P$578)</f>
        <v>#VALUE!</v>
      </c>
    </row>
    <row r="443" spans="1:9" ht="37.15">
      <c r="A443" s="7" t="s">
        <v>3054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SUMIF('[4]2.报价结算清单'!$F$2:$F$578,$A443,'[4]2.报价结算清单'!$L$2:$L$578)</f>
        <v>#VALUE!</v>
      </c>
      <c r="H443" s="13" t="e">
        <f>SUMIF('[4]2.报价结算清单'!$F$2:$F$578,$A443,'[4]2.报价结算清单'!$N$2:$N$578)</f>
        <v>#VALUE!</v>
      </c>
      <c r="I443" s="15" t="e">
        <f>SUMIF('[4]2.报价结算清单'!$F$2:$F$578,A443,'[4]2.报价结算清单'!$P$2:$P$578)</f>
        <v>#VALUE!</v>
      </c>
    </row>
    <row r="444" spans="1:9" ht="37.15">
      <c r="A444" s="7" t="s">
        <v>3055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SUMIF('[4]2.报价结算清单'!$F$2:$F$578,$A444,'[4]2.报价结算清单'!$L$2:$L$578)</f>
        <v>#VALUE!</v>
      </c>
      <c r="H444" s="13" t="e">
        <f>SUMIF('[4]2.报价结算清单'!$F$2:$F$578,$A444,'[4]2.报价结算清单'!$N$2:$N$578)</f>
        <v>#VALUE!</v>
      </c>
      <c r="I444" s="15" t="e">
        <f>SUMIF('[4]2.报价结算清单'!$F$2:$F$578,A444,'[4]2.报价结算清单'!$P$2:$P$578)</f>
        <v>#VALUE!</v>
      </c>
    </row>
    <row r="445" spans="1:9" ht="24.75">
      <c r="A445" s="7" t="s">
        <v>3056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SUMIF('[4]2.报价结算清单'!$F$2:$F$578,$A445,'[4]2.报价结算清单'!$L$2:$L$578)</f>
        <v>#VALUE!</v>
      </c>
      <c r="H445" s="13" t="e">
        <f>SUMIF('[4]2.报价结算清单'!$F$2:$F$578,$A445,'[4]2.报价结算清单'!$N$2:$N$578)</f>
        <v>#VALUE!</v>
      </c>
      <c r="I445" s="15" t="e">
        <f>SUMIF('[4]2.报价结算清单'!$F$2:$F$578,A445,'[4]2.报价结算清单'!$P$2:$P$578)</f>
        <v>#VALUE!</v>
      </c>
    </row>
    <row r="446" spans="1:9" ht="24.75">
      <c r="A446" s="7" t="s">
        <v>3057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SUMIF('[4]2.报价结算清单'!$F$2:$F$578,$A446,'[4]2.报价结算清单'!$L$2:$L$578)</f>
        <v>#VALUE!</v>
      </c>
      <c r="H446" s="13" t="e">
        <f>SUMIF('[4]2.报价结算清单'!$F$2:$F$578,$A446,'[4]2.报价结算清单'!$N$2:$N$578)</f>
        <v>#VALUE!</v>
      </c>
      <c r="I446" s="15" t="e">
        <f>SUMIF('[4]2.报价结算清单'!$F$2:$F$578,A446,'[4]2.报价结算清单'!$P$2:$P$578)</f>
        <v>#VALUE!</v>
      </c>
    </row>
    <row r="447" spans="1:9" ht="24.75">
      <c r="A447" s="7" t="s">
        <v>3058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SUMIF('[4]2.报价结算清单'!$F$2:$F$578,$A447,'[4]2.报价结算清单'!$L$2:$L$578)</f>
        <v>#VALUE!</v>
      </c>
      <c r="H447" s="13" t="e">
        <f>SUMIF('[4]2.报价结算清单'!$F$2:$F$578,$A447,'[4]2.报价结算清单'!$N$2:$N$578)</f>
        <v>#VALUE!</v>
      </c>
      <c r="I447" s="15" t="e">
        <f>SUMIF('[4]2.报价结算清单'!$F$2:$F$578,A447,'[4]2.报价结算清单'!$P$2:$P$578)</f>
        <v>#VALUE!</v>
      </c>
    </row>
    <row r="448" spans="1:9" ht="24.75">
      <c r="A448" s="7" t="s">
        <v>3059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SUMIF('[4]2.报价结算清单'!$F$2:$F$578,$A448,'[4]2.报价结算清单'!$L$2:$L$578)</f>
        <v>#VALUE!</v>
      </c>
      <c r="H448" s="13" t="e">
        <f>SUMIF('[4]2.报价结算清单'!$F$2:$F$578,$A448,'[4]2.报价结算清单'!$N$2:$N$578)</f>
        <v>#VALUE!</v>
      </c>
      <c r="I448" s="15" t="e">
        <f>SUMIF('[4]2.报价结算清单'!$F$2:$F$578,A448,'[4]2.报价结算清单'!$P$2:$P$578)</f>
        <v>#VALUE!</v>
      </c>
    </row>
    <row r="449" spans="1:9" ht="24.75">
      <c r="A449" s="7" t="s">
        <v>3060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SUMIF('[4]2.报价结算清单'!$F$2:$F$578,$A449,'[4]2.报价结算清单'!$L$2:$L$578)</f>
        <v>#VALUE!</v>
      </c>
      <c r="H449" s="13" t="e">
        <f>SUMIF('[4]2.报价结算清单'!$F$2:$F$578,$A449,'[4]2.报价结算清单'!$N$2:$N$578)</f>
        <v>#VALUE!</v>
      </c>
      <c r="I449" s="15" t="e">
        <f>SUMIF('[4]2.报价结算清单'!$F$2:$F$578,A449,'[4]2.报价结算清单'!$P$2:$P$578)</f>
        <v>#VALUE!</v>
      </c>
    </row>
    <row r="450" spans="1:9" ht="37.15">
      <c r="A450" s="7" t="s">
        <v>3061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SUMIF('[4]2.报价结算清单'!$F$2:$F$578,$A450,'[4]2.报价结算清单'!$L$2:$L$578)</f>
        <v>#VALUE!</v>
      </c>
      <c r="H450" s="13" t="e">
        <f>SUMIF('[4]2.报价结算清单'!$F$2:$F$578,$A450,'[4]2.报价结算清单'!$N$2:$N$578)</f>
        <v>#VALUE!</v>
      </c>
      <c r="I450" s="15" t="e">
        <f>SUMIF('[4]2.报价结算清单'!$F$2:$F$578,A450,'[4]2.报价结算清单'!$P$2:$P$578)</f>
        <v>#VALUE!</v>
      </c>
    </row>
    <row r="451" spans="1:9" ht="37.15">
      <c r="A451" s="7" t="s">
        <v>3062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SUMIF('[4]2.报价结算清单'!$F$2:$F$578,$A451,'[4]2.报价结算清单'!$L$2:$L$578)</f>
        <v>#VALUE!</v>
      </c>
      <c r="H451" s="13" t="e">
        <f>SUMIF('[4]2.报价结算清单'!$F$2:$F$578,$A451,'[4]2.报价结算清单'!$N$2:$N$578)</f>
        <v>#VALUE!</v>
      </c>
      <c r="I451" s="15" t="e">
        <f>SUMIF('[4]2.报价结算清单'!$F$2:$F$578,A451,'[4]2.报价结算清单'!$P$2:$P$578)</f>
        <v>#VALUE!</v>
      </c>
    </row>
    <row r="452" spans="1:9" ht="37.15">
      <c r="A452" s="7" t="s">
        <v>3063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SUMIF('[4]2.报价结算清单'!$F$2:$F$578,$A452,'[4]2.报价结算清单'!$L$2:$L$578)</f>
        <v>#VALUE!</v>
      </c>
      <c r="H452" s="13" t="e">
        <f>SUMIF('[4]2.报价结算清单'!$F$2:$F$578,$A452,'[4]2.报价结算清单'!$N$2:$N$578)</f>
        <v>#VALUE!</v>
      </c>
      <c r="I452" s="15" t="e">
        <f>SUMIF('[4]2.报价结算清单'!$F$2:$F$578,A452,'[4]2.报价结算清单'!$P$2:$P$578)</f>
        <v>#VALUE!</v>
      </c>
    </row>
    <row r="453" spans="1:9" ht="37.15">
      <c r="A453" s="7" t="s">
        <v>3064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SUMIF('[4]2.报价结算清单'!$F$2:$F$578,$A453,'[4]2.报价结算清单'!$L$2:$L$578)</f>
        <v>#VALUE!</v>
      </c>
      <c r="H453" s="13" t="e">
        <f>SUMIF('[4]2.报价结算清单'!$F$2:$F$578,$A453,'[4]2.报价结算清单'!$N$2:$N$578)</f>
        <v>#VALUE!</v>
      </c>
      <c r="I453" s="15" t="e">
        <f>SUMIF('[4]2.报价结算清单'!$F$2:$F$578,A453,'[4]2.报价结算清单'!$P$2:$P$578)</f>
        <v>#VALUE!</v>
      </c>
    </row>
    <row r="454" spans="1:9" ht="37.15">
      <c r="A454" s="7" t="s">
        <v>3065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SUMIF('[4]2.报价结算清单'!$F$2:$F$578,$A454,'[4]2.报价结算清单'!$L$2:$L$578)</f>
        <v>#VALUE!</v>
      </c>
      <c r="H454" s="13" t="e">
        <f>SUMIF('[4]2.报价结算清单'!$F$2:$F$578,$A454,'[4]2.报价结算清单'!$N$2:$N$578)</f>
        <v>#VALUE!</v>
      </c>
      <c r="I454" s="15" t="e">
        <f>SUMIF('[4]2.报价结算清单'!$F$2:$F$578,A454,'[4]2.报价结算清单'!$P$2:$P$578)</f>
        <v>#VALUE!</v>
      </c>
    </row>
    <row r="455" spans="1:9" ht="37.15">
      <c r="A455" s="7" t="s">
        <v>3066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SUMIF('[4]2.报价结算清单'!$F$2:$F$578,$A455,'[4]2.报价结算清单'!$L$2:$L$578)</f>
        <v>#VALUE!</v>
      </c>
      <c r="H455" s="13" t="e">
        <f>SUMIF('[4]2.报价结算清单'!$F$2:$F$578,$A455,'[4]2.报价结算清单'!$N$2:$N$578)</f>
        <v>#VALUE!</v>
      </c>
      <c r="I455" s="15" t="e">
        <f>SUMIF('[4]2.报价结算清单'!$F$2:$F$578,A455,'[4]2.报价结算清单'!$P$2:$P$578)</f>
        <v>#VALUE!</v>
      </c>
    </row>
    <row r="456" spans="1:9" ht="24.75">
      <c r="A456" s="7" t="s">
        <v>3067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SUMIF('[4]2.报价结算清单'!$F$2:$F$578,$A456,'[4]2.报价结算清单'!$L$2:$L$578)</f>
        <v>#VALUE!</v>
      </c>
      <c r="H456" s="13" t="e">
        <f>SUMIF('[4]2.报价结算清单'!$F$2:$F$578,$A456,'[4]2.报价结算清单'!$N$2:$N$578)</f>
        <v>#VALUE!</v>
      </c>
      <c r="I456" s="15" t="e">
        <f>SUMIF('[4]2.报价结算清单'!$F$2:$F$578,A456,'[4]2.报价结算清单'!$P$2:$P$578)</f>
        <v>#VALUE!</v>
      </c>
    </row>
    <row r="457" spans="1:9">
      <c r="A457" s="7" t="s">
        <v>3068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SUMIF('[4]2.报价结算清单'!$F$2:$F$578,$A457,'[4]2.报价结算清单'!$L$2:$L$578)</f>
        <v>#VALUE!</v>
      </c>
      <c r="H457" s="13" t="e">
        <f>SUMIF('[4]2.报价结算清单'!$F$2:$F$578,$A457,'[4]2.报价结算清单'!$N$2:$N$578)</f>
        <v>#VALUE!</v>
      </c>
      <c r="I457" s="15" t="e">
        <f>SUMIF('[4]2.报价结算清单'!$F$2:$F$578,A457,'[4]2.报价结算清单'!$P$2:$P$578)</f>
        <v>#VALUE!</v>
      </c>
    </row>
    <row r="458" spans="1:9">
      <c r="A458" s="7" t="s">
        <v>3069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SUMIF('[4]2.报价结算清单'!$F$2:$F$578,$A458,'[4]2.报价结算清单'!$L$2:$L$578)</f>
        <v>#VALUE!</v>
      </c>
      <c r="H458" s="13" t="e">
        <f>SUMIF('[4]2.报价结算清单'!$F$2:$F$578,$A458,'[4]2.报价结算清单'!$N$2:$N$578)</f>
        <v>#VALUE!</v>
      </c>
      <c r="I458" s="15" t="e">
        <f>SUMIF('[4]2.报价结算清单'!$F$2:$F$578,A458,'[4]2.报价结算清单'!$P$2:$P$578)</f>
        <v>#VALUE!</v>
      </c>
    </row>
    <row r="459" spans="1:9">
      <c r="A459" s="7" t="s">
        <v>3070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SUMIF('[4]2.报价结算清单'!$F$2:$F$578,$A459,'[4]2.报价结算清单'!$L$2:$L$578)</f>
        <v>#VALUE!</v>
      </c>
      <c r="H459" s="13" t="e">
        <f>SUMIF('[4]2.报价结算清单'!$F$2:$F$578,$A459,'[4]2.报价结算清单'!$N$2:$N$578)</f>
        <v>#VALUE!</v>
      </c>
      <c r="I459" s="15" t="e">
        <f>SUMIF('[4]2.报价结算清单'!$F$2:$F$578,A459,'[4]2.报价结算清单'!$P$2:$P$578)</f>
        <v>#VALUE!</v>
      </c>
    </row>
    <row r="460" spans="1:9">
      <c r="A460" s="7" t="s">
        <v>3071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SUMIF('[4]2.报价结算清单'!$F$2:$F$578,$A460,'[4]2.报价结算清单'!$L$2:$L$578)</f>
        <v>#VALUE!</v>
      </c>
      <c r="H460" s="13" t="e">
        <f>SUMIF('[4]2.报价结算清单'!$F$2:$F$578,$A460,'[4]2.报价结算清单'!$N$2:$N$578)</f>
        <v>#VALUE!</v>
      </c>
      <c r="I460" s="15" t="e">
        <f>SUMIF('[4]2.报价结算清单'!$F$2:$F$578,A460,'[4]2.报价结算清单'!$P$2:$P$578)</f>
        <v>#VALUE!</v>
      </c>
    </row>
    <row r="461" spans="1:9">
      <c r="A461" s="7" t="s">
        <v>3072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SUMIF('[4]2.报价结算清单'!$F$2:$F$578,$A461,'[4]2.报价结算清单'!$L$2:$L$578)</f>
        <v>#VALUE!</v>
      </c>
      <c r="H461" s="13" t="e">
        <f>SUMIF('[4]2.报价结算清单'!$F$2:$F$578,$A461,'[4]2.报价结算清单'!$N$2:$N$578)</f>
        <v>#VALUE!</v>
      </c>
      <c r="I461" s="15" t="e">
        <f>SUMIF('[4]2.报价结算清单'!$F$2:$F$578,A461,'[4]2.报价结算清单'!$P$2:$P$578)</f>
        <v>#VALUE!</v>
      </c>
    </row>
    <row r="462" spans="1:9">
      <c r="A462" s="7" t="s">
        <v>3073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SUMIF('[4]2.报价结算清单'!$F$2:$F$578,$A462,'[4]2.报价结算清单'!$L$2:$L$578)</f>
        <v>#VALUE!</v>
      </c>
      <c r="H462" s="13" t="e">
        <f>SUMIF('[4]2.报价结算清单'!$F$2:$F$578,$A462,'[4]2.报价结算清单'!$N$2:$N$578)</f>
        <v>#VALUE!</v>
      </c>
      <c r="I462" s="15" t="e">
        <f>SUMIF('[4]2.报价结算清单'!$F$2:$F$578,A462,'[4]2.报价结算清单'!$P$2:$P$578)</f>
        <v>#VALUE!</v>
      </c>
    </row>
    <row r="463" spans="1:9">
      <c r="A463" s="7" t="s">
        <v>3074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SUMIF('[4]2.报价结算清单'!$F$2:$F$578,$A463,'[4]2.报价结算清单'!$L$2:$L$578)</f>
        <v>#VALUE!</v>
      </c>
      <c r="H463" s="13" t="e">
        <f>SUMIF('[4]2.报价结算清单'!$F$2:$F$578,$A463,'[4]2.报价结算清单'!$N$2:$N$578)</f>
        <v>#VALUE!</v>
      </c>
      <c r="I463" s="15" t="e">
        <f>SUMIF('[4]2.报价结算清单'!$F$2:$F$578,A463,'[4]2.报价结算清单'!$P$2:$P$578)</f>
        <v>#VALUE!</v>
      </c>
    </row>
    <row r="464" spans="1:9">
      <c r="A464" s="7" t="s">
        <v>3075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SUMIF('[4]2.报价结算清单'!$F$2:$F$578,$A464,'[4]2.报价结算清单'!$L$2:$L$578)</f>
        <v>#VALUE!</v>
      </c>
      <c r="H464" s="13" t="e">
        <f>SUMIF('[4]2.报价结算清单'!$F$2:$F$578,$A464,'[4]2.报价结算清单'!$N$2:$N$578)</f>
        <v>#VALUE!</v>
      </c>
      <c r="I464" s="15" t="e">
        <f>SUMIF('[4]2.报价结算清单'!$F$2:$F$578,A464,'[4]2.报价结算清单'!$P$2:$P$578)</f>
        <v>#VALUE!</v>
      </c>
    </row>
    <row r="465" spans="1:9">
      <c r="A465" s="7" t="s">
        <v>3076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SUMIF('[4]2.报价结算清单'!$F$2:$F$578,$A465,'[4]2.报价结算清单'!$L$2:$L$578)</f>
        <v>#VALUE!</v>
      </c>
      <c r="H465" s="13" t="e">
        <f>SUMIF('[4]2.报价结算清单'!$F$2:$F$578,$A465,'[4]2.报价结算清单'!$N$2:$N$578)</f>
        <v>#VALUE!</v>
      </c>
      <c r="I465" s="15" t="e">
        <f>SUMIF('[4]2.报价结算清单'!$F$2:$F$578,A465,'[4]2.报价结算清单'!$P$2:$P$578)</f>
        <v>#VALUE!</v>
      </c>
    </row>
    <row r="466" spans="1:9">
      <c r="A466" s="7" t="s">
        <v>3077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SUMIF('[4]2.报价结算清单'!$F$2:$F$578,$A466,'[4]2.报价结算清单'!$L$2:$L$578)</f>
        <v>#VALUE!</v>
      </c>
      <c r="H466" s="13" t="e">
        <f>SUMIF('[4]2.报价结算清单'!$F$2:$F$578,$A466,'[4]2.报价结算清单'!$N$2:$N$578)</f>
        <v>#VALUE!</v>
      </c>
      <c r="I466" s="15" t="e">
        <f>SUMIF('[4]2.报价结算清单'!$F$2:$F$578,A466,'[4]2.报价结算清单'!$P$2:$P$578)</f>
        <v>#VALUE!</v>
      </c>
    </row>
    <row r="467" spans="1:9">
      <c r="A467" s="7" t="s">
        <v>3078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SUMIF('[4]2.报价结算清单'!$F$2:$F$578,$A467,'[4]2.报价结算清单'!$L$2:$L$578)</f>
        <v>#VALUE!</v>
      </c>
      <c r="H467" s="13" t="e">
        <f>SUMIF('[4]2.报价结算清单'!$F$2:$F$578,$A467,'[4]2.报价结算清单'!$N$2:$N$578)</f>
        <v>#VALUE!</v>
      </c>
      <c r="I467" s="15" t="e">
        <f>SUMIF('[4]2.报价结算清单'!$F$2:$F$578,A467,'[4]2.报价结算清单'!$P$2:$P$578)</f>
        <v>#VALUE!</v>
      </c>
    </row>
    <row r="468" spans="1:9">
      <c r="A468" s="7" t="s">
        <v>3079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SUMIF('[4]2.报价结算清单'!$F$2:$F$578,$A468,'[4]2.报价结算清单'!$L$2:$L$578)</f>
        <v>#VALUE!</v>
      </c>
      <c r="H468" s="13" t="e">
        <f>SUMIF('[4]2.报价结算清单'!$F$2:$F$578,$A468,'[4]2.报价结算清单'!$N$2:$N$578)</f>
        <v>#VALUE!</v>
      </c>
      <c r="I468" s="15" t="e">
        <f>SUMIF('[4]2.报价结算清单'!$F$2:$F$578,A468,'[4]2.报价结算清单'!$P$2:$P$578)</f>
        <v>#VALUE!</v>
      </c>
    </row>
    <row r="469" spans="1:9">
      <c r="A469" s="7" t="s">
        <v>3080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SUMIF('[4]2.报价结算清单'!$F$2:$F$578,$A469,'[4]2.报价结算清单'!$L$2:$L$578)</f>
        <v>#VALUE!</v>
      </c>
      <c r="H469" s="13" t="e">
        <f>SUMIF('[4]2.报价结算清单'!$F$2:$F$578,$A469,'[4]2.报价结算清单'!$N$2:$N$578)</f>
        <v>#VALUE!</v>
      </c>
      <c r="I469" s="15" t="e">
        <f>SUMIF('[4]2.报价结算清单'!$F$2:$F$578,A469,'[4]2.报价结算清单'!$P$2:$P$578)</f>
        <v>#VALUE!</v>
      </c>
    </row>
    <row r="470" spans="1:9">
      <c r="A470" s="7" t="s">
        <v>3081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SUMIF('[4]2.报价结算清单'!$F$2:$F$578,$A470,'[4]2.报价结算清单'!$L$2:$L$578)</f>
        <v>#VALUE!</v>
      </c>
      <c r="H470" s="13" t="e">
        <f>SUMIF('[4]2.报价结算清单'!$F$2:$F$578,$A470,'[4]2.报价结算清单'!$N$2:$N$578)</f>
        <v>#VALUE!</v>
      </c>
      <c r="I470" s="15" t="e">
        <f>SUMIF('[4]2.报价结算清单'!$F$2:$F$578,A470,'[4]2.报价结算清单'!$P$2:$P$578)</f>
        <v>#VALUE!</v>
      </c>
    </row>
    <row r="471" spans="1:9">
      <c r="A471" s="7" t="s">
        <v>3082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SUMIF('[4]2.报价结算清单'!$F$2:$F$578,$A471,'[4]2.报价结算清单'!$L$2:$L$578)</f>
        <v>#VALUE!</v>
      </c>
      <c r="H471" s="13" t="e">
        <f>SUMIF('[4]2.报价结算清单'!$F$2:$F$578,$A471,'[4]2.报价结算清单'!$N$2:$N$578)</f>
        <v>#VALUE!</v>
      </c>
      <c r="I471" s="15" t="e">
        <f>SUMIF('[4]2.报价结算清单'!$F$2:$F$578,A471,'[4]2.报价结算清单'!$P$2:$P$578)</f>
        <v>#VALUE!</v>
      </c>
    </row>
    <row r="472" spans="1:9">
      <c r="A472" s="7" t="s">
        <v>3083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SUMIF('[4]2.报价结算清单'!$F$2:$F$578,$A472,'[4]2.报价结算清单'!$L$2:$L$578)</f>
        <v>#VALUE!</v>
      </c>
      <c r="H472" s="13" t="e">
        <f>SUMIF('[4]2.报价结算清单'!$F$2:$F$578,$A472,'[4]2.报价结算清单'!$N$2:$N$578)</f>
        <v>#VALUE!</v>
      </c>
      <c r="I472" s="15" t="e">
        <f>SUMIF('[4]2.报价结算清单'!$F$2:$F$578,A472,'[4]2.报价结算清单'!$P$2:$P$578)</f>
        <v>#VALUE!</v>
      </c>
    </row>
    <row r="473" spans="1:9">
      <c r="A473" s="7" t="s">
        <v>3084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SUMIF('[4]2.报价结算清单'!$F$2:$F$578,$A473,'[4]2.报价结算清单'!$L$2:$L$578)</f>
        <v>#VALUE!</v>
      </c>
      <c r="H473" s="13" t="e">
        <f>SUMIF('[4]2.报价结算清单'!$F$2:$F$578,$A473,'[4]2.报价结算清单'!$N$2:$N$578)</f>
        <v>#VALUE!</v>
      </c>
      <c r="I473" s="15" t="e">
        <f>SUMIF('[4]2.报价结算清单'!$F$2:$F$578,A473,'[4]2.报价结算清单'!$P$2:$P$578)</f>
        <v>#VALUE!</v>
      </c>
    </row>
    <row r="474" spans="1:9">
      <c r="A474" s="7" t="s">
        <v>3085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SUMIF('[4]2.报价结算清单'!$F$2:$F$578,$A474,'[4]2.报价结算清单'!$L$2:$L$578)</f>
        <v>#VALUE!</v>
      </c>
      <c r="H474" s="13" t="e">
        <f>SUMIF('[4]2.报价结算清单'!$F$2:$F$578,$A474,'[4]2.报价结算清单'!$N$2:$N$578)</f>
        <v>#VALUE!</v>
      </c>
      <c r="I474" s="15" t="e">
        <f>SUMIF('[4]2.报价结算清单'!$F$2:$F$578,A474,'[4]2.报价结算清单'!$P$2:$P$578)</f>
        <v>#VALUE!</v>
      </c>
    </row>
    <row r="475" spans="1:9">
      <c r="A475" s="7" t="s">
        <v>3086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SUMIF('[4]2.报价结算清单'!$F$2:$F$578,$A475,'[4]2.报价结算清单'!$L$2:$L$578)</f>
        <v>#VALUE!</v>
      </c>
      <c r="H475" s="13" t="e">
        <f>SUMIF('[4]2.报价结算清单'!$F$2:$F$578,$A475,'[4]2.报价结算清单'!$N$2:$N$578)</f>
        <v>#VALUE!</v>
      </c>
      <c r="I475" s="15" t="e">
        <f>SUMIF('[4]2.报价结算清单'!$F$2:$F$578,A475,'[4]2.报价结算清单'!$P$2:$P$578)</f>
        <v>#VALUE!</v>
      </c>
    </row>
    <row r="476" spans="1:9">
      <c r="A476" s="7" t="s">
        <v>3087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SUMIF('[4]2.报价结算清单'!$F$2:$F$578,$A476,'[4]2.报价结算清单'!$L$2:$L$578)</f>
        <v>#VALUE!</v>
      </c>
      <c r="H476" s="13" t="e">
        <f>SUMIF('[4]2.报价结算清单'!$F$2:$F$578,$A476,'[4]2.报价结算清单'!$N$2:$N$578)</f>
        <v>#VALUE!</v>
      </c>
      <c r="I476" s="15" t="e">
        <f>SUMIF('[4]2.报价结算清单'!$F$2:$F$578,A476,'[4]2.报价结算清单'!$P$2:$P$578)</f>
        <v>#VALUE!</v>
      </c>
    </row>
    <row r="477" spans="1:9">
      <c r="A477" s="7" t="s">
        <v>3088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SUMIF('[4]2.报价结算清单'!$F$2:$F$578,$A477,'[4]2.报价结算清单'!$L$2:$L$578)</f>
        <v>#VALUE!</v>
      </c>
      <c r="H477" s="13" t="e">
        <f>SUMIF('[4]2.报价结算清单'!$F$2:$F$578,$A477,'[4]2.报价结算清单'!$N$2:$N$578)</f>
        <v>#VALUE!</v>
      </c>
      <c r="I477" s="15" t="e">
        <f>SUMIF('[4]2.报价结算清单'!$F$2:$F$578,A477,'[4]2.报价结算清单'!$P$2:$P$578)</f>
        <v>#VALUE!</v>
      </c>
    </row>
    <row r="478" spans="1:9">
      <c r="A478" s="7" t="s">
        <v>3089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SUMIF('[4]2.报价结算清单'!$F$2:$F$578,$A478,'[4]2.报价结算清单'!$L$2:$L$578)</f>
        <v>#VALUE!</v>
      </c>
      <c r="H478" s="13" t="e">
        <f>SUMIF('[4]2.报价结算清单'!$F$2:$F$578,$A478,'[4]2.报价结算清单'!$N$2:$N$578)</f>
        <v>#VALUE!</v>
      </c>
      <c r="I478" s="15" t="e">
        <f>SUMIF('[4]2.报价结算清单'!$F$2:$F$578,A478,'[4]2.报价结算清单'!$P$2:$P$578)</f>
        <v>#VALUE!</v>
      </c>
    </row>
    <row r="479" spans="1:9">
      <c r="A479" s="7" t="s">
        <v>3090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SUMIF('[4]2.报价结算清单'!$F$2:$F$578,$A479,'[4]2.报价结算清单'!$L$2:$L$578)</f>
        <v>#VALUE!</v>
      </c>
      <c r="H479" s="13" t="e">
        <f>SUMIF('[4]2.报价结算清单'!$F$2:$F$578,$A479,'[4]2.报价结算清单'!$N$2:$N$578)</f>
        <v>#VALUE!</v>
      </c>
      <c r="I479" s="15" t="e">
        <f>SUMIF('[4]2.报价结算清单'!$F$2:$F$578,A479,'[4]2.报价结算清单'!$P$2:$P$578)</f>
        <v>#VALUE!</v>
      </c>
    </row>
    <row r="480" spans="1:9">
      <c r="A480" s="7" t="s">
        <v>3091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SUMIF('[4]2.报价结算清单'!$F$2:$F$578,$A480,'[4]2.报价结算清单'!$L$2:$L$578)</f>
        <v>#VALUE!</v>
      </c>
      <c r="H480" s="13" t="e">
        <f>SUMIF('[4]2.报价结算清单'!$F$2:$F$578,$A480,'[4]2.报价结算清单'!$N$2:$N$578)</f>
        <v>#VALUE!</v>
      </c>
      <c r="I480" s="15" t="e">
        <f>SUMIF('[4]2.报价结算清单'!$F$2:$F$578,A480,'[4]2.报价结算清单'!$P$2:$P$578)</f>
        <v>#VALUE!</v>
      </c>
    </row>
    <row r="481" spans="1:9">
      <c r="A481" s="7" t="s">
        <v>3092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SUMIF('[4]2.报价结算清单'!$F$2:$F$578,$A481,'[4]2.报价结算清单'!$L$2:$L$578)</f>
        <v>#VALUE!</v>
      </c>
      <c r="H481" s="13" t="e">
        <f>SUMIF('[4]2.报价结算清单'!$F$2:$F$578,$A481,'[4]2.报价结算清单'!$N$2:$N$578)</f>
        <v>#VALUE!</v>
      </c>
      <c r="I481" s="15" t="e">
        <f>SUMIF('[4]2.报价结算清单'!$F$2:$F$578,A481,'[4]2.报价结算清单'!$P$2:$P$578)</f>
        <v>#VALUE!</v>
      </c>
    </row>
    <row r="482" spans="1:9">
      <c r="A482" s="7" t="s">
        <v>3093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SUMIF('[4]2.报价结算清单'!$F$2:$F$578,$A482,'[4]2.报价结算清单'!$L$2:$L$578)</f>
        <v>#VALUE!</v>
      </c>
      <c r="H482" s="13" t="e">
        <f>SUMIF('[4]2.报价结算清单'!$F$2:$F$578,$A482,'[4]2.报价结算清单'!$N$2:$N$578)</f>
        <v>#VALUE!</v>
      </c>
      <c r="I482" s="15" t="e">
        <f>SUMIF('[4]2.报价结算清单'!$F$2:$F$578,A482,'[4]2.报价结算清单'!$P$2:$P$578)</f>
        <v>#VALUE!</v>
      </c>
    </row>
    <row r="483" spans="1:9">
      <c r="A483" s="7" t="s">
        <v>3094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SUMIF('[4]2.报价结算清单'!$F$2:$F$578,$A483,'[4]2.报价结算清单'!$L$2:$L$578)</f>
        <v>#VALUE!</v>
      </c>
      <c r="H483" s="13" t="e">
        <f>SUMIF('[4]2.报价结算清单'!$F$2:$F$578,$A483,'[4]2.报价结算清单'!$N$2:$N$578)</f>
        <v>#VALUE!</v>
      </c>
      <c r="I483" s="15" t="e">
        <f>SUMIF('[4]2.报价结算清单'!$F$2:$F$578,A483,'[4]2.报价结算清单'!$P$2:$P$578)</f>
        <v>#VALUE!</v>
      </c>
    </row>
    <row r="484" spans="1:9" ht="24.75">
      <c r="A484" s="7" t="s">
        <v>3095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SUMIF('[4]2.报价结算清单'!$F$2:$F$578,$A484,'[4]2.报价结算清单'!$L$2:$L$578)</f>
        <v>#VALUE!</v>
      </c>
      <c r="H484" s="13" t="e">
        <f>SUMIF('[4]2.报价结算清单'!$F$2:$F$578,$A484,'[4]2.报价结算清单'!$N$2:$N$578)</f>
        <v>#VALUE!</v>
      </c>
      <c r="I484" s="15" t="e">
        <f>SUMIF('[4]2.报价结算清单'!$F$2:$F$578,A484,'[4]2.报价结算清单'!$P$2:$P$578)</f>
        <v>#VALUE!</v>
      </c>
    </row>
    <row r="485" spans="1:9" ht="24.75">
      <c r="A485" s="7" t="s">
        <v>3096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SUMIF('[4]2.报价结算清单'!$F$2:$F$578,$A485,'[4]2.报价结算清单'!$L$2:$L$578)</f>
        <v>#VALUE!</v>
      </c>
      <c r="H485" s="13" t="e">
        <f>SUMIF('[4]2.报价结算清单'!$F$2:$F$578,$A485,'[4]2.报价结算清单'!$N$2:$N$578)</f>
        <v>#VALUE!</v>
      </c>
      <c r="I485" s="15" t="e">
        <f>SUMIF('[4]2.报价结算清单'!$F$2:$F$578,A485,'[4]2.报价结算清单'!$P$2:$P$578)</f>
        <v>#VALUE!</v>
      </c>
    </row>
    <row r="486" spans="1:9">
      <c r="A486" s="7" t="s">
        <v>3097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SUMIF('[4]2.报价结算清单'!$F$2:$F$578,$A486,'[4]2.报价结算清单'!$L$2:$L$578)</f>
        <v>#VALUE!</v>
      </c>
      <c r="H486" s="13" t="e">
        <f>SUMIF('[4]2.报价结算清单'!$F$2:$F$578,$A486,'[4]2.报价结算清单'!$N$2:$N$578)</f>
        <v>#VALUE!</v>
      </c>
      <c r="I486" s="15" t="e">
        <f>SUMIF('[4]2.报价结算清单'!$F$2:$F$578,A486,'[4]2.报价结算清单'!$P$2:$P$578)</f>
        <v>#VALUE!</v>
      </c>
    </row>
    <row r="487" spans="1:9">
      <c r="A487" s="7" t="s">
        <v>3098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SUMIF('[4]2.报价结算清单'!$F$2:$F$578,$A487,'[4]2.报价结算清单'!$L$2:$L$578)</f>
        <v>#VALUE!</v>
      </c>
      <c r="H487" s="13" t="e">
        <f>SUMIF('[4]2.报价结算清单'!$F$2:$F$578,$A487,'[4]2.报价结算清单'!$N$2:$N$578)</f>
        <v>#VALUE!</v>
      </c>
      <c r="I487" s="15" t="e">
        <f>SUMIF('[4]2.报价结算清单'!$F$2:$F$578,A487,'[4]2.报价结算清单'!$P$2:$P$578)</f>
        <v>#VALUE!</v>
      </c>
    </row>
    <row r="488" spans="1:9">
      <c r="A488" s="7" t="s">
        <v>3099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SUMIF('[4]2.报价结算清单'!$F$2:$F$578,$A488,'[4]2.报价结算清单'!$L$2:$L$578)</f>
        <v>#VALUE!</v>
      </c>
      <c r="H488" s="13" t="e">
        <f>SUMIF('[4]2.报价结算清单'!$F$2:$F$578,$A488,'[4]2.报价结算清单'!$N$2:$N$578)</f>
        <v>#VALUE!</v>
      </c>
      <c r="I488" s="15" t="e">
        <f>SUMIF('[4]2.报价结算清单'!$F$2:$F$578,A488,'[4]2.报价结算清单'!$P$2:$P$578)</f>
        <v>#VALUE!</v>
      </c>
    </row>
    <row r="489" spans="1:9">
      <c r="A489" s="7" t="s">
        <v>3100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SUMIF('[4]2.报价结算清单'!$F$2:$F$578,$A489,'[4]2.报价结算清单'!$L$2:$L$578)</f>
        <v>#VALUE!</v>
      </c>
      <c r="H489" s="13" t="e">
        <f>SUMIF('[4]2.报价结算清单'!$F$2:$F$578,$A489,'[4]2.报价结算清单'!$N$2:$N$578)</f>
        <v>#VALUE!</v>
      </c>
      <c r="I489" s="15" t="e">
        <f>SUMIF('[4]2.报价结算清单'!$F$2:$F$578,A489,'[4]2.报价结算清单'!$P$2:$P$578)</f>
        <v>#VALUE!</v>
      </c>
    </row>
    <row r="490" spans="1:9" ht="24.75">
      <c r="A490" s="7" t="s">
        <v>3101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SUMIF('[4]2.报价结算清单'!$F$2:$F$578,$A490,'[4]2.报价结算清单'!$L$2:$L$578)</f>
        <v>#VALUE!</v>
      </c>
      <c r="H490" s="13" t="e">
        <f>SUMIF('[4]2.报价结算清单'!$F$2:$F$578,$A490,'[4]2.报价结算清单'!$N$2:$N$578)</f>
        <v>#VALUE!</v>
      </c>
      <c r="I490" s="15" t="e">
        <f>SUMIF('[4]2.报价结算清单'!$F$2:$F$578,A490,'[4]2.报价结算清单'!$P$2:$P$578)</f>
        <v>#VALUE!</v>
      </c>
    </row>
    <row r="491" spans="1:9">
      <c r="A491" s="7" t="s">
        <v>3102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SUMIF('[4]2.报价结算清单'!$F$2:$F$578,$A491,'[4]2.报价结算清单'!$L$2:$L$578)</f>
        <v>#VALUE!</v>
      </c>
      <c r="H491" s="13" t="e">
        <f>SUMIF('[4]2.报价结算清单'!$F$2:$F$578,$A491,'[4]2.报价结算清单'!$N$2:$N$578)</f>
        <v>#VALUE!</v>
      </c>
      <c r="I491" s="15" t="e">
        <f>SUMIF('[4]2.报价结算清单'!$F$2:$F$578,A491,'[4]2.报价结算清单'!$P$2:$P$578)</f>
        <v>#VALUE!</v>
      </c>
    </row>
    <row r="492" spans="1:9" ht="24.75">
      <c r="A492" s="7" t="s">
        <v>3103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SUMIF('[4]2.报价结算清单'!$F$2:$F$578,$A492,'[4]2.报价结算清单'!$L$2:$L$578)</f>
        <v>#VALUE!</v>
      </c>
      <c r="H492" s="13" t="e">
        <f>SUMIF('[4]2.报价结算清单'!$F$2:$F$578,$A492,'[4]2.报价结算清单'!$N$2:$N$578)</f>
        <v>#VALUE!</v>
      </c>
      <c r="I492" s="15" t="e">
        <f>SUMIF('[4]2.报价结算清单'!$F$2:$F$578,A492,'[4]2.报价结算清单'!$P$2:$P$578)</f>
        <v>#VALUE!</v>
      </c>
    </row>
    <row r="493" spans="1:9" ht="24.75">
      <c r="A493" s="7" t="s">
        <v>3104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SUMIF('[4]2.报价结算清单'!$F$2:$F$578,$A493,'[4]2.报价结算清单'!$L$2:$L$578)</f>
        <v>#VALUE!</v>
      </c>
      <c r="H493" s="13" t="e">
        <f>SUMIF('[4]2.报价结算清单'!$F$2:$F$578,$A493,'[4]2.报价结算清单'!$N$2:$N$578)</f>
        <v>#VALUE!</v>
      </c>
      <c r="I493" s="15" t="e">
        <f>SUMIF('[4]2.报价结算清单'!$F$2:$F$578,A493,'[4]2.报价结算清单'!$P$2:$P$578)</f>
        <v>#VALUE!</v>
      </c>
    </row>
    <row r="494" spans="1:9">
      <c r="A494" s="7" t="s">
        <v>3105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SUMIF('[4]2.报价结算清单'!$F$2:$F$578,$A494,'[4]2.报价结算清单'!$L$2:$L$578)</f>
        <v>#VALUE!</v>
      </c>
      <c r="H494" s="13" t="e">
        <f>SUMIF('[4]2.报价结算清单'!$F$2:$F$578,$A494,'[4]2.报价结算清单'!$N$2:$N$578)</f>
        <v>#VALUE!</v>
      </c>
      <c r="I494" s="15" t="e">
        <f>SUMIF('[4]2.报价结算清单'!$F$2:$F$578,A494,'[4]2.报价结算清单'!$P$2:$P$578)</f>
        <v>#VALUE!</v>
      </c>
    </row>
    <row r="495" spans="1:9" ht="24.75">
      <c r="A495" s="7" t="s">
        <v>3106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SUMIF('[4]2.报价结算清单'!$F$2:$F$578,$A495,'[4]2.报价结算清单'!$L$2:$L$578)</f>
        <v>#VALUE!</v>
      </c>
      <c r="H495" s="13" t="e">
        <f>SUMIF('[4]2.报价结算清单'!$F$2:$F$578,$A495,'[4]2.报价结算清单'!$N$2:$N$578)</f>
        <v>#VALUE!</v>
      </c>
      <c r="I495" s="15" t="e">
        <f>SUMIF('[4]2.报价结算清单'!$F$2:$F$578,A495,'[4]2.报价结算清单'!$P$2:$P$578)</f>
        <v>#VALUE!</v>
      </c>
    </row>
    <row r="496" spans="1:9">
      <c r="A496" s="7" t="s">
        <v>3107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SUMIF('[4]2.报价结算清单'!$F$2:$F$578,$A496,'[4]2.报价结算清单'!$L$2:$L$578)</f>
        <v>#VALUE!</v>
      </c>
      <c r="H496" s="13" t="e">
        <f>SUMIF('[4]2.报价结算清单'!$F$2:$F$578,$A496,'[4]2.报价结算清单'!$N$2:$N$578)</f>
        <v>#VALUE!</v>
      </c>
      <c r="I496" s="15" t="e">
        <f>SUMIF('[4]2.报价结算清单'!$F$2:$F$578,A496,'[4]2.报价结算清单'!$P$2:$P$578)</f>
        <v>#VALUE!</v>
      </c>
    </row>
    <row r="497" spans="1:9" ht="24.75">
      <c r="A497" s="7" t="s">
        <v>3108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SUMIF('[4]2.报价结算清单'!$F$2:$F$578,$A497,'[4]2.报价结算清单'!$L$2:$L$578)</f>
        <v>#VALUE!</v>
      </c>
      <c r="H497" s="13" t="e">
        <f>SUMIF('[4]2.报价结算清单'!$F$2:$F$578,$A497,'[4]2.报价结算清单'!$N$2:$N$578)</f>
        <v>#VALUE!</v>
      </c>
      <c r="I497" s="15" t="e">
        <f>SUMIF('[4]2.报价结算清单'!$F$2:$F$578,A497,'[4]2.报价结算清单'!$P$2:$P$578)</f>
        <v>#VALUE!</v>
      </c>
    </row>
    <row r="498" spans="1:9">
      <c r="A498" s="7" t="s">
        <v>3109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SUMIF('[4]2.报价结算清单'!$F$2:$F$578,$A498,'[4]2.报价结算清单'!$L$2:$L$578)</f>
        <v>#VALUE!</v>
      </c>
      <c r="H498" s="13" t="e">
        <f>SUMIF('[4]2.报价结算清单'!$F$2:$F$578,$A498,'[4]2.报价结算清单'!$N$2:$N$578)</f>
        <v>#VALUE!</v>
      </c>
      <c r="I498" s="15" t="e">
        <f>SUMIF('[4]2.报价结算清单'!$F$2:$F$578,A498,'[4]2.报价结算清单'!$P$2:$P$578)</f>
        <v>#VALUE!</v>
      </c>
    </row>
    <row r="499" spans="1:9" ht="24.75">
      <c r="A499" s="7" t="s">
        <v>3110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SUMIF('[4]2.报价结算清单'!$F$2:$F$578,$A499,'[4]2.报价结算清单'!$L$2:$L$578)</f>
        <v>#VALUE!</v>
      </c>
      <c r="H499" s="13" t="e">
        <f>SUMIF('[4]2.报价结算清单'!$F$2:$F$578,$A499,'[4]2.报价结算清单'!$N$2:$N$578)</f>
        <v>#VALUE!</v>
      </c>
      <c r="I499" s="15" t="e">
        <f>SUMIF('[4]2.报价结算清单'!$F$2:$F$578,A499,'[4]2.报价结算清单'!$P$2:$P$578)</f>
        <v>#VALUE!</v>
      </c>
    </row>
    <row r="500" spans="1:9">
      <c r="A500" s="7" t="s">
        <v>2445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SUMIF('[4]2.报价结算清单'!$F$2:$F$578,$A500,'[4]2.报价结算清单'!$L$2:$L$578)</f>
        <v>#VALUE!</v>
      </c>
      <c r="H500" s="13" t="e">
        <f>SUMIF('[4]2.报价结算清单'!$F$2:$F$578,$A500,'[4]2.报价结算清单'!$N$2:$N$578)</f>
        <v>#VALUE!</v>
      </c>
      <c r="I500" s="15" t="e">
        <f>SUMIF('[4]2.报价结算清单'!$F$2:$F$578,A500,'[4]2.报价结算清单'!$P$2:$P$578)</f>
        <v>#VALUE!</v>
      </c>
    </row>
    <row r="501" spans="1:9">
      <c r="A501" s="7" t="s">
        <v>2447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SUMIF('[4]2.报价结算清单'!$F$2:$F$578,$A501,'[4]2.报价结算清单'!$L$2:$L$578)</f>
        <v>#VALUE!</v>
      </c>
      <c r="H501" s="13" t="e">
        <f>SUMIF('[4]2.报价结算清单'!$F$2:$F$578,$A501,'[4]2.报价结算清单'!$N$2:$N$578)</f>
        <v>#VALUE!</v>
      </c>
      <c r="I501" s="15" t="e">
        <f>SUMIF('[4]2.报价结算清单'!$F$2:$F$578,A501,'[4]2.报价结算清单'!$P$2:$P$578)</f>
        <v>#VALUE!</v>
      </c>
    </row>
    <row r="502" spans="1:9">
      <c r="A502" s="7" t="s">
        <v>2449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SUMIF('[4]2.报价结算清单'!$F$2:$F$578,$A502,'[4]2.报价结算清单'!$L$2:$L$578)</f>
        <v>#VALUE!</v>
      </c>
      <c r="H502" s="13" t="e">
        <f>SUMIF('[4]2.报价结算清单'!$F$2:$F$578,$A502,'[4]2.报价结算清单'!$N$2:$N$578)</f>
        <v>#VALUE!</v>
      </c>
      <c r="I502" s="15" t="e">
        <f>SUMIF('[4]2.报价结算清单'!$F$2:$F$578,A502,'[4]2.报价结算清单'!$P$2:$P$578)</f>
        <v>#VALUE!</v>
      </c>
    </row>
    <row r="503" spans="1:9">
      <c r="A503" s="7" t="s">
        <v>3111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SUMIF('[4]2.报价结算清单'!$F$2:$F$578,$A503,'[4]2.报价结算清单'!$L$2:$L$578)</f>
        <v>#VALUE!</v>
      </c>
      <c r="H503" s="13" t="e">
        <f>SUMIF('[4]2.报价结算清单'!$F$2:$F$578,$A503,'[4]2.报价结算清单'!$N$2:$N$578)</f>
        <v>#VALUE!</v>
      </c>
      <c r="I503" s="15" t="e">
        <f>SUMIF('[4]2.报价结算清单'!$F$2:$F$578,A503,'[4]2.报价结算清单'!$P$2:$P$578)</f>
        <v>#VALUE!</v>
      </c>
    </row>
    <row r="504" spans="1:9" ht="37.15">
      <c r="A504" s="7" t="s">
        <v>3112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SUMIF('[4]2.报价结算清单'!$F$2:$F$578,$A504,'[4]2.报价结算清单'!$L$2:$L$578)</f>
        <v>#VALUE!</v>
      </c>
      <c r="H504" s="13" t="e">
        <f>SUMIF('[4]2.报价结算清单'!$F$2:$F$578,$A504,'[4]2.报价结算清单'!$N$2:$N$578)</f>
        <v>#VALUE!</v>
      </c>
      <c r="I504" s="15" t="e">
        <f>SUMIF('[4]2.报价结算清单'!$F$2:$F$578,A504,'[4]2.报价结算清单'!$P$2:$P$578)</f>
        <v>#VALUE!</v>
      </c>
    </row>
    <row r="505" spans="1:9" ht="24.75">
      <c r="A505" s="7" t="s">
        <v>3113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SUMIF('[4]2.报价结算清单'!$F$2:$F$578,$A505,'[4]2.报价结算清单'!$L$2:$L$578)</f>
        <v>#VALUE!</v>
      </c>
      <c r="H505" s="13" t="e">
        <f>SUMIF('[4]2.报价结算清单'!$F$2:$F$578,$A505,'[4]2.报价结算清单'!$N$2:$N$578)</f>
        <v>#VALUE!</v>
      </c>
      <c r="I505" s="15" t="e">
        <f>SUMIF('[4]2.报价结算清单'!$F$2:$F$578,A505,'[4]2.报价结算清单'!$P$2:$P$578)</f>
        <v>#VALUE!</v>
      </c>
    </row>
    <row r="506" spans="1:9" ht="24.75">
      <c r="A506" s="7" t="s">
        <v>3114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SUMIF('[4]2.报价结算清单'!$F$2:$F$578,$A506,'[4]2.报价结算清单'!$L$2:$L$578)</f>
        <v>#VALUE!</v>
      </c>
      <c r="H506" s="13" t="e">
        <f>SUMIF('[4]2.报价结算清单'!$F$2:$F$578,$A506,'[4]2.报价结算清单'!$N$2:$N$578)</f>
        <v>#VALUE!</v>
      </c>
      <c r="I506" s="15" t="e">
        <f>SUMIF('[4]2.报价结算清单'!$F$2:$F$578,A506,'[4]2.报价结算清单'!$P$2:$P$578)</f>
        <v>#VALUE!</v>
      </c>
    </row>
    <row r="507" spans="1:9" ht="24.75">
      <c r="A507" s="7" t="s">
        <v>3115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SUMIF('[4]2.报价结算清单'!$F$2:$F$578,$A507,'[4]2.报价结算清单'!$L$2:$L$578)</f>
        <v>#VALUE!</v>
      </c>
      <c r="H507" s="13" t="e">
        <f>SUMIF('[4]2.报价结算清单'!$F$2:$F$578,$A507,'[4]2.报价结算清单'!$N$2:$N$578)</f>
        <v>#VALUE!</v>
      </c>
      <c r="I507" s="15" t="e">
        <f>SUMIF('[4]2.报价结算清单'!$F$2:$F$578,A507,'[4]2.报价结算清单'!$P$2:$P$578)</f>
        <v>#VALUE!</v>
      </c>
    </row>
    <row r="508" spans="1:9">
      <c r="A508" s="7" t="s">
        <v>2495</v>
      </c>
      <c r="B508" s="8" t="s">
        <v>1809</v>
      </c>
      <c r="C508" s="8" t="s">
        <v>2493</v>
      </c>
      <c r="D508" s="9" t="s">
        <v>1810</v>
      </c>
      <c r="E508" s="8" t="s">
        <v>85</v>
      </c>
      <c r="F508" s="12">
        <v>1060</v>
      </c>
      <c r="G508" s="13" t="e">
        <f>SUMIF('[4]2.报价结算清单'!$F$2:$F$578,$A508,'[4]2.报价结算清单'!$L$2:$L$578)</f>
        <v>#VALUE!</v>
      </c>
      <c r="H508" s="13" t="e">
        <f>SUMIF('[4]2.报价结算清单'!$F$2:$F$578,$A508,'[4]2.报价结算清单'!$N$2:$N$578)</f>
        <v>#VALUE!</v>
      </c>
      <c r="I508" s="15" t="e">
        <f>SUMIF('[4]2.报价结算清单'!$F$2:$F$578,A508,'[4]2.报价结算清单'!$P$2:$P$578)</f>
        <v>#VALUE!</v>
      </c>
    </row>
    <row r="509" spans="1:9">
      <c r="A509" s="7" t="s">
        <v>2497</v>
      </c>
      <c r="B509" s="8" t="s">
        <v>1672</v>
      </c>
      <c r="C509" s="8" t="s">
        <v>2493</v>
      </c>
      <c r="D509" s="9" t="s">
        <v>1673</v>
      </c>
      <c r="E509" s="8" t="s">
        <v>85</v>
      </c>
      <c r="F509" s="12">
        <v>848</v>
      </c>
      <c r="G509" s="13" t="e">
        <f>SUMIF('[4]2.报价结算清单'!$F$2:$F$578,$A509,'[4]2.报价结算清单'!$L$2:$L$578)</f>
        <v>#VALUE!</v>
      </c>
      <c r="H509" s="13" t="e">
        <f>SUMIF('[4]2.报价结算清单'!$F$2:$F$578,$A509,'[4]2.报价结算清单'!$N$2:$N$578)</f>
        <v>#VALUE!</v>
      </c>
      <c r="I509" s="15" t="e">
        <f>SUMIF('[4]2.报价结算清单'!$F$2:$F$578,A509,'[4]2.报价结算清单'!$P$2:$P$578)</f>
        <v>#VALUE!</v>
      </c>
    </row>
    <row r="510" spans="1:9">
      <c r="A510" s="7" t="s">
        <v>2499</v>
      </c>
      <c r="B510" s="8" t="s">
        <v>848</v>
      </c>
      <c r="C510" s="8" t="s">
        <v>2493</v>
      </c>
      <c r="D510" s="9" t="s">
        <v>849</v>
      </c>
      <c r="E510" s="8" t="s">
        <v>85</v>
      </c>
      <c r="F510" s="12">
        <v>530</v>
      </c>
      <c r="G510" s="13" t="e">
        <f>SUMIF('[4]2.报价结算清单'!$F$2:$F$578,$A510,'[4]2.报价结算清单'!$L$2:$L$578)</f>
        <v>#VALUE!</v>
      </c>
      <c r="H510" s="13" t="e">
        <f>SUMIF('[4]2.报价结算清单'!$F$2:$F$578,$A510,'[4]2.报价结算清单'!$N$2:$N$578)</f>
        <v>#VALUE!</v>
      </c>
      <c r="I510" s="15" t="e">
        <f>SUMIF('[4]2.报价结算清单'!$F$2:$F$578,A510,'[4]2.报价结算清单'!$P$2:$P$578)</f>
        <v>#VALUE!</v>
      </c>
    </row>
    <row r="511" spans="1:9">
      <c r="A511" s="7" t="s">
        <v>2501</v>
      </c>
      <c r="B511" s="8" t="s">
        <v>784</v>
      </c>
      <c r="C511" s="8" t="s">
        <v>2493</v>
      </c>
      <c r="D511" s="9" t="s">
        <v>785</v>
      </c>
      <c r="E511" s="8" t="s">
        <v>85</v>
      </c>
      <c r="F511" s="12">
        <v>530</v>
      </c>
      <c r="G511" s="13" t="e">
        <f>SUMIF('[4]2.报价结算清单'!$F$2:$F$578,$A511,'[4]2.报价结算清单'!$L$2:$L$578)</f>
        <v>#VALUE!</v>
      </c>
      <c r="H511" s="13" t="e">
        <f>SUMIF('[4]2.报价结算清单'!$F$2:$F$578,$A511,'[4]2.报价结算清单'!$N$2:$N$578)</f>
        <v>#VALUE!</v>
      </c>
      <c r="I511" s="15" t="e">
        <f>SUMIF('[4]2.报价结算清单'!$F$2:$F$578,A511,'[4]2.报价结算清单'!$P$2:$P$578)</f>
        <v>#VALUE!</v>
      </c>
    </row>
    <row r="512" spans="1:9">
      <c r="A512" s="7" t="s">
        <v>3116</v>
      </c>
      <c r="B512" s="8" t="s">
        <v>1297</v>
      </c>
      <c r="C512" s="8" t="s">
        <v>2493</v>
      </c>
      <c r="D512" s="9" t="s">
        <v>1298</v>
      </c>
      <c r="E512" s="8" t="s">
        <v>85</v>
      </c>
      <c r="F512" s="12">
        <v>671.33</v>
      </c>
      <c r="G512" s="13" t="e">
        <f>SUMIF('[4]2.报价结算清单'!$F$2:$F$578,$A512,'[4]2.报价结算清单'!$L$2:$L$578)</f>
        <v>#VALUE!</v>
      </c>
      <c r="H512" s="13" t="e">
        <f>SUMIF('[4]2.报价结算清单'!$F$2:$F$578,$A512,'[4]2.报价结算清单'!$N$2:$N$578)</f>
        <v>#VALUE!</v>
      </c>
      <c r="I512" s="15" t="e">
        <f>SUMIF('[4]2.报价结算清单'!$F$2:$F$578,A512,'[4]2.报价结算清单'!$P$2:$P$578)</f>
        <v>#VALUE!</v>
      </c>
    </row>
    <row r="513" spans="1:9">
      <c r="A513" s="7" t="s">
        <v>3117</v>
      </c>
      <c r="B513" s="8" t="s">
        <v>1061</v>
      </c>
      <c r="C513" s="8" t="s">
        <v>2493</v>
      </c>
      <c r="D513" s="9" t="s">
        <v>1062</v>
      </c>
      <c r="E513" s="8" t="s">
        <v>85</v>
      </c>
      <c r="F513" s="12">
        <v>989.33</v>
      </c>
      <c r="G513" s="13" t="e">
        <f>SUMIF('[4]2.报价结算清单'!$F$2:$F$578,$A513,'[4]2.报价结算清单'!$L$2:$L$578)</f>
        <v>#VALUE!</v>
      </c>
      <c r="H513" s="13" t="e">
        <f>SUMIF('[4]2.报价结算清单'!$F$2:$F$578,$A513,'[4]2.报价结算清单'!$N$2:$N$578)</f>
        <v>#VALUE!</v>
      </c>
      <c r="I513" s="15" t="e">
        <f>SUMIF('[4]2.报价结算清单'!$F$2:$F$578,A513,'[4]2.报价结算清单'!$P$2:$P$578)</f>
        <v>#VALUE!</v>
      </c>
    </row>
    <row r="514" spans="1:9">
      <c r="A514" s="7" t="s">
        <v>3118</v>
      </c>
      <c r="B514" s="8" t="s">
        <v>83</v>
      </c>
      <c r="C514" s="8" t="s">
        <v>2493</v>
      </c>
      <c r="D514" s="9" t="s">
        <v>84</v>
      </c>
      <c r="E514" s="8" t="s">
        <v>85</v>
      </c>
      <c r="F514" s="12">
        <v>1060</v>
      </c>
      <c r="G514" s="13" t="e">
        <f>SUMIF('[4]2.报价结算清单'!$F$2:$F$578,$A514,'[4]2.报价结算清单'!$L$2:$L$578)</f>
        <v>#VALUE!</v>
      </c>
      <c r="H514" s="13" t="e">
        <f>SUMIF('[4]2.报价结算清单'!$F$2:$F$578,$A514,'[4]2.报价结算清单'!$N$2:$N$578)</f>
        <v>#VALUE!</v>
      </c>
      <c r="I514" s="15" t="e">
        <f>SUMIF('[4]2.报价结算清单'!$F$2:$F$578,A514,'[4]2.报价结算清单'!$P$2:$P$578)</f>
        <v>#VALUE!</v>
      </c>
    </row>
    <row r="515" spans="1:9">
      <c r="A515" s="7" t="s">
        <v>3119</v>
      </c>
      <c r="B515" s="8" t="s">
        <v>415</v>
      </c>
      <c r="C515" s="8" t="s">
        <v>2493</v>
      </c>
      <c r="D515" s="9" t="s">
        <v>416</v>
      </c>
      <c r="E515" s="8" t="s">
        <v>85</v>
      </c>
      <c r="F515" s="12">
        <v>1590</v>
      </c>
      <c r="G515" s="13" t="e">
        <f>SUMIF('[4]2.报价结算清单'!$F$2:$F$578,$A515,'[4]2.报价结算清单'!$L$2:$L$578)</f>
        <v>#VALUE!</v>
      </c>
      <c r="H515" s="13" t="e">
        <f>SUMIF('[4]2.报价结算清单'!$F$2:$F$578,$A515,'[4]2.报价结算清单'!$N$2:$N$578)</f>
        <v>#VALUE!</v>
      </c>
      <c r="I515" s="15" t="e">
        <f>SUMIF('[4]2.报价结算清单'!$F$2:$F$578,A515,'[4]2.报价结算清单'!$P$2:$P$578)</f>
        <v>#VALUE!</v>
      </c>
    </row>
    <row r="516" spans="1:9">
      <c r="A516" s="7" t="s">
        <v>3120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SUMIF('[4]2.报价结算清单'!$F$2:$F$578,$A516,'[4]2.报价结算清单'!$L$2:$L$578)</f>
        <v>#VALUE!</v>
      </c>
      <c r="H516" s="13" t="e">
        <f>SUMIF('[4]2.报价结算清单'!$F$2:$F$578,$A516,'[4]2.报价结算清单'!$N$2:$N$578)</f>
        <v>#VALUE!</v>
      </c>
      <c r="I516" s="15" t="e">
        <f>SUMIF('[4]2.报价结算清单'!$F$2:$F$578,A516,'[4]2.报价结算清单'!$P$2:$P$578)</f>
        <v>#VALUE!</v>
      </c>
    </row>
    <row r="517" spans="1:9" ht="24.75">
      <c r="A517" s="7" t="s">
        <v>3121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SUMIF('[4]2.报价结算清单'!$F$2:$F$578,$A517,'[4]2.报价结算清单'!$L$2:$L$578)</f>
        <v>#VALUE!</v>
      </c>
      <c r="H517" s="13" t="e">
        <f>SUMIF('[4]2.报价结算清单'!$F$2:$F$578,$A517,'[4]2.报价结算清单'!$N$2:$N$578)</f>
        <v>#VALUE!</v>
      </c>
      <c r="I517" s="15" t="e">
        <f>SUMIF('[4]2.报价结算清单'!$F$2:$F$578,A517,'[4]2.报价结算清单'!$P$2:$P$578)</f>
        <v>#VALUE!</v>
      </c>
    </row>
    <row r="518" spans="1:9">
      <c r="A518" s="7" t="s">
        <v>2558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SUMIF('[4]2.报价结算清单'!$F$2:$F$578,$A518,'[4]2.报价结算清单'!$L$2:$L$578)</f>
        <v>#VALUE!</v>
      </c>
      <c r="H518" s="13" t="e">
        <f>SUMIF('[4]2.报价结算清单'!$F$2:$F$578,$A518,'[4]2.报价结算清单'!$N$2:$N$578)</f>
        <v>#VALUE!</v>
      </c>
      <c r="I518" s="15" t="e">
        <f>SUMIF('[4]2.报价结算清单'!$F$2:$F$578,A518,'[4]2.报价结算清单'!$P$2:$P$578)</f>
        <v>#VALUE!</v>
      </c>
    </row>
    <row r="519" spans="1:9">
      <c r="A519" s="7" t="s">
        <v>2561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SUMIF('[4]2.报价结算清单'!$F$2:$F$578,$A519,'[4]2.报价结算清单'!$L$2:$L$578)</f>
        <v>#VALUE!</v>
      </c>
      <c r="H519" s="13" t="e">
        <f>SUMIF('[4]2.报价结算清单'!$F$2:$F$578,$A519,'[4]2.报价结算清单'!$N$2:$N$578)</f>
        <v>#VALUE!</v>
      </c>
      <c r="I519" s="15" t="e">
        <f>SUMIF('[4]2.报价结算清单'!$F$2:$F$578,A519,'[4]2.报价结算清单'!$P$2:$P$578)</f>
        <v>#VALUE!</v>
      </c>
    </row>
    <row r="520" spans="1:9">
      <c r="A520" s="7" t="s">
        <v>2562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SUMIF('[4]2.报价结算清单'!$F$2:$F$578,$A520,'[4]2.报价结算清单'!$L$2:$L$578)</f>
        <v>#VALUE!</v>
      </c>
      <c r="H520" s="13" t="e">
        <f>SUMIF('[4]2.报价结算清单'!$F$2:$F$578,$A520,'[4]2.报价结算清单'!$N$2:$N$578)</f>
        <v>#VALUE!</v>
      </c>
      <c r="I520" s="15" t="e">
        <f>SUMIF('[4]2.报价结算清单'!$F$2:$F$578,A520,'[4]2.报价结算清单'!$P$2:$P$578)</f>
        <v>#VALUE!</v>
      </c>
    </row>
    <row r="521" spans="1:9">
      <c r="A521" s="7" t="s">
        <v>3122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SUMIF('[4]2.报价结算清单'!$F$2:$F$578,$A521,'[4]2.报价结算清单'!$L$2:$L$578)</f>
        <v>#VALUE!</v>
      </c>
      <c r="H521" s="13" t="e">
        <f>SUMIF('[4]2.报价结算清单'!$F$2:$F$578,$A521,'[4]2.报价结算清单'!$N$2:$N$578)</f>
        <v>#VALUE!</v>
      </c>
      <c r="I521" s="15" t="e">
        <f>SUMIF('[4]2.报价结算清单'!$F$2:$F$578,A521,'[4]2.报价结算清单'!$P$2:$P$578)</f>
        <v>#VALUE!</v>
      </c>
    </row>
    <row r="522" spans="1:9">
      <c r="A522" s="7" t="s">
        <v>3123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SUMIF('[4]2.报价结算清单'!$F$2:$F$578,$A522,'[4]2.报价结算清单'!$L$2:$L$578)</f>
        <v>#VALUE!</v>
      </c>
      <c r="H522" s="13" t="e">
        <f>SUMIF('[4]2.报价结算清单'!$F$2:$F$578,$A522,'[4]2.报价结算清单'!$N$2:$N$578)</f>
        <v>#VALUE!</v>
      </c>
      <c r="I522" s="15" t="e">
        <f>SUMIF('[4]2.报价结算清单'!$F$2:$F$578,A522,'[4]2.报价结算清单'!$P$2:$P$578)</f>
        <v>#VALUE!</v>
      </c>
    </row>
    <row r="523" spans="1:9">
      <c r="A523" s="7" t="s">
        <v>3124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SUMIF('[4]2.报价结算清单'!$F$2:$F$578,$A523,'[4]2.报价结算清单'!$L$2:$L$578)</f>
        <v>#VALUE!</v>
      </c>
      <c r="H523" s="13" t="e">
        <f>SUMIF('[4]2.报价结算清单'!$F$2:$F$578,$A523,'[4]2.报价结算清单'!$N$2:$N$578)</f>
        <v>#VALUE!</v>
      </c>
      <c r="I523" s="15" t="e">
        <f>SUMIF('[4]2.报价结算清单'!$F$2:$F$578,A523,'[4]2.报价结算清单'!$P$2:$P$578)</f>
        <v>#VALUE!</v>
      </c>
    </row>
    <row r="524" spans="1:9">
      <c r="A524" s="7" t="s">
        <v>3125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SUMIF('[4]2.报价结算清单'!$F$2:$F$578,$A524,'[4]2.报价结算清单'!$L$2:$L$578)</f>
        <v>#VALUE!</v>
      </c>
      <c r="H524" s="13" t="e">
        <f>SUMIF('[4]2.报价结算清单'!$F$2:$F$578,$A524,'[4]2.报价结算清单'!$N$2:$N$578)</f>
        <v>#VALUE!</v>
      </c>
      <c r="I524" s="15" t="e">
        <f>SUMIF('[4]2.报价结算清单'!$F$2:$F$578,A524,'[4]2.报价结算清单'!$P$2:$P$578)</f>
        <v>#VALUE!</v>
      </c>
    </row>
    <row r="525" spans="1:9">
      <c r="A525" s="7" t="s">
        <v>2557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SUMIF('[4]2.报价结算清单'!$F$2:$F$578,$A525,'[4]2.报价结算清单'!$L$2:$L$578)</f>
        <v>#VALUE!</v>
      </c>
      <c r="H525" s="13" t="e">
        <f>SUMIF('[4]2.报价结算清单'!$F$2:$F$578,$A525,'[4]2.报价结算清单'!$N$2:$N$578)</f>
        <v>#VALUE!</v>
      </c>
      <c r="I525" s="15" t="e">
        <f>SUMIF('[4]2.报价结算清单'!$F$2:$F$578,A525,'[4]2.报价结算清单'!$P$2:$P$578)</f>
        <v>#VALUE!</v>
      </c>
    </row>
    <row r="526" spans="1:9">
      <c r="A526" s="7" t="s">
        <v>3126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SUMIF('[4]2.报价结算清单'!$F$2:$F$578,$A526,'[4]2.报价结算清单'!$L$2:$L$578)</f>
        <v>#VALUE!</v>
      </c>
      <c r="H526" s="13" t="e">
        <f>SUMIF('[4]2.报价结算清单'!$F$2:$F$578,$A526,'[4]2.报价结算清单'!$N$2:$N$578)</f>
        <v>#VALUE!</v>
      </c>
      <c r="I526" s="15" t="e">
        <f>SUMIF('[4]2.报价结算清单'!$F$2:$F$578,A526,'[4]2.报价结算清单'!$P$2:$P$578)</f>
        <v>#VALUE!</v>
      </c>
    </row>
    <row r="527" spans="1:9">
      <c r="A527" s="7" t="s">
        <v>3127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SUMIF('[4]2.报价结算清单'!$F$2:$F$578,$A527,'[4]2.报价结算清单'!$L$2:$L$578)</f>
        <v>#VALUE!</v>
      </c>
      <c r="H527" s="13" t="e">
        <f>SUMIF('[4]2.报价结算清单'!$F$2:$F$578,$A527,'[4]2.报价结算清单'!$N$2:$N$578)</f>
        <v>#VALUE!</v>
      </c>
      <c r="I527" s="15" t="e">
        <f>SUMIF('[4]2.报价结算清单'!$F$2:$F$578,A527,'[4]2.报价结算清单'!$P$2:$P$578)</f>
        <v>#VALUE!</v>
      </c>
    </row>
    <row r="528" spans="1:9">
      <c r="A528" s="7" t="s">
        <v>2564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SUMIF('[4]2.报价结算清单'!$F$2:$F$578,$A528,'[4]2.报价结算清单'!$L$2:$L$578)</f>
        <v>#VALUE!</v>
      </c>
      <c r="H528" s="13" t="e">
        <f>SUMIF('[4]2.报价结算清单'!$F$2:$F$578,$A528,'[4]2.报价结算清单'!$N$2:$N$578)</f>
        <v>#VALUE!</v>
      </c>
      <c r="I528" s="15" t="e">
        <f>SUMIF('[4]2.报价结算清单'!$F$2:$F$578,A528,'[4]2.报价结算清单'!$P$2:$P$578)</f>
        <v>#VALUE!</v>
      </c>
    </row>
    <row r="529" spans="1:9">
      <c r="A529" s="7" t="s">
        <v>3128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SUMIF('[4]2.报价结算清单'!$F$2:$F$578,$A529,'[4]2.报价结算清单'!$L$2:$L$578)</f>
        <v>#VALUE!</v>
      </c>
      <c r="H529" s="13" t="e">
        <f>SUMIF('[4]2.报价结算清单'!$F$2:$F$578,$A529,'[4]2.报价结算清单'!$N$2:$N$578)</f>
        <v>#VALUE!</v>
      </c>
      <c r="I529" s="15" t="e">
        <f>SUMIF('[4]2.报价结算清单'!$F$2:$F$578,A529,'[4]2.报价结算清单'!$P$2:$P$578)</f>
        <v>#VALUE!</v>
      </c>
    </row>
    <row r="530" spans="1:9">
      <c r="A530" s="7" t="s">
        <v>3129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SUMIF('[4]2.报价结算清单'!$F$2:$F$578,$A530,'[4]2.报价结算清单'!$L$2:$L$578)</f>
        <v>#VALUE!</v>
      </c>
      <c r="H530" s="13" t="e">
        <f>SUMIF('[4]2.报价结算清单'!$F$2:$F$578,$A530,'[4]2.报价结算清单'!$N$2:$N$578)</f>
        <v>#VALUE!</v>
      </c>
      <c r="I530" s="15" t="e">
        <f>SUMIF('[4]2.报价结算清单'!$F$2:$F$578,A530,'[4]2.报价结算清单'!$P$2:$P$578)</f>
        <v>#VALUE!</v>
      </c>
    </row>
    <row r="531" spans="1:9">
      <c r="A531" s="7" t="s">
        <v>3739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SUMIF('[4]2.报价结算清单'!$F$2:$F$578,$A531,'[4]2.报价结算清单'!$L$2:$L$578)</f>
        <v>#VALUE!</v>
      </c>
      <c r="H531" s="13" t="e">
        <f>SUMIF('[4]2.报价结算清单'!$F$2:$F$578,$A531,'[4]2.报价结算清单'!$N$2:$N$578)</f>
        <v>#VALUE!</v>
      </c>
      <c r="I531" s="15" t="e">
        <f>SUMIF('[4]2.报价结算清单'!$F$2:$F$578,A531,'[4]2.报价结算清单'!$P$2:$P$578)</f>
        <v>#VALUE!</v>
      </c>
    </row>
    <row r="532" spans="1:9">
      <c r="A532" s="7" t="s">
        <v>3130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SUMIF('[4]2.报价结算清单'!$F$2:$F$578,$A532,'[4]2.报价结算清单'!$L$2:$L$578)</f>
        <v>#VALUE!</v>
      </c>
      <c r="H532" s="13" t="e">
        <f>SUMIF('[4]2.报价结算清单'!$F$2:$F$578,$A532,'[4]2.报价结算清单'!$N$2:$N$578)</f>
        <v>#VALUE!</v>
      </c>
      <c r="I532" s="15" t="e">
        <f>SUMIF('[4]2.报价结算清单'!$F$2:$F$578,A532,'[4]2.报价结算清单'!$P$2:$P$578)</f>
        <v>#VALUE!</v>
      </c>
    </row>
    <row r="533" spans="1:9">
      <c r="A533" s="7" t="s">
        <v>3131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SUMIF('[4]2.报价结算清单'!$F$2:$F$578,$A533,'[4]2.报价结算清单'!$L$2:$L$578)</f>
        <v>#VALUE!</v>
      </c>
      <c r="H533" s="13" t="e">
        <f>SUMIF('[4]2.报价结算清单'!$F$2:$F$578,$A533,'[4]2.报价结算清单'!$N$2:$N$578)</f>
        <v>#VALUE!</v>
      </c>
      <c r="I533" s="15" t="e">
        <f>SUMIF('[4]2.报价结算清单'!$F$2:$F$578,A533,'[4]2.报价结算清单'!$P$2:$P$578)</f>
        <v>#VALUE!</v>
      </c>
    </row>
    <row r="534" spans="1:9">
      <c r="A534" s="7" t="s">
        <v>3132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SUMIF('[4]2.报价结算清单'!$F$2:$F$578,$A534,'[4]2.报价结算清单'!$L$2:$L$578)</f>
        <v>#VALUE!</v>
      </c>
      <c r="H534" s="13" t="e">
        <f>SUMIF('[4]2.报价结算清单'!$F$2:$F$578,$A534,'[4]2.报价结算清单'!$N$2:$N$578)</f>
        <v>#VALUE!</v>
      </c>
      <c r="I534" s="15" t="e">
        <f>SUMIF('[4]2.报价结算清单'!$F$2:$F$578,A534,'[4]2.报价结算清单'!$P$2:$P$578)</f>
        <v>#VALUE!</v>
      </c>
    </row>
    <row r="535" spans="1:9">
      <c r="A535" s="7" t="s">
        <v>2505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SUMIF('[4]2.报价结算清单'!$F$2:$F$578,$A535,'[4]2.报价结算清单'!$L$2:$L$578)</f>
        <v>#VALUE!</v>
      </c>
      <c r="H535" s="13" t="e">
        <f>SUMIF('[4]2.报价结算清单'!$F$2:$F$578,$A535,'[4]2.报价结算清单'!$N$2:$N$578)</f>
        <v>#VALUE!</v>
      </c>
      <c r="I535" s="15" t="e">
        <f>SUMIF('[4]2.报价结算清单'!$F$2:$F$578,A535,'[4]2.报价结算清单'!$P$2:$P$578)</f>
        <v>#VALUE!</v>
      </c>
    </row>
    <row r="536" spans="1:9">
      <c r="A536" s="7" t="s">
        <v>2506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SUMIF('[4]2.报价结算清单'!$F$2:$F$578,$A536,'[4]2.报价结算清单'!$L$2:$L$578)</f>
        <v>#VALUE!</v>
      </c>
      <c r="H536" s="13" t="e">
        <f>SUMIF('[4]2.报价结算清单'!$F$2:$F$578,$A536,'[4]2.报价结算清单'!$N$2:$N$578)</f>
        <v>#VALUE!</v>
      </c>
      <c r="I536" s="15" t="e">
        <f>SUMIF('[4]2.报价结算清单'!$F$2:$F$578,A536,'[4]2.报价结算清单'!$P$2:$P$578)</f>
        <v>#VALUE!</v>
      </c>
    </row>
    <row r="537" spans="1:9">
      <c r="A537" s="7" t="s">
        <v>3133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SUMIF('[4]2.报价结算清单'!$F$2:$F$578,$A537,'[4]2.报价结算清单'!$L$2:$L$578)</f>
        <v>#VALUE!</v>
      </c>
      <c r="H537" s="13" t="e">
        <f>SUMIF('[4]2.报价结算清单'!$F$2:$F$578,$A537,'[4]2.报价结算清单'!$N$2:$N$578)</f>
        <v>#VALUE!</v>
      </c>
      <c r="I537" s="15" t="e">
        <f>SUMIF('[4]2.报价结算清单'!$F$2:$F$578,A537,'[4]2.报价结算清单'!$P$2:$P$578)</f>
        <v>#VALUE!</v>
      </c>
    </row>
    <row r="538" spans="1:9">
      <c r="A538" s="7" t="s">
        <v>3134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SUMIF('[4]2.报价结算清单'!$F$2:$F$578,$A538,'[4]2.报价结算清单'!$L$2:$L$578)</f>
        <v>#VALUE!</v>
      </c>
      <c r="H538" s="13" t="e">
        <f>SUMIF('[4]2.报价结算清单'!$F$2:$F$578,$A538,'[4]2.报价结算清单'!$N$2:$N$578)</f>
        <v>#VALUE!</v>
      </c>
      <c r="I538" s="15" t="e">
        <f>SUMIF('[4]2.报价结算清单'!$F$2:$F$578,A538,'[4]2.报价结算清单'!$P$2:$P$578)</f>
        <v>#VALUE!</v>
      </c>
    </row>
    <row r="539" spans="1:9">
      <c r="A539" s="7" t="s">
        <v>3135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SUMIF('[4]2.报价结算清单'!$F$2:$F$578,$A539,'[4]2.报价结算清单'!$L$2:$L$578)</f>
        <v>#VALUE!</v>
      </c>
      <c r="H539" s="13" t="e">
        <f>SUMIF('[4]2.报价结算清单'!$F$2:$F$578,$A539,'[4]2.报价结算清单'!$N$2:$N$578)</f>
        <v>#VALUE!</v>
      </c>
      <c r="I539" s="15" t="e">
        <f>SUMIF('[4]2.报价结算清单'!$F$2:$F$578,A539,'[4]2.报价结算清单'!$P$2:$P$578)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2366</v>
      </c>
      <c r="D540" s="9" t="s">
        <v>1693</v>
      </c>
      <c r="E540" s="8" t="s">
        <v>49</v>
      </c>
      <c r="F540" s="12">
        <v>0.1</v>
      </c>
      <c r="G540" s="13" t="e">
        <f>SUMIF('[4]2.报价结算清单'!$F$2:$F$578,$A540,'[4]2.报价结算清单'!$L$2:$L$578)</f>
        <v>#VALUE!</v>
      </c>
      <c r="H540" s="13" t="e">
        <f>SUMIF('[4]2.报价结算清单'!$F$2:$F$578,$A540,'[4]2.报价结算清单'!$N$2:$N$578)</f>
        <v>#VALUE!</v>
      </c>
      <c r="I540" s="15" t="e">
        <f>SUMIF('[4]2.报价结算清单'!$F$2:$F$578,A540,'[4]2.报价结算清单'!$P$2:$P$578)</f>
        <v>#VALUE!</v>
      </c>
    </row>
    <row r="541" spans="1:9">
      <c r="A541" s="7" t="s">
        <v>2620</v>
      </c>
      <c r="B541" s="8" t="s">
        <v>1261</v>
      </c>
      <c r="C541" s="8" t="s">
        <v>2366</v>
      </c>
      <c r="D541" s="9" t="s">
        <v>1262</v>
      </c>
      <c r="E541" s="8" t="s">
        <v>49</v>
      </c>
      <c r="F541" s="12">
        <v>0.06</v>
      </c>
      <c r="G541" s="13" t="e">
        <f>SUMIF('[4]2.报价结算清单'!$F$2:$F$578,$A541,'[4]2.报价结算清单'!$L$2:$L$578)</f>
        <v>#VALUE!</v>
      </c>
      <c r="H541" s="13" t="e">
        <f>SUMIF('[4]2.报价结算清单'!$F$2:$F$578,$A541,'[4]2.报价结算清单'!$N$2:$N$578)</f>
        <v>#VALUE!</v>
      </c>
      <c r="I541" s="15" t="e">
        <f>SUMIF('[4]2.报价结算清单'!$F$2:$F$578,A541,'[4]2.报价结算清单'!$P$2:$P$578)</f>
        <v>#VALUE!</v>
      </c>
    </row>
    <row r="542" spans="1:9">
      <c r="A542" s="7" t="s">
        <v>2619</v>
      </c>
      <c r="B542" s="8" t="s">
        <v>540</v>
      </c>
      <c r="C542" s="8" t="s">
        <v>2366</v>
      </c>
      <c r="D542" s="9" t="s">
        <v>541</v>
      </c>
      <c r="E542" s="8" t="s">
        <v>49</v>
      </c>
      <c r="F542" s="12">
        <v>0.06</v>
      </c>
      <c r="G542" s="13" t="e">
        <f>SUMIF('[4]2.报价结算清单'!$F$2:$F$578,$A542,'[4]2.报价结算清单'!$L$2:$L$578)</f>
        <v>#VALUE!</v>
      </c>
      <c r="H542" s="13" t="e">
        <f>SUMIF('[4]2.报价结算清单'!$F$2:$F$578,$A542,'[4]2.报价结算清单'!$N$2:$N$578)</f>
        <v>#VALUE!</v>
      </c>
      <c r="I542" s="15" t="e">
        <f>SUMIF('[4]2.报价结算清单'!$F$2:$F$578,A542,'[4]2.报价结算清单'!$P$2:$P$578)</f>
        <v>#VALUE!</v>
      </c>
    </row>
    <row r="543" spans="1:9">
      <c r="A543" s="7" t="s">
        <v>2615</v>
      </c>
      <c r="B543" s="8" t="s">
        <v>257</v>
      </c>
      <c r="C543" s="8" t="s">
        <v>2366</v>
      </c>
      <c r="D543" s="9" t="s">
        <v>258</v>
      </c>
      <c r="E543" s="8" t="s">
        <v>49</v>
      </c>
      <c r="F543" s="12">
        <v>0.1</v>
      </c>
      <c r="G543" s="13" t="e">
        <f>SUMIF('[4]2.报价结算清单'!$F$2:$F$578,$A543,'[4]2.报价结算清单'!$L$2:$L$578)</f>
        <v>#VALUE!</v>
      </c>
      <c r="H543" s="13" t="e">
        <f>SUMIF('[4]2.报价结算清单'!$F$2:$F$578,$A543,'[4]2.报价结算清单'!$N$2:$N$578)</f>
        <v>#VALUE!</v>
      </c>
      <c r="I543" s="15" t="e">
        <f>SUMIF('[4]2.报价结算清单'!$F$2:$F$578,A543,'[4]2.报价结算清单'!$P$2:$P$578)</f>
        <v>#VALUE!</v>
      </c>
    </row>
    <row r="544" spans="1:9">
      <c r="A544" s="7" t="s">
        <v>2618</v>
      </c>
      <c r="B544" s="8" t="s">
        <v>2203</v>
      </c>
      <c r="C544" s="8" t="s">
        <v>2366</v>
      </c>
      <c r="D544" s="9" t="s">
        <v>2204</v>
      </c>
      <c r="E544" s="8" t="s">
        <v>49</v>
      </c>
      <c r="F544" s="12">
        <v>0.06</v>
      </c>
      <c r="G544" s="13" t="e">
        <f>SUMIF('[4]2.报价结算清单'!$F$2:$F$578,$A544,'[4]2.报价结算清单'!$L$2:$L$578)</f>
        <v>#VALUE!</v>
      </c>
      <c r="H544" s="13" t="e">
        <f>SUMIF('[4]2.报价结算清单'!$F$2:$F$578,$A544,'[4]2.报价结算清单'!$N$2:$N$578)</f>
        <v>#VALUE!</v>
      </c>
      <c r="I544" s="15" t="e">
        <f>SUMIF('[4]2.报价结算清单'!$F$2:$F$578,A544,'[4]2.报价结算清单'!$P$2:$P$578)</f>
        <v>#VALUE!</v>
      </c>
    </row>
    <row r="545" spans="1:9">
      <c r="A545" s="7" t="s">
        <v>3136</v>
      </c>
      <c r="B545" s="8" t="s">
        <v>908</v>
      </c>
      <c r="C545" s="8" t="s">
        <v>2366</v>
      </c>
      <c r="D545" s="9" t="s">
        <v>909</v>
      </c>
      <c r="E545" s="8" t="s">
        <v>49</v>
      </c>
      <c r="F545" s="12">
        <v>0.06</v>
      </c>
      <c r="G545" s="13" t="e">
        <f>SUMIF('[4]2.报价结算清单'!$F$2:$F$578,$A545,'[4]2.报价结算清单'!$L$2:$L$578)</f>
        <v>#VALUE!</v>
      </c>
      <c r="H545" s="13" t="e">
        <f>SUMIF('[4]2.报价结算清单'!$F$2:$F$578,$A545,'[4]2.报价结算清单'!$N$2:$N$578)</f>
        <v>#VALUE!</v>
      </c>
      <c r="I545" s="15" t="e">
        <f>SUMIF('[4]2.报价结算清单'!$F$2:$F$578,A545,'[4]2.报价结算清单'!$P$2:$P$578)</f>
        <v>#VALUE!</v>
      </c>
    </row>
    <row r="546" spans="1:9">
      <c r="A546" s="7" t="s">
        <v>3137</v>
      </c>
      <c r="B546" s="8" t="s">
        <v>1341</v>
      </c>
      <c r="C546" s="8" t="s">
        <v>2617</v>
      </c>
      <c r="D546" s="9" t="s">
        <v>1342</v>
      </c>
      <c r="E546" s="8" t="s">
        <v>49</v>
      </c>
      <c r="F546" s="12">
        <v>0.06</v>
      </c>
      <c r="G546" s="13" t="e">
        <f>SUMIF('[4]2.报价结算清单'!$F$2:$F$578,$A546,'[4]2.报价结算清单'!$L$2:$L$578)</f>
        <v>#VALUE!</v>
      </c>
      <c r="H546" s="13" t="e">
        <f>SUMIF('[4]2.报价结算清单'!$F$2:$F$578,$A546,'[4]2.报价结算清单'!$N$2:$N$578)</f>
        <v>#VALUE!</v>
      </c>
      <c r="I546" s="15" t="e">
        <f>SUMIF('[4]2.报价结算清单'!$F$2:$F$578,A546,'[4]2.报价结算清单'!$P$2:$P$578)</f>
        <v>#VALUE!</v>
      </c>
    </row>
    <row r="547" spans="1:9">
      <c r="A547" s="7" t="s">
        <v>3138</v>
      </c>
      <c r="B547" s="8" t="s">
        <v>876</v>
      </c>
      <c r="C547" s="8" t="s">
        <v>2617</v>
      </c>
      <c r="D547" s="9" t="s">
        <v>877</v>
      </c>
      <c r="E547" s="8" t="s">
        <v>49</v>
      </c>
      <c r="F547" s="12">
        <v>0.06</v>
      </c>
      <c r="G547" s="13" t="e">
        <f>SUMIF('[4]2.报价结算清单'!$F$2:$F$578,$A547,'[4]2.报价结算清单'!$L$2:$L$578)</f>
        <v>#VALUE!</v>
      </c>
      <c r="H547" s="13" t="e">
        <f>SUMIF('[4]2.报价结算清单'!$F$2:$F$578,$A547,'[4]2.报价结算清单'!$N$2:$N$578)</f>
        <v>#VALUE!</v>
      </c>
      <c r="I547" s="15" t="e">
        <f>SUMIF('[4]2.报价结算清单'!$F$2:$F$578,A547,'[4]2.报价结算清单'!$P$2:$P$578)</f>
        <v>#VALUE!</v>
      </c>
    </row>
    <row r="548" spans="1:9">
      <c r="A548" s="7" t="s">
        <v>2622</v>
      </c>
      <c r="B548" s="8" t="s">
        <v>1241</v>
      </c>
      <c r="C548" s="8" t="s">
        <v>2617</v>
      </c>
      <c r="D548" s="9" t="s">
        <v>1242</v>
      </c>
      <c r="E548" s="8" t="s">
        <v>49</v>
      </c>
      <c r="F548" s="12">
        <v>0.06</v>
      </c>
      <c r="G548" s="13" t="e">
        <f>SUMIF('[4]2.报价结算清单'!$F$2:$F$578,$A548,'[4]2.报价结算清单'!$L$2:$L$578)</f>
        <v>#VALUE!</v>
      </c>
      <c r="H548" s="13" t="e">
        <f>SUMIF('[4]2.报价结算清单'!$F$2:$F$578,$A548,'[4]2.报价结算清单'!$N$2:$N$578)</f>
        <v>#VALUE!</v>
      </c>
      <c r="I548" s="15" t="e">
        <f>SUMIF('[4]2.报价结算清单'!$F$2:$F$578,A548,'[4]2.报价结算清单'!$P$2:$P$578)</f>
        <v>#VALUE!</v>
      </c>
    </row>
    <row r="549" spans="1:9">
      <c r="A549" s="7" t="s">
        <v>3139</v>
      </c>
      <c r="B549" s="8" t="s">
        <v>47</v>
      </c>
      <c r="C549" s="8" t="s">
        <v>2617</v>
      </c>
      <c r="D549" s="9" t="s">
        <v>48</v>
      </c>
      <c r="E549" s="8" t="s">
        <v>49</v>
      </c>
      <c r="F549" s="12">
        <v>0.06</v>
      </c>
      <c r="G549" s="13" t="e">
        <f>SUMIF('[4]2.报价结算清单'!$F$2:$F$578,$A549,'[4]2.报价结算清单'!$L$2:$L$578)</f>
        <v>#VALUE!</v>
      </c>
      <c r="H549" s="13" t="e">
        <f>SUMIF('[4]2.报价结算清单'!$F$2:$F$578,$A549,'[4]2.报价结算清单'!$N$2:$N$578)</f>
        <v>#VALUE!</v>
      </c>
      <c r="I549" s="15" t="e">
        <f>SUMIF('[4]2.报价结算清单'!$F$2:$F$578,A549,'[4]2.报价结算清单'!$P$2:$P$578)</f>
        <v>#VALUE!</v>
      </c>
    </row>
    <row r="550" spans="1:9">
      <c r="A550" s="1" t="s">
        <v>3140</v>
      </c>
      <c r="B550" s="1" t="s">
        <v>2255</v>
      </c>
      <c r="C550" s="1" t="s">
        <v>3140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41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14E9-454A-4777-A957-390EC8877924}">
  <sheetPr>
    <tabColor rgb="FF00FF99"/>
  </sheetPr>
  <dimension ref="A1"/>
  <sheetViews>
    <sheetView workbookViewId="0">
      <selection activeCell="I27" sqref="I27"/>
    </sheetView>
  </sheetViews>
  <sheetFormatPr defaultRowHeight="13.9"/>
  <sheetData/>
  <phoneticPr fontId="4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20C-4017-4834-ADA3-08FF51604CF5}">
  <sheetPr>
    <tabColor rgb="FF00FF99"/>
  </sheetPr>
  <dimension ref="A1:W354"/>
  <sheetViews>
    <sheetView workbookViewId="0">
      <pane xSplit="2" ySplit="1" topLeftCell="C173" activePane="bottomRight" state="frozen"/>
      <selection pane="topRight" activeCell="C1" sqref="C1"/>
      <selection pane="bottomLeft" activeCell="A2" sqref="A2"/>
      <selection pane="bottomRight" sqref="A1:M1"/>
    </sheetView>
  </sheetViews>
  <sheetFormatPr defaultRowHeight="14.25"/>
  <cols>
    <col min="1" max="1" width="4.796875" style="256" bestFit="1" customWidth="1"/>
    <col min="2" max="2" width="16" style="256" bestFit="1" customWidth="1"/>
    <col min="3" max="3" width="11.265625" style="256" bestFit="1" customWidth="1"/>
    <col min="4" max="4" width="14.73046875" style="256" bestFit="1" customWidth="1"/>
    <col min="5" max="5" width="6.73046875" style="256" bestFit="1" customWidth="1"/>
    <col min="6" max="7" width="12.1328125" style="256" bestFit="1" customWidth="1"/>
    <col min="8" max="8" width="10.19921875" style="256" bestFit="1" customWidth="1"/>
    <col min="9" max="9" width="15.9296875" style="256" bestFit="1" customWidth="1"/>
    <col min="10" max="11" width="10.19921875" style="256" bestFit="1" customWidth="1"/>
    <col min="12" max="12" width="6.86328125" style="256" bestFit="1" customWidth="1"/>
    <col min="13" max="13" width="10.06640625" style="256" bestFit="1" customWidth="1"/>
  </cols>
  <sheetData>
    <row r="1" spans="1:23" ht="14.25" customHeight="1">
      <c r="A1" s="352" t="s">
        <v>3323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249"/>
      <c r="O1" s="249"/>
      <c r="P1" s="249"/>
      <c r="Q1" s="249"/>
      <c r="R1" s="249"/>
      <c r="S1" s="249"/>
      <c r="T1" s="249"/>
      <c r="U1" s="249"/>
      <c r="V1" s="249"/>
      <c r="W1" s="249"/>
    </row>
    <row r="2" spans="1:23" ht="14.65">
      <c r="A2" s="252" t="s">
        <v>2358</v>
      </c>
      <c r="B2" s="252" t="s">
        <v>3324</v>
      </c>
      <c r="C2" s="252" t="s">
        <v>3325</v>
      </c>
      <c r="D2" s="252" t="s">
        <v>3326</v>
      </c>
      <c r="E2" s="252" t="s">
        <v>3327</v>
      </c>
      <c r="F2" s="252" t="s">
        <v>3328</v>
      </c>
      <c r="G2" s="252" t="s">
        <v>3329</v>
      </c>
      <c r="H2" s="252" t="s">
        <v>3330</v>
      </c>
      <c r="I2" s="252" t="s">
        <v>3331</v>
      </c>
      <c r="J2" s="252" t="s">
        <v>3332</v>
      </c>
      <c r="K2" s="252" t="s">
        <v>3333</v>
      </c>
      <c r="L2" s="252" t="s">
        <v>3334</v>
      </c>
      <c r="M2" s="252" t="s">
        <v>3335</v>
      </c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3" ht="13.9">
      <c r="A3" s="250">
        <v>1</v>
      </c>
      <c r="B3" s="253" t="s">
        <v>3336</v>
      </c>
      <c r="C3" s="254">
        <v>45988</v>
      </c>
      <c r="D3" s="253" t="s">
        <v>3337</v>
      </c>
      <c r="E3" s="253" t="s">
        <v>3338</v>
      </c>
      <c r="F3" s="253">
        <v>210.5</v>
      </c>
      <c r="G3" s="253"/>
      <c r="H3" s="253"/>
      <c r="I3" s="253"/>
      <c r="J3" s="253"/>
      <c r="K3" s="253">
        <v>15</v>
      </c>
      <c r="L3" s="253">
        <f>SUM(F3:K3)</f>
        <v>225.5</v>
      </c>
      <c r="M3" s="253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23" ht="13.9">
      <c r="A4" s="250">
        <v>2</v>
      </c>
      <c r="B4" s="253" t="s">
        <v>3339</v>
      </c>
      <c r="C4" s="254">
        <v>45986</v>
      </c>
      <c r="D4" s="253" t="s">
        <v>3340</v>
      </c>
      <c r="E4" s="253" t="s">
        <v>3341</v>
      </c>
      <c r="F4" s="253">
        <v>183</v>
      </c>
      <c r="G4" s="253"/>
      <c r="H4" s="253"/>
      <c r="I4" s="253"/>
      <c r="J4" s="253"/>
      <c r="K4" s="253">
        <v>15</v>
      </c>
      <c r="L4" s="253">
        <f t="shared" ref="L4:L67" si="0">SUM(F4:K4)</f>
        <v>198</v>
      </c>
      <c r="M4" s="253"/>
      <c r="N4" s="249"/>
      <c r="O4" s="249"/>
      <c r="P4" s="249"/>
      <c r="Q4" s="249"/>
      <c r="R4" s="249"/>
      <c r="S4" s="249"/>
      <c r="T4" s="249"/>
      <c r="U4" s="249"/>
      <c r="V4" s="249"/>
      <c r="W4" s="249"/>
    </row>
    <row r="5" spans="1:23" ht="13.9">
      <c r="A5" s="250">
        <v>3</v>
      </c>
      <c r="B5" s="253" t="s">
        <v>3339</v>
      </c>
      <c r="C5" s="254">
        <v>45986</v>
      </c>
      <c r="D5" s="253" t="s">
        <v>3342</v>
      </c>
      <c r="E5" s="253" t="s">
        <v>3343</v>
      </c>
      <c r="F5" s="253">
        <v>194</v>
      </c>
      <c r="G5" s="253"/>
      <c r="H5" s="253"/>
      <c r="I5" s="253"/>
      <c r="J5" s="253"/>
      <c r="K5" s="253">
        <v>15</v>
      </c>
      <c r="L5" s="253">
        <f t="shared" si="0"/>
        <v>209</v>
      </c>
      <c r="M5" s="253"/>
      <c r="N5" s="249"/>
      <c r="O5" s="249"/>
      <c r="P5" s="249"/>
      <c r="Q5" s="249"/>
      <c r="R5" s="249"/>
      <c r="S5" s="249"/>
      <c r="T5" s="249"/>
      <c r="U5" s="249"/>
      <c r="V5" s="249"/>
      <c r="W5" s="249"/>
    </row>
    <row r="6" spans="1:23" ht="13.9">
      <c r="A6" s="250">
        <v>4</v>
      </c>
      <c r="B6" s="253" t="s">
        <v>3339</v>
      </c>
      <c r="C6" s="254">
        <v>45990</v>
      </c>
      <c r="D6" s="253" t="s">
        <v>3344</v>
      </c>
      <c r="E6" s="253" t="s">
        <v>3345</v>
      </c>
      <c r="F6" s="253"/>
      <c r="G6" s="253"/>
      <c r="H6" s="253"/>
      <c r="I6" s="253">
        <v>360.5</v>
      </c>
      <c r="J6" s="253">
        <v>15</v>
      </c>
      <c r="K6" s="253">
        <v>15</v>
      </c>
      <c r="L6" s="253">
        <f t="shared" si="0"/>
        <v>390.5</v>
      </c>
      <c r="M6" s="253" t="s">
        <v>3346</v>
      </c>
      <c r="N6" s="249"/>
      <c r="O6" s="249"/>
      <c r="P6" s="249"/>
      <c r="Q6" s="249"/>
      <c r="R6" s="249"/>
      <c r="S6" s="249"/>
      <c r="T6" s="249"/>
      <c r="U6" s="249"/>
      <c r="V6" s="249"/>
      <c r="W6" s="249"/>
    </row>
    <row r="7" spans="1:23" ht="13.9">
      <c r="A7" s="250">
        <v>6</v>
      </c>
      <c r="B7" s="253" t="s">
        <v>3347</v>
      </c>
      <c r="C7" s="254">
        <v>45986</v>
      </c>
      <c r="D7" s="253" t="s">
        <v>3348</v>
      </c>
      <c r="E7" s="253" t="s">
        <v>3349</v>
      </c>
      <c r="F7" s="253">
        <v>213.5</v>
      </c>
      <c r="G7" s="253"/>
      <c r="H7" s="253"/>
      <c r="I7" s="253"/>
      <c r="J7" s="253"/>
      <c r="K7" s="253">
        <v>15</v>
      </c>
      <c r="L7" s="253">
        <f t="shared" si="0"/>
        <v>228.5</v>
      </c>
      <c r="M7" s="253"/>
      <c r="N7" s="249"/>
      <c r="O7" s="249"/>
      <c r="P7" s="249"/>
      <c r="Q7" s="249"/>
      <c r="R7" s="249"/>
      <c r="S7" s="249"/>
      <c r="T7" s="249"/>
      <c r="U7" s="249"/>
      <c r="V7" s="249"/>
      <c r="W7" s="249"/>
    </row>
    <row r="8" spans="1:23" ht="13.9">
      <c r="A8" s="250">
        <v>7</v>
      </c>
      <c r="B8" s="253" t="s">
        <v>3347</v>
      </c>
      <c r="C8" s="254">
        <v>45988</v>
      </c>
      <c r="D8" s="253" t="s">
        <v>3350</v>
      </c>
      <c r="E8" s="253" t="s">
        <v>3351</v>
      </c>
      <c r="F8" s="253">
        <v>195.5</v>
      </c>
      <c r="G8" s="253"/>
      <c r="H8" s="253"/>
      <c r="I8" s="253"/>
      <c r="J8" s="253"/>
      <c r="K8" s="253">
        <v>15</v>
      </c>
      <c r="L8" s="253">
        <f t="shared" si="0"/>
        <v>210.5</v>
      </c>
      <c r="M8" s="253"/>
      <c r="N8" s="249"/>
      <c r="O8" s="249"/>
      <c r="P8" s="249"/>
      <c r="Q8" s="249"/>
      <c r="R8" s="249"/>
      <c r="S8" s="249"/>
      <c r="T8" s="249"/>
      <c r="U8" s="249"/>
      <c r="V8" s="249"/>
      <c r="W8" s="249"/>
    </row>
    <row r="9" spans="1:23" ht="13.9">
      <c r="A9" s="250">
        <v>8</v>
      </c>
      <c r="B9" s="253" t="s">
        <v>3352</v>
      </c>
      <c r="C9" s="254">
        <v>45988</v>
      </c>
      <c r="D9" s="253" t="s">
        <v>3337</v>
      </c>
      <c r="E9" s="253" t="s">
        <v>3353</v>
      </c>
      <c r="F9" s="253">
        <v>612</v>
      </c>
      <c r="G9" s="253"/>
      <c r="H9" s="253"/>
      <c r="I9" s="253"/>
      <c r="J9" s="253"/>
      <c r="K9" s="253">
        <v>15</v>
      </c>
      <c r="L9" s="253">
        <f t="shared" si="0"/>
        <v>627</v>
      </c>
      <c r="M9" s="253"/>
      <c r="N9" s="249"/>
      <c r="O9" s="249"/>
      <c r="P9" s="249"/>
      <c r="Q9" s="249"/>
      <c r="R9" s="249"/>
      <c r="S9" s="249"/>
      <c r="T9" s="249"/>
      <c r="U9" s="249"/>
      <c r="V9" s="249"/>
      <c r="W9" s="249"/>
    </row>
    <row r="10" spans="1:23" ht="13.9">
      <c r="A10" s="250">
        <v>9</v>
      </c>
      <c r="B10" s="253" t="s">
        <v>3354</v>
      </c>
      <c r="C10" s="254">
        <v>45988</v>
      </c>
      <c r="D10" s="253" t="s">
        <v>3337</v>
      </c>
      <c r="E10" s="253" t="s">
        <v>3353</v>
      </c>
      <c r="F10" s="253">
        <v>612</v>
      </c>
      <c r="G10" s="253"/>
      <c r="H10" s="253"/>
      <c r="I10" s="253"/>
      <c r="J10" s="253"/>
      <c r="K10" s="253">
        <v>15</v>
      </c>
      <c r="L10" s="253">
        <f t="shared" si="0"/>
        <v>627</v>
      </c>
      <c r="M10" s="253"/>
      <c r="N10" s="249"/>
      <c r="O10" s="249"/>
      <c r="P10" s="249"/>
      <c r="Q10" s="249"/>
      <c r="R10" s="249"/>
      <c r="S10" s="249"/>
      <c r="T10" s="249"/>
      <c r="U10" s="249"/>
      <c r="V10" s="249"/>
      <c r="W10" s="249"/>
    </row>
    <row r="11" spans="1:23" ht="13.9">
      <c r="A11" s="250">
        <v>10</v>
      </c>
      <c r="B11" s="253" t="s">
        <v>3355</v>
      </c>
      <c r="C11" s="254">
        <v>45986</v>
      </c>
      <c r="D11" s="253" t="s">
        <v>3356</v>
      </c>
      <c r="E11" s="253" t="s">
        <v>3357</v>
      </c>
      <c r="F11" s="253">
        <v>164</v>
      </c>
      <c r="G11" s="253"/>
      <c r="H11" s="253"/>
      <c r="I11" s="253"/>
      <c r="J11" s="253"/>
      <c r="K11" s="253">
        <v>15</v>
      </c>
      <c r="L11" s="253">
        <f t="shared" si="0"/>
        <v>179</v>
      </c>
      <c r="M11" s="253"/>
      <c r="N11" s="249"/>
      <c r="O11" s="249"/>
      <c r="P11" s="249"/>
      <c r="Q11" s="249"/>
      <c r="R11" s="249"/>
      <c r="S11" s="249"/>
      <c r="T11" s="249"/>
      <c r="U11" s="249"/>
      <c r="V11" s="249"/>
      <c r="W11" s="249"/>
    </row>
    <row r="12" spans="1:23" ht="13.9">
      <c r="A12" s="250">
        <v>11</v>
      </c>
      <c r="B12" s="253" t="s">
        <v>3355</v>
      </c>
      <c r="C12" s="254">
        <v>45988</v>
      </c>
      <c r="D12" s="253" t="s">
        <v>3358</v>
      </c>
      <c r="E12" s="253" t="s">
        <v>3359</v>
      </c>
      <c r="F12" s="253">
        <v>198</v>
      </c>
      <c r="G12" s="253"/>
      <c r="H12" s="253"/>
      <c r="I12" s="253"/>
      <c r="J12" s="253"/>
      <c r="K12" s="253">
        <v>15</v>
      </c>
      <c r="L12" s="253">
        <f t="shared" si="0"/>
        <v>213</v>
      </c>
      <c r="M12" s="253"/>
      <c r="N12" s="249"/>
      <c r="O12" s="249"/>
      <c r="P12" s="249"/>
      <c r="Q12" s="249"/>
      <c r="R12" s="249"/>
      <c r="S12" s="249"/>
      <c r="T12" s="249"/>
      <c r="U12" s="249"/>
      <c r="V12" s="249"/>
      <c r="W12" s="249"/>
    </row>
    <row r="13" spans="1:23" ht="13.9">
      <c r="A13" s="250">
        <v>12</v>
      </c>
      <c r="B13" s="253" t="s">
        <v>3360</v>
      </c>
      <c r="C13" s="254">
        <v>45986</v>
      </c>
      <c r="D13" s="253" t="s">
        <v>3361</v>
      </c>
      <c r="E13" s="253" t="s">
        <v>3362</v>
      </c>
      <c r="F13" s="253">
        <v>210.5</v>
      </c>
      <c r="G13" s="253"/>
      <c r="H13" s="253"/>
      <c r="I13" s="253"/>
      <c r="J13" s="253"/>
      <c r="K13" s="253">
        <v>15</v>
      </c>
      <c r="L13" s="253">
        <f t="shared" si="0"/>
        <v>225.5</v>
      </c>
      <c r="M13" s="253"/>
      <c r="N13" s="249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1:23" ht="13.9">
      <c r="A14" s="250">
        <v>13</v>
      </c>
      <c r="B14" s="253" t="s">
        <v>3360</v>
      </c>
      <c r="C14" s="254">
        <v>45988</v>
      </c>
      <c r="D14" s="253" t="s">
        <v>3337</v>
      </c>
      <c r="E14" s="253" t="s">
        <v>3363</v>
      </c>
      <c r="F14" s="253">
        <v>197.5</v>
      </c>
      <c r="G14" s="253"/>
      <c r="H14" s="253"/>
      <c r="I14" s="253"/>
      <c r="J14" s="253"/>
      <c r="K14" s="253">
        <v>15</v>
      </c>
      <c r="L14" s="253">
        <f t="shared" si="0"/>
        <v>212.5</v>
      </c>
      <c r="M14" s="253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1:23" ht="13.9">
      <c r="A15" s="250">
        <v>14</v>
      </c>
      <c r="B15" s="253" t="s">
        <v>3364</v>
      </c>
      <c r="C15" s="254">
        <v>45986</v>
      </c>
      <c r="D15" s="253" t="s">
        <v>3365</v>
      </c>
      <c r="E15" s="253" t="s">
        <v>3366</v>
      </c>
      <c r="F15" s="253">
        <v>536</v>
      </c>
      <c r="G15" s="253"/>
      <c r="H15" s="253"/>
      <c r="I15" s="253"/>
      <c r="J15" s="253"/>
      <c r="K15" s="253">
        <v>15</v>
      </c>
      <c r="L15" s="253">
        <f t="shared" si="0"/>
        <v>551</v>
      </c>
      <c r="M15" s="253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1:23" ht="13.9">
      <c r="A16" s="250">
        <v>15</v>
      </c>
      <c r="B16" s="253" t="s">
        <v>3367</v>
      </c>
      <c r="C16" s="254">
        <v>45986</v>
      </c>
      <c r="D16" s="253" t="s">
        <v>3368</v>
      </c>
      <c r="E16" s="253" t="s">
        <v>3369</v>
      </c>
      <c r="F16" s="253">
        <v>640</v>
      </c>
      <c r="G16" s="253"/>
      <c r="H16" s="253"/>
      <c r="I16" s="253"/>
      <c r="J16" s="253"/>
      <c r="K16" s="253">
        <v>15</v>
      </c>
      <c r="L16" s="253">
        <f t="shared" si="0"/>
        <v>655</v>
      </c>
      <c r="M16" s="253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1:23" ht="13.9">
      <c r="A17" s="250">
        <v>16</v>
      </c>
      <c r="B17" s="253" t="s">
        <v>3367</v>
      </c>
      <c r="C17" s="254">
        <v>45988</v>
      </c>
      <c r="D17" s="253" t="s">
        <v>3370</v>
      </c>
      <c r="E17" s="253" t="s">
        <v>3371</v>
      </c>
      <c r="F17" s="253">
        <v>634</v>
      </c>
      <c r="G17" s="253"/>
      <c r="H17" s="253"/>
      <c r="I17" s="253"/>
      <c r="J17" s="253"/>
      <c r="K17" s="253">
        <v>15</v>
      </c>
      <c r="L17" s="253">
        <f t="shared" si="0"/>
        <v>649</v>
      </c>
      <c r="M17" s="253"/>
      <c r="N17" s="249"/>
      <c r="O17" s="249"/>
      <c r="P17" s="249"/>
      <c r="Q17" s="249"/>
      <c r="R17" s="249"/>
      <c r="S17" s="249"/>
      <c r="T17" s="249"/>
      <c r="U17" s="249"/>
      <c r="V17" s="249"/>
      <c r="W17" s="249"/>
    </row>
    <row r="18" spans="1:23" ht="13.9">
      <c r="A18" s="250">
        <v>17</v>
      </c>
      <c r="B18" s="253" t="s">
        <v>3372</v>
      </c>
      <c r="C18" s="254">
        <v>45986</v>
      </c>
      <c r="D18" s="253" t="s">
        <v>3361</v>
      </c>
      <c r="E18" s="253" t="s">
        <v>3373</v>
      </c>
      <c r="F18" s="253">
        <v>210.5</v>
      </c>
      <c r="G18" s="253"/>
      <c r="H18" s="253"/>
      <c r="I18" s="253"/>
      <c r="J18" s="253"/>
      <c r="K18" s="253">
        <v>15</v>
      </c>
      <c r="L18" s="253">
        <f t="shared" si="0"/>
        <v>225.5</v>
      </c>
      <c r="M18" s="253"/>
      <c r="N18" s="249"/>
      <c r="O18" s="249"/>
      <c r="P18" s="249"/>
      <c r="Q18" s="249"/>
      <c r="R18" s="249"/>
      <c r="S18" s="249"/>
      <c r="T18" s="249"/>
      <c r="U18" s="249"/>
      <c r="V18" s="249"/>
      <c r="W18" s="249"/>
    </row>
    <row r="19" spans="1:23" ht="13.9">
      <c r="A19" s="250">
        <v>18</v>
      </c>
      <c r="B19" s="253" t="s">
        <v>3372</v>
      </c>
      <c r="C19" s="254">
        <v>45988</v>
      </c>
      <c r="D19" s="253" t="s">
        <v>3374</v>
      </c>
      <c r="E19" s="253" t="s">
        <v>3375</v>
      </c>
      <c r="F19" s="253">
        <v>195</v>
      </c>
      <c r="G19" s="253"/>
      <c r="H19" s="253"/>
      <c r="I19" s="253"/>
      <c r="J19" s="253"/>
      <c r="K19" s="253">
        <v>15</v>
      </c>
      <c r="L19" s="253">
        <f t="shared" si="0"/>
        <v>210</v>
      </c>
      <c r="M19" s="253"/>
      <c r="N19" s="249"/>
      <c r="O19" s="249"/>
      <c r="P19" s="249"/>
      <c r="Q19" s="249"/>
      <c r="R19" s="249"/>
      <c r="S19" s="249"/>
      <c r="T19" s="249"/>
      <c r="U19" s="249"/>
      <c r="V19" s="249"/>
      <c r="W19" s="249"/>
    </row>
    <row r="20" spans="1:23" ht="13.9">
      <c r="A20" s="250">
        <v>19</v>
      </c>
      <c r="B20" s="253" t="s">
        <v>3376</v>
      </c>
      <c r="C20" s="254">
        <v>45988</v>
      </c>
      <c r="D20" s="253" t="s">
        <v>3377</v>
      </c>
      <c r="E20" s="253" t="s">
        <v>3341</v>
      </c>
      <c r="F20" s="253">
        <v>205</v>
      </c>
      <c r="G20" s="253"/>
      <c r="H20" s="253"/>
      <c r="I20" s="253"/>
      <c r="J20" s="253"/>
      <c r="K20" s="253">
        <v>15</v>
      </c>
      <c r="L20" s="253">
        <f t="shared" si="0"/>
        <v>220</v>
      </c>
      <c r="M20" s="253"/>
      <c r="N20" s="249"/>
      <c r="O20" s="249"/>
      <c r="P20" s="249"/>
      <c r="Q20" s="249"/>
      <c r="R20" s="249"/>
      <c r="S20" s="249"/>
      <c r="T20" s="249"/>
      <c r="U20" s="249"/>
      <c r="V20" s="249"/>
      <c r="W20" s="249"/>
    </row>
    <row r="21" spans="1:23" ht="13.9">
      <c r="A21" s="250">
        <v>20</v>
      </c>
      <c r="B21" s="253" t="s">
        <v>3378</v>
      </c>
      <c r="C21" s="254">
        <v>45988</v>
      </c>
      <c r="D21" s="253" t="s">
        <v>3337</v>
      </c>
      <c r="E21" s="253" t="s">
        <v>3353</v>
      </c>
      <c r="F21" s="253">
        <v>296</v>
      </c>
      <c r="G21" s="253"/>
      <c r="H21" s="253"/>
      <c r="I21" s="253"/>
      <c r="J21" s="253"/>
      <c r="K21" s="253">
        <v>15</v>
      </c>
      <c r="L21" s="253">
        <f t="shared" si="0"/>
        <v>311</v>
      </c>
      <c r="M21" s="253"/>
      <c r="N21" s="249"/>
      <c r="O21" s="249"/>
      <c r="P21" s="249"/>
      <c r="Q21" s="249"/>
      <c r="R21" s="249"/>
      <c r="S21" s="249"/>
      <c r="T21" s="249"/>
      <c r="U21" s="249"/>
      <c r="V21" s="249"/>
      <c r="W21" s="249"/>
    </row>
    <row r="22" spans="1:23" ht="13.9">
      <c r="A22" s="250">
        <v>21</v>
      </c>
      <c r="B22" s="253" t="s">
        <v>3379</v>
      </c>
      <c r="C22" s="254">
        <v>45987</v>
      </c>
      <c r="D22" s="253" t="s">
        <v>3361</v>
      </c>
      <c r="E22" s="253" t="s">
        <v>3373</v>
      </c>
      <c r="F22" s="253">
        <v>210.5</v>
      </c>
      <c r="G22" s="253"/>
      <c r="H22" s="253"/>
      <c r="I22" s="253"/>
      <c r="J22" s="253"/>
      <c r="K22" s="253">
        <v>15</v>
      </c>
      <c r="L22" s="253">
        <f t="shared" si="0"/>
        <v>225.5</v>
      </c>
      <c r="M22" s="253"/>
      <c r="N22" s="249"/>
      <c r="O22" s="249"/>
      <c r="P22" s="249"/>
      <c r="Q22" s="249"/>
      <c r="R22" s="249"/>
      <c r="S22" s="249"/>
      <c r="T22" s="249"/>
      <c r="U22" s="249"/>
      <c r="V22" s="249"/>
      <c r="W22" s="249"/>
    </row>
    <row r="23" spans="1:23" ht="13.9">
      <c r="A23" s="250">
        <v>22</v>
      </c>
      <c r="B23" s="253" t="s">
        <v>3380</v>
      </c>
      <c r="C23" s="254">
        <v>45986</v>
      </c>
      <c r="D23" s="253" t="s">
        <v>3381</v>
      </c>
      <c r="E23" s="253" t="s">
        <v>3382</v>
      </c>
      <c r="F23" s="253">
        <v>462</v>
      </c>
      <c r="G23" s="253"/>
      <c r="H23" s="253"/>
      <c r="I23" s="253"/>
      <c r="J23" s="253"/>
      <c r="K23" s="253">
        <v>15</v>
      </c>
      <c r="L23" s="253">
        <f t="shared" si="0"/>
        <v>477</v>
      </c>
      <c r="M23" s="253"/>
      <c r="N23" s="249"/>
      <c r="O23" s="249"/>
      <c r="P23" s="249"/>
      <c r="Q23" s="249"/>
      <c r="R23" s="249"/>
      <c r="S23" s="249"/>
      <c r="T23" s="249"/>
      <c r="U23" s="249"/>
      <c r="V23" s="249"/>
      <c r="W23" s="249"/>
    </row>
    <row r="24" spans="1:23" ht="13.9">
      <c r="A24" s="250">
        <v>23</v>
      </c>
      <c r="B24" s="253" t="s">
        <v>3380</v>
      </c>
      <c r="C24" s="254">
        <v>45988</v>
      </c>
      <c r="D24" s="253" t="s">
        <v>3383</v>
      </c>
      <c r="E24" s="253" t="s">
        <v>3384</v>
      </c>
      <c r="F24" s="253">
        <v>461.5</v>
      </c>
      <c r="G24" s="253"/>
      <c r="H24" s="253"/>
      <c r="I24" s="253"/>
      <c r="J24" s="253"/>
      <c r="K24" s="253">
        <v>15</v>
      </c>
      <c r="L24" s="253">
        <f t="shared" si="0"/>
        <v>476.5</v>
      </c>
      <c r="M24" s="253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3.9">
      <c r="A25" s="250">
        <v>24</v>
      </c>
      <c r="B25" s="253" t="s">
        <v>3385</v>
      </c>
      <c r="C25" s="254">
        <v>45988</v>
      </c>
      <c r="D25" s="253" t="s">
        <v>3350</v>
      </c>
      <c r="E25" s="253" t="s">
        <v>3386</v>
      </c>
      <c r="F25" s="253">
        <v>216.5</v>
      </c>
      <c r="G25" s="253"/>
      <c r="H25" s="253"/>
      <c r="I25" s="253"/>
      <c r="J25" s="253"/>
      <c r="K25" s="253">
        <v>15</v>
      </c>
      <c r="L25" s="253">
        <f t="shared" si="0"/>
        <v>231.5</v>
      </c>
      <c r="M25" s="253"/>
      <c r="N25" s="249"/>
      <c r="O25" s="249"/>
      <c r="P25" s="249"/>
      <c r="Q25" s="249"/>
      <c r="R25" s="249"/>
      <c r="S25" s="249"/>
      <c r="T25" s="249"/>
      <c r="U25" s="249"/>
      <c r="V25" s="249"/>
      <c r="W25" s="249"/>
    </row>
    <row r="26" spans="1:23" ht="13.9">
      <c r="A26" s="250">
        <v>25</v>
      </c>
      <c r="B26" s="253" t="s">
        <v>3387</v>
      </c>
      <c r="C26" s="254">
        <v>45986</v>
      </c>
      <c r="D26" s="253" t="s">
        <v>3388</v>
      </c>
      <c r="E26" s="253" t="s">
        <v>3389</v>
      </c>
      <c r="F26" s="253">
        <v>752.5</v>
      </c>
      <c r="G26" s="253"/>
      <c r="H26" s="253"/>
      <c r="I26" s="253"/>
      <c r="J26" s="253"/>
      <c r="K26" s="253">
        <v>15</v>
      </c>
      <c r="L26" s="253">
        <f t="shared" si="0"/>
        <v>767.5</v>
      </c>
      <c r="M26" s="253"/>
      <c r="N26" s="249"/>
      <c r="O26" s="249"/>
      <c r="P26" s="249"/>
      <c r="Q26" s="249"/>
      <c r="R26" s="249"/>
      <c r="S26" s="249"/>
      <c r="T26" s="249"/>
      <c r="U26" s="249"/>
      <c r="V26" s="249"/>
      <c r="W26" s="249"/>
    </row>
    <row r="27" spans="1:23" ht="13.9">
      <c r="A27" s="250">
        <v>26</v>
      </c>
      <c r="B27" s="253" t="s">
        <v>3387</v>
      </c>
      <c r="C27" s="254">
        <v>45988</v>
      </c>
      <c r="D27" s="253" t="s">
        <v>3390</v>
      </c>
      <c r="E27" s="253" t="s">
        <v>3391</v>
      </c>
      <c r="F27" s="253">
        <v>743.5</v>
      </c>
      <c r="G27" s="253"/>
      <c r="H27" s="253"/>
      <c r="I27" s="253"/>
      <c r="J27" s="253"/>
      <c r="K27" s="253">
        <v>15</v>
      </c>
      <c r="L27" s="253">
        <f t="shared" si="0"/>
        <v>758.5</v>
      </c>
      <c r="M27" s="253"/>
      <c r="N27" s="249"/>
      <c r="O27" s="249"/>
      <c r="P27" s="249"/>
      <c r="Q27" s="249"/>
      <c r="R27" s="249"/>
      <c r="S27" s="249"/>
      <c r="T27" s="249"/>
      <c r="U27" s="249"/>
      <c r="V27" s="249"/>
      <c r="W27" s="249"/>
    </row>
    <row r="28" spans="1:23" ht="13.9">
      <c r="A28" s="250">
        <v>27</v>
      </c>
      <c r="B28" s="253" t="s">
        <v>3392</v>
      </c>
      <c r="C28" s="254">
        <v>45986</v>
      </c>
      <c r="D28" s="253" t="s">
        <v>3361</v>
      </c>
      <c r="E28" s="253" t="s">
        <v>3393</v>
      </c>
      <c r="F28" s="253">
        <v>197.5</v>
      </c>
      <c r="G28" s="253"/>
      <c r="H28" s="253"/>
      <c r="I28" s="253"/>
      <c r="J28" s="253"/>
      <c r="K28" s="253">
        <v>15</v>
      </c>
      <c r="L28" s="253">
        <f t="shared" si="0"/>
        <v>212.5</v>
      </c>
      <c r="M28" s="253"/>
      <c r="N28" s="249"/>
      <c r="O28" s="249"/>
      <c r="P28" s="249"/>
      <c r="Q28" s="249"/>
      <c r="R28" s="249"/>
      <c r="S28" s="249"/>
      <c r="T28" s="249"/>
      <c r="U28" s="249"/>
      <c r="V28" s="249"/>
      <c r="W28" s="249"/>
    </row>
    <row r="29" spans="1:23" ht="13.9">
      <c r="A29" s="250">
        <v>28</v>
      </c>
      <c r="B29" s="253" t="s">
        <v>3392</v>
      </c>
      <c r="C29" s="254">
        <v>45988</v>
      </c>
      <c r="D29" s="253" t="s">
        <v>3337</v>
      </c>
      <c r="E29" s="253" t="s">
        <v>3394</v>
      </c>
      <c r="F29" s="253">
        <v>184.5</v>
      </c>
      <c r="G29" s="253"/>
      <c r="H29" s="253"/>
      <c r="I29" s="253"/>
      <c r="J29" s="253"/>
      <c r="K29" s="253">
        <v>15</v>
      </c>
      <c r="L29" s="253">
        <f t="shared" si="0"/>
        <v>199.5</v>
      </c>
      <c r="M29" s="253"/>
      <c r="N29" s="249"/>
      <c r="O29" s="249"/>
      <c r="P29" s="249"/>
      <c r="Q29" s="249"/>
      <c r="R29" s="249"/>
      <c r="S29" s="249"/>
      <c r="T29" s="249"/>
      <c r="U29" s="249"/>
      <c r="V29" s="249"/>
      <c r="W29" s="249"/>
    </row>
    <row r="30" spans="1:23" ht="13.9">
      <c r="A30" s="250">
        <v>29</v>
      </c>
      <c r="B30" s="253" t="s">
        <v>3395</v>
      </c>
      <c r="C30" s="254">
        <v>45987</v>
      </c>
      <c r="D30" s="253" t="s">
        <v>3361</v>
      </c>
      <c r="E30" s="253" t="s">
        <v>3373</v>
      </c>
      <c r="F30" s="253">
        <v>210.5</v>
      </c>
      <c r="G30" s="253"/>
      <c r="H30" s="253"/>
      <c r="I30" s="253"/>
      <c r="J30" s="253"/>
      <c r="K30" s="253">
        <v>15</v>
      </c>
      <c r="L30" s="253">
        <f t="shared" si="0"/>
        <v>225.5</v>
      </c>
      <c r="M30" s="253"/>
      <c r="N30" s="249"/>
      <c r="O30" s="249"/>
      <c r="P30" s="249"/>
      <c r="Q30" s="249"/>
      <c r="R30" s="249"/>
      <c r="S30" s="249"/>
      <c r="T30" s="249"/>
      <c r="U30" s="249"/>
      <c r="V30" s="249"/>
      <c r="W30" s="249"/>
    </row>
    <row r="31" spans="1:23" ht="13.9">
      <c r="A31" s="250">
        <v>31</v>
      </c>
      <c r="B31" s="253" t="s">
        <v>3395</v>
      </c>
      <c r="C31" s="254">
        <v>45988</v>
      </c>
      <c r="D31" s="253" t="s">
        <v>3337</v>
      </c>
      <c r="E31" s="253" t="s">
        <v>3396</v>
      </c>
      <c r="F31" s="253"/>
      <c r="G31" s="253"/>
      <c r="H31" s="253"/>
      <c r="I31" s="253">
        <v>296</v>
      </c>
      <c r="J31" s="253">
        <v>15</v>
      </c>
      <c r="K31" s="253">
        <v>15</v>
      </c>
      <c r="L31" s="253">
        <f t="shared" si="0"/>
        <v>326</v>
      </c>
      <c r="M31" s="253" t="s">
        <v>3346</v>
      </c>
      <c r="N31" s="249"/>
      <c r="O31" s="249"/>
      <c r="P31" s="249"/>
      <c r="Q31" s="249"/>
      <c r="R31" s="249"/>
      <c r="S31" s="249"/>
      <c r="T31" s="249"/>
      <c r="U31" s="249"/>
      <c r="V31" s="249"/>
      <c r="W31" s="249"/>
    </row>
    <row r="32" spans="1:23" ht="13.9">
      <c r="A32" s="250">
        <v>32</v>
      </c>
      <c r="B32" s="253" t="s">
        <v>3397</v>
      </c>
      <c r="C32" s="254">
        <v>45987</v>
      </c>
      <c r="D32" s="253" t="s">
        <v>3361</v>
      </c>
      <c r="E32" s="253" t="s">
        <v>3398</v>
      </c>
      <c r="F32" s="253"/>
      <c r="G32" s="253"/>
      <c r="H32" s="253">
        <v>15</v>
      </c>
      <c r="I32" s="253"/>
      <c r="J32" s="253"/>
      <c r="K32" s="253"/>
      <c r="L32" s="253">
        <f t="shared" si="0"/>
        <v>15</v>
      </c>
      <c r="M32" s="253" t="s">
        <v>3399</v>
      </c>
      <c r="N32" s="249"/>
      <c r="O32" s="249"/>
      <c r="P32" s="249"/>
      <c r="Q32" s="249"/>
      <c r="R32" s="249"/>
      <c r="S32" s="249"/>
      <c r="T32" s="249"/>
      <c r="U32" s="249"/>
      <c r="V32" s="249"/>
      <c r="W32" s="249"/>
    </row>
    <row r="33" spans="1:23" ht="13.9">
      <c r="A33" s="250">
        <v>33</v>
      </c>
      <c r="B33" s="253" t="s">
        <v>3397</v>
      </c>
      <c r="C33" s="254">
        <v>45988</v>
      </c>
      <c r="D33" s="253" t="s">
        <v>3400</v>
      </c>
      <c r="E33" s="253" t="s">
        <v>3401</v>
      </c>
      <c r="F33" s="253"/>
      <c r="G33" s="253"/>
      <c r="H33" s="253">
        <v>15</v>
      </c>
      <c r="I33" s="253"/>
      <c r="J33" s="253"/>
      <c r="K33" s="253"/>
      <c r="L33" s="253">
        <f t="shared" si="0"/>
        <v>15</v>
      </c>
      <c r="M33" s="253" t="s">
        <v>3399</v>
      </c>
      <c r="N33" s="249"/>
      <c r="O33" s="249"/>
      <c r="P33" s="249"/>
      <c r="Q33" s="249"/>
      <c r="R33" s="249"/>
      <c r="S33" s="249"/>
      <c r="T33" s="249"/>
      <c r="U33" s="249"/>
      <c r="V33" s="249"/>
      <c r="W33" s="249"/>
    </row>
    <row r="34" spans="1:23" ht="13.9">
      <c r="A34" s="250">
        <v>34</v>
      </c>
      <c r="B34" s="253" t="s">
        <v>3402</v>
      </c>
      <c r="C34" s="254">
        <v>45986</v>
      </c>
      <c r="D34" s="253" t="s">
        <v>3361</v>
      </c>
      <c r="E34" s="253" t="s">
        <v>3403</v>
      </c>
      <c r="F34" s="253">
        <v>210.5</v>
      </c>
      <c r="G34" s="253"/>
      <c r="H34" s="253"/>
      <c r="I34" s="253"/>
      <c r="J34" s="253"/>
      <c r="K34" s="253">
        <v>15</v>
      </c>
      <c r="L34" s="253">
        <f t="shared" si="0"/>
        <v>225.5</v>
      </c>
      <c r="M34" s="253"/>
      <c r="N34" s="249"/>
      <c r="O34" s="249"/>
      <c r="P34" s="249"/>
      <c r="Q34" s="249"/>
      <c r="R34" s="249"/>
      <c r="S34" s="249"/>
      <c r="T34" s="249"/>
      <c r="U34" s="249"/>
      <c r="V34" s="249"/>
      <c r="W34" s="249"/>
    </row>
    <row r="35" spans="1:23" ht="13.9">
      <c r="A35" s="250">
        <v>35</v>
      </c>
      <c r="B35" s="253" t="s">
        <v>3402</v>
      </c>
      <c r="C35" s="254">
        <v>45988</v>
      </c>
      <c r="D35" s="253" t="s">
        <v>3374</v>
      </c>
      <c r="E35" s="253" t="s">
        <v>3375</v>
      </c>
      <c r="F35" s="253">
        <v>195</v>
      </c>
      <c r="G35" s="253"/>
      <c r="H35" s="253"/>
      <c r="I35" s="253"/>
      <c r="J35" s="253"/>
      <c r="K35" s="253">
        <v>15</v>
      </c>
      <c r="L35" s="253">
        <f t="shared" si="0"/>
        <v>210</v>
      </c>
      <c r="M35" s="253"/>
      <c r="N35" s="249"/>
      <c r="O35" s="249"/>
      <c r="P35" s="249"/>
      <c r="Q35" s="249"/>
      <c r="R35" s="249"/>
      <c r="S35" s="249"/>
      <c r="T35" s="249"/>
      <c r="U35" s="249"/>
      <c r="V35" s="249"/>
      <c r="W35" s="249"/>
    </row>
    <row r="36" spans="1:23" ht="13.9">
      <c r="A36" s="250">
        <v>36</v>
      </c>
      <c r="B36" s="253" t="s">
        <v>3404</v>
      </c>
      <c r="C36" s="254">
        <v>45986</v>
      </c>
      <c r="D36" s="253" t="s">
        <v>3405</v>
      </c>
      <c r="E36" s="253" t="s">
        <v>3406</v>
      </c>
      <c r="F36" s="253">
        <v>266</v>
      </c>
      <c r="G36" s="253"/>
      <c r="H36" s="253"/>
      <c r="I36" s="253"/>
      <c r="J36" s="253"/>
      <c r="K36" s="253">
        <v>15</v>
      </c>
      <c r="L36" s="253">
        <f t="shared" si="0"/>
        <v>281</v>
      </c>
      <c r="M36" s="253"/>
      <c r="N36" s="249"/>
      <c r="O36" s="249"/>
      <c r="P36" s="249"/>
      <c r="Q36" s="249"/>
      <c r="R36" s="249"/>
      <c r="S36" s="249"/>
      <c r="T36" s="249"/>
      <c r="U36" s="249"/>
      <c r="V36" s="249"/>
      <c r="W36" s="249"/>
    </row>
    <row r="37" spans="1:23" ht="13.9">
      <c r="A37" s="250">
        <v>37</v>
      </c>
      <c r="B37" s="253" t="s">
        <v>3404</v>
      </c>
      <c r="C37" s="254">
        <v>45988</v>
      </c>
      <c r="D37" s="253" t="s">
        <v>3407</v>
      </c>
      <c r="E37" s="253" t="s">
        <v>3408</v>
      </c>
      <c r="F37" s="253">
        <v>200.5</v>
      </c>
      <c r="G37" s="253"/>
      <c r="H37" s="253"/>
      <c r="I37" s="253"/>
      <c r="J37" s="253"/>
      <c r="K37" s="253">
        <v>15</v>
      </c>
      <c r="L37" s="253">
        <f t="shared" si="0"/>
        <v>215.5</v>
      </c>
      <c r="M37" s="253"/>
      <c r="N37" s="249"/>
      <c r="O37" s="249"/>
      <c r="P37" s="249"/>
      <c r="Q37" s="249"/>
      <c r="R37" s="249"/>
      <c r="S37" s="249"/>
      <c r="T37" s="249"/>
      <c r="U37" s="249"/>
      <c r="V37" s="249"/>
      <c r="W37" s="249"/>
    </row>
    <row r="38" spans="1:23" ht="13.9">
      <c r="A38" s="250">
        <v>38</v>
      </c>
      <c r="B38" s="253" t="s">
        <v>3409</v>
      </c>
      <c r="C38" s="254">
        <v>45986</v>
      </c>
      <c r="D38" s="253" t="s">
        <v>3381</v>
      </c>
      <c r="E38" s="253" t="s">
        <v>3382</v>
      </c>
      <c r="F38" s="253">
        <v>462</v>
      </c>
      <c r="G38" s="253"/>
      <c r="H38" s="253"/>
      <c r="I38" s="253"/>
      <c r="J38" s="253"/>
      <c r="K38" s="253">
        <v>15</v>
      </c>
      <c r="L38" s="253">
        <f t="shared" si="0"/>
        <v>477</v>
      </c>
      <c r="M38" s="253"/>
      <c r="N38" s="249"/>
      <c r="O38" s="249"/>
      <c r="P38" s="249"/>
      <c r="Q38" s="249"/>
      <c r="R38" s="249"/>
      <c r="S38" s="249"/>
      <c r="T38" s="249"/>
      <c r="U38" s="249"/>
      <c r="V38" s="249"/>
      <c r="W38" s="249"/>
    </row>
    <row r="39" spans="1:23" ht="13.9">
      <c r="A39" s="250">
        <v>39</v>
      </c>
      <c r="B39" s="253" t="s">
        <v>3409</v>
      </c>
      <c r="C39" s="254">
        <v>45988</v>
      </c>
      <c r="D39" s="253" t="s">
        <v>3383</v>
      </c>
      <c r="E39" s="253" t="s">
        <v>3410</v>
      </c>
      <c r="F39" s="253">
        <v>461.5</v>
      </c>
      <c r="G39" s="253"/>
      <c r="H39" s="253"/>
      <c r="I39" s="253"/>
      <c r="J39" s="253"/>
      <c r="K39" s="253">
        <v>15</v>
      </c>
      <c r="L39" s="253">
        <f t="shared" si="0"/>
        <v>476.5</v>
      </c>
      <c r="M39" s="253"/>
      <c r="N39" s="249"/>
      <c r="O39" s="249"/>
      <c r="P39" s="249"/>
      <c r="Q39" s="249"/>
      <c r="R39" s="249"/>
      <c r="S39" s="249"/>
      <c r="T39" s="249"/>
      <c r="U39" s="249"/>
      <c r="V39" s="249"/>
      <c r="W39" s="249"/>
    </row>
    <row r="40" spans="1:23" ht="13.9">
      <c r="A40" s="250">
        <v>40</v>
      </c>
      <c r="B40" s="253" t="s">
        <v>3411</v>
      </c>
      <c r="C40" s="254">
        <v>45986</v>
      </c>
      <c r="D40" s="253" t="s">
        <v>3348</v>
      </c>
      <c r="E40" s="253" t="s">
        <v>3349</v>
      </c>
      <c r="F40" s="253"/>
      <c r="G40" s="253">
        <v>42.5</v>
      </c>
      <c r="H40" s="253">
        <v>15</v>
      </c>
      <c r="I40" s="253"/>
      <c r="J40" s="253"/>
      <c r="K40" s="253"/>
      <c r="L40" s="253">
        <f t="shared" si="0"/>
        <v>57.5</v>
      </c>
      <c r="M40" s="253" t="s">
        <v>3399</v>
      </c>
      <c r="N40" s="249"/>
      <c r="O40" s="249"/>
      <c r="P40" s="249"/>
      <c r="Q40" s="249"/>
      <c r="R40" s="249"/>
      <c r="S40" s="249"/>
      <c r="T40" s="249"/>
      <c r="U40" s="249"/>
      <c r="V40" s="249"/>
      <c r="W40" s="249"/>
    </row>
    <row r="41" spans="1:23" ht="13.9">
      <c r="A41" s="250">
        <v>41</v>
      </c>
      <c r="B41" s="253" t="s">
        <v>3411</v>
      </c>
      <c r="C41" s="254">
        <v>45988</v>
      </c>
      <c r="D41" s="253" t="s">
        <v>3350</v>
      </c>
      <c r="E41" s="253" t="s">
        <v>3412</v>
      </c>
      <c r="F41" s="253"/>
      <c r="G41" s="253">
        <v>10</v>
      </c>
      <c r="H41" s="253">
        <v>15</v>
      </c>
      <c r="I41" s="253"/>
      <c r="J41" s="253"/>
      <c r="K41" s="253"/>
      <c r="L41" s="253">
        <f t="shared" si="0"/>
        <v>25</v>
      </c>
      <c r="M41" s="253" t="s">
        <v>3399</v>
      </c>
      <c r="N41" s="249"/>
      <c r="O41" s="249"/>
      <c r="P41" s="249"/>
      <c r="Q41" s="249"/>
      <c r="R41" s="249"/>
      <c r="S41" s="249"/>
      <c r="T41" s="249"/>
      <c r="U41" s="249"/>
      <c r="V41" s="249"/>
      <c r="W41" s="249"/>
    </row>
    <row r="42" spans="1:23" ht="13.9">
      <c r="A42" s="250">
        <v>42</v>
      </c>
      <c r="B42" s="253" t="s">
        <v>3413</v>
      </c>
      <c r="C42" s="254">
        <v>45986</v>
      </c>
      <c r="D42" s="253" t="s">
        <v>3348</v>
      </c>
      <c r="E42" s="253" t="s">
        <v>3414</v>
      </c>
      <c r="F42" s="253">
        <v>213.5</v>
      </c>
      <c r="G42" s="253"/>
      <c r="H42" s="253"/>
      <c r="I42" s="253"/>
      <c r="J42" s="253"/>
      <c r="K42" s="253">
        <v>15</v>
      </c>
      <c r="L42" s="253">
        <f t="shared" si="0"/>
        <v>228.5</v>
      </c>
      <c r="M42" s="253"/>
      <c r="N42" s="249"/>
      <c r="O42" s="249"/>
      <c r="P42" s="249"/>
      <c r="Q42" s="249"/>
      <c r="R42" s="249"/>
      <c r="S42" s="249"/>
      <c r="T42" s="249"/>
      <c r="U42" s="249"/>
      <c r="V42" s="249"/>
      <c r="W42" s="249"/>
    </row>
    <row r="43" spans="1:23" ht="13.9">
      <c r="A43" s="250">
        <v>43</v>
      </c>
      <c r="B43" s="253" t="s">
        <v>3413</v>
      </c>
      <c r="C43" s="254">
        <v>45988</v>
      </c>
      <c r="D43" s="253" t="s">
        <v>3350</v>
      </c>
      <c r="E43" s="253" t="s">
        <v>3415</v>
      </c>
      <c r="F43" s="253">
        <v>195.5</v>
      </c>
      <c r="G43" s="253"/>
      <c r="H43" s="253"/>
      <c r="I43" s="253"/>
      <c r="J43" s="253"/>
      <c r="K43" s="253">
        <v>15</v>
      </c>
      <c r="L43" s="253">
        <f t="shared" si="0"/>
        <v>210.5</v>
      </c>
      <c r="M43" s="253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3.9">
      <c r="A44" s="250">
        <v>45</v>
      </c>
      <c r="B44" s="253" t="s">
        <v>3416</v>
      </c>
      <c r="C44" s="254">
        <v>45987</v>
      </c>
      <c r="D44" s="253" t="s">
        <v>3361</v>
      </c>
      <c r="E44" s="253" t="s">
        <v>3362</v>
      </c>
      <c r="F44" s="253"/>
      <c r="G44" s="253">
        <v>2.5</v>
      </c>
      <c r="H44" s="253"/>
      <c r="I44" s="253">
        <v>184.5</v>
      </c>
      <c r="J44" s="253">
        <v>15</v>
      </c>
      <c r="K44" s="253">
        <v>15</v>
      </c>
      <c r="L44" s="253">
        <f t="shared" si="0"/>
        <v>217</v>
      </c>
      <c r="M44" s="253" t="s">
        <v>3346</v>
      </c>
      <c r="N44" s="249"/>
      <c r="O44" s="249"/>
      <c r="P44" s="249"/>
      <c r="Q44" s="249"/>
      <c r="R44" s="249"/>
      <c r="S44" s="249"/>
      <c r="T44" s="249"/>
      <c r="U44" s="249"/>
      <c r="V44" s="249"/>
      <c r="W44" s="249"/>
    </row>
    <row r="45" spans="1:23" ht="13.9">
      <c r="A45" s="250">
        <v>46</v>
      </c>
      <c r="B45" s="253" t="s">
        <v>3416</v>
      </c>
      <c r="C45" s="254">
        <v>45988</v>
      </c>
      <c r="D45" s="253" t="s">
        <v>3337</v>
      </c>
      <c r="E45" s="253" t="s">
        <v>3396</v>
      </c>
      <c r="F45" s="253">
        <v>184.5</v>
      </c>
      <c r="G45" s="253"/>
      <c r="H45" s="253"/>
      <c r="I45" s="253"/>
      <c r="J45" s="253"/>
      <c r="K45" s="253">
        <v>15</v>
      </c>
      <c r="L45" s="253">
        <f t="shared" si="0"/>
        <v>199.5</v>
      </c>
      <c r="M45" s="253"/>
      <c r="N45" s="249"/>
      <c r="O45" s="249"/>
      <c r="P45" s="249"/>
      <c r="Q45" s="249"/>
      <c r="R45" s="249"/>
      <c r="S45" s="249"/>
      <c r="T45" s="249"/>
      <c r="U45" s="249"/>
      <c r="V45" s="249"/>
      <c r="W45" s="249"/>
    </row>
    <row r="46" spans="1:23" ht="13.9">
      <c r="A46" s="250">
        <v>47</v>
      </c>
      <c r="B46" s="253" t="s">
        <v>3417</v>
      </c>
      <c r="C46" s="254">
        <v>45988</v>
      </c>
      <c r="D46" s="253" t="s">
        <v>3418</v>
      </c>
      <c r="E46" s="253" t="s">
        <v>3386</v>
      </c>
      <c r="F46" s="253">
        <v>836</v>
      </c>
      <c r="G46" s="253"/>
      <c r="H46" s="253"/>
      <c r="I46" s="253"/>
      <c r="J46" s="253"/>
      <c r="K46" s="253">
        <v>15</v>
      </c>
      <c r="L46" s="253">
        <f t="shared" si="0"/>
        <v>851</v>
      </c>
      <c r="M46" s="253"/>
      <c r="N46" s="249"/>
      <c r="O46" s="249"/>
      <c r="P46" s="249"/>
      <c r="Q46" s="249"/>
      <c r="R46" s="249"/>
      <c r="S46" s="249"/>
      <c r="T46" s="249"/>
      <c r="U46" s="249"/>
      <c r="V46" s="249"/>
      <c r="W46" s="249"/>
    </row>
    <row r="47" spans="1:23" ht="13.9">
      <c r="A47" s="250">
        <v>48</v>
      </c>
      <c r="B47" s="253" t="s">
        <v>3419</v>
      </c>
      <c r="C47" s="254">
        <v>45988</v>
      </c>
      <c r="D47" s="253" t="s">
        <v>3420</v>
      </c>
      <c r="E47" s="253" t="s">
        <v>3421</v>
      </c>
      <c r="F47" s="253">
        <v>185.5</v>
      </c>
      <c r="G47" s="253"/>
      <c r="H47" s="253"/>
      <c r="I47" s="253"/>
      <c r="J47" s="253"/>
      <c r="K47" s="253">
        <v>15</v>
      </c>
      <c r="L47" s="253">
        <f t="shared" si="0"/>
        <v>200.5</v>
      </c>
      <c r="M47" s="253"/>
      <c r="N47" s="249"/>
      <c r="O47" s="249"/>
      <c r="P47" s="249"/>
      <c r="Q47" s="249"/>
      <c r="R47" s="249"/>
      <c r="S47" s="249"/>
      <c r="T47" s="249"/>
      <c r="U47" s="249"/>
      <c r="V47" s="249"/>
      <c r="W47" s="249"/>
    </row>
    <row r="48" spans="1:23" ht="13.9">
      <c r="A48" s="250">
        <v>49</v>
      </c>
      <c r="B48" s="253" t="s">
        <v>3422</v>
      </c>
      <c r="C48" s="254">
        <v>45986</v>
      </c>
      <c r="D48" s="253" t="s">
        <v>3361</v>
      </c>
      <c r="E48" s="253" t="s">
        <v>3373</v>
      </c>
      <c r="F48" s="253">
        <v>210.5</v>
      </c>
      <c r="G48" s="253"/>
      <c r="H48" s="253"/>
      <c r="I48" s="253"/>
      <c r="J48" s="253"/>
      <c r="K48" s="253">
        <v>15</v>
      </c>
      <c r="L48" s="253">
        <f t="shared" si="0"/>
        <v>225.5</v>
      </c>
      <c r="M48" s="253"/>
      <c r="N48" s="249"/>
      <c r="O48" s="249"/>
      <c r="P48" s="249"/>
      <c r="Q48" s="249"/>
      <c r="R48" s="249"/>
      <c r="S48" s="249"/>
      <c r="T48" s="249"/>
      <c r="U48" s="249"/>
      <c r="V48" s="249"/>
      <c r="W48" s="249"/>
    </row>
    <row r="49" spans="1:23" ht="13.9">
      <c r="A49" s="250">
        <v>50</v>
      </c>
      <c r="B49" s="253" t="s">
        <v>3423</v>
      </c>
      <c r="C49" s="254">
        <v>45988</v>
      </c>
      <c r="D49" s="253" t="s">
        <v>3424</v>
      </c>
      <c r="E49" s="253" t="s">
        <v>3425</v>
      </c>
      <c r="F49" s="253">
        <v>301.5</v>
      </c>
      <c r="G49" s="253"/>
      <c r="H49" s="253"/>
      <c r="I49" s="253"/>
      <c r="J49" s="253"/>
      <c r="K49" s="253">
        <v>15</v>
      </c>
      <c r="L49" s="253">
        <f t="shared" si="0"/>
        <v>316.5</v>
      </c>
      <c r="M49" s="253"/>
      <c r="N49" s="249"/>
      <c r="O49" s="249"/>
      <c r="P49" s="249"/>
      <c r="Q49" s="249"/>
      <c r="R49" s="249"/>
      <c r="S49" s="249"/>
      <c r="T49" s="249"/>
      <c r="U49" s="249"/>
      <c r="V49" s="249"/>
      <c r="W49" s="249"/>
    </row>
    <row r="50" spans="1:23" ht="13.9">
      <c r="A50" s="250">
        <v>51</v>
      </c>
      <c r="B50" s="253" t="s">
        <v>3426</v>
      </c>
      <c r="C50" s="254">
        <v>45986</v>
      </c>
      <c r="D50" s="253" t="s">
        <v>3361</v>
      </c>
      <c r="E50" s="253" t="s">
        <v>3403</v>
      </c>
      <c r="F50" s="253">
        <v>210.5</v>
      </c>
      <c r="G50" s="253"/>
      <c r="H50" s="253"/>
      <c r="I50" s="253"/>
      <c r="J50" s="253"/>
      <c r="K50" s="253">
        <v>15</v>
      </c>
      <c r="L50" s="253">
        <f t="shared" si="0"/>
        <v>225.5</v>
      </c>
      <c r="M50" s="253"/>
      <c r="N50" s="249"/>
      <c r="O50" s="249"/>
      <c r="P50" s="249"/>
      <c r="Q50" s="249"/>
      <c r="R50" s="249"/>
      <c r="S50" s="249"/>
      <c r="T50" s="249"/>
      <c r="U50" s="249"/>
      <c r="V50" s="249"/>
      <c r="W50" s="249"/>
    </row>
    <row r="51" spans="1:23" ht="13.9">
      <c r="A51" s="250">
        <v>52</v>
      </c>
      <c r="B51" s="253" t="s">
        <v>3426</v>
      </c>
      <c r="C51" s="254">
        <v>45988</v>
      </c>
      <c r="D51" s="253" t="s">
        <v>3374</v>
      </c>
      <c r="E51" s="253" t="s">
        <v>3375</v>
      </c>
      <c r="F51" s="253">
        <v>195</v>
      </c>
      <c r="G51" s="253"/>
      <c r="H51" s="253"/>
      <c r="I51" s="253"/>
      <c r="J51" s="253"/>
      <c r="K51" s="253">
        <v>15</v>
      </c>
      <c r="L51" s="253">
        <f t="shared" si="0"/>
        <v>210</v>
      </c>
      <c r="M51" s="253"/>
      <c r="N51" s="249"/>
      <c r="O51" s="249"/>
      <c r="P51" s="249"/>
      <c r="Q51" s="249"/>
      <c r="R51" s="249"/>
      <c r="S51" s="249"/>
      <c r="T51" s="249"/>
      <c r="U51" s="249"/>
      <c r="V51" s="249"/>
      <c r="W51" s="249"/>
    </row>
    <row r="52" spans="1:23" ht="13.9">
      <c r="A52" s="250">
        <v>53</v>
      </c>
      <c r="B52" s="253" t="s">
        <v>3427</v>
      </c>
      <c r="C52" s="254">
        <v>45986</v>
      </c>
      <c r="D52" s="253" t="s">
        <v>3356</v>
      </c>
      <c r="E52" s="253" t="s">
        <v>3428</v>
      </c>
      <c r="F52" s="253">
        <v>198</v>
      </c>
      <c r="G52" s="253"/>
      <c r="H52" s="253"/>
      <c r="I52" s="253"/>
      <c r="J52" s="253"/>
      <c r="K52" s="253">
        <v>15</v>
      </c>
      <c r="L52" s="253">
        <f t="shared" si="0"/>
        <v>213</v>
      </c>
      <c r="M52" s="253"/>
      <c r="N52" s="249"/>
      <c r="O52" s="249"/>
      <c r="P52" s="249"/>
      <c r="Q52" s="249"/>
      <c r="R52" s="249"/>
      <c r="S52" s="249"/>
      <c r="T52" s="249"/>
      <c r="U52" s="249"/>
      <c r="V52" s="249"/>
      <c r="W52" s="249"/>
    </row>
    <row r="53" spans="1:23" ht="13.9">
      <c r="A53" s="250">
        <v>54</v>
      </c>
      <c r="B53" s="253" t="s">
        <v>3427</v>
      </c>
      <c r="C53" s="254">
        <v>45988</v>
      </c>
      <c r="D53" s="253" t="s">
        <v>3407</v>
      </c>
      <c r="E53" s="253" t="s">
        <v>3408</v>
      </c>
      <c r="F53" s="253"/>
      <c r="G53" s="253">
        <v>10</v>
      </c>
      <c r="H53" s="253">
        <v>15</v>
      </c>
      <c r="I53" s="253"/>
      <c r="J53" s="253"/>
      <c r="K53" s="253"/>
      <c r="L53" s="253">
        <f t="shared" si="0"/>
        <v>25</v>
      </c>
      <c r="M53" s="253" t="s">
        <v>3399</v>
      </c>
      <c r="N53" s="249"/>
      <c r="O53" s="249"/>
      <c r="P53" s="249"/>
      <c r="Q53" s="249"/>
      <c r="R53" s="249"/>
      <c r="S53" s="249"/>
      <c r="T53" s="249"/>
      <c r="U53" s="249"/>
      <c r="V53" s="249"/>
      <c r="W53" s="249"/>
    </row>
    <row r="54" spans="1:23" ht="13.9">
      <c r="A54" s="250">
        <v>55</v>
      </c>
      <c r="B54" s="253" t="s">
        <v>3429</v>
      </c>
      <c r="C54" s="254">
        <v>45986</v>
      </c>
      <c r="D54" s="253" t="s">
        <v>3361</v>
      </c>
      <c r="E54" s="253" t="s">
        <v>3430</v>
      </c>
      <c r="F54" s="253">
        <v>651</v>
      </c>
      <c r="G54" s="253"/>
      <c r="H54" s="253"/>
      <c r="I54" s="253"/>
      <c r="J54" s="253"/>
      <c r="K54" s="253">
        <v>15</v>
      </c>
      <c r="L54" s="253">
        <f t="shared" si="0"/>
        <v>666</v>
      </c>
      <c r="M54" s="253"/>
      <c r="N54" s="249"/>
      <c r="O54" s="249"/>
      <c r="P54" s="249"/>
      <c r="Q54" s="249"/>
      <c r="R54" s="249"/>
      <c r="S54" s="249"/>
      <c r="T54" s="249"/>
      <c r="U54" s="249"/>
      <c r="V54" s="249"/>
      <c r="W54" s="249"/>
    </row>
    <row r="55" spans="1:23" ht="13.9">
      <c r="A55" s="250">
        <v>56</v>
      </c>
      <c r="B55" s="253" t="s">
        <v>3429</v>
      </c>
      <c r="C55" s="254">
        <v>45988</v>
      </c>
      <c r="D55" s="253" t="s">
        <v>3337</v>
      </c>
      <c r="E55" s="253" t="s">
        <v>3353</v>
      </c>
      <c r="F55" s="253">
        <v>612</v>
      </c>
      <c r="G55" s="253"/>
      <c r="H55" s="253"/>
      <c r="I55" s="253"/>
      <c r="J55" s="253"/>
      <c r="K55" s="253">
        <v>15</v>
      </c>
      <c r="L55" s="253">
        <f t="shared" si="0"/>
        <v>627</v>
      </c>
      <c r="M55" s="253"/>
      <c r="N55" s="249"/>
      <c r="O55" s="249"/>
      <c r="P55" s="249"/>
      <c r="Q55" s="249"/>
      <c r="R55" s="249"/>
      <c r="S55" s="249"/>
      <c r="T55" s="249"/>
      <c r="U55" s="249"/>
      <c r="V55" s="249"/>
      <c r="W55" s="249"/>
    </row>
    <row r="56" spans="1:23" ht="13.9">
      <c r="A56" s="250">
        <v>57</v>
      </c>
      <c r="B56" s="253" t="s">
        <v>3431</v>
      </c>
      <c r="C56" s="254">
        <v>45986</v>
      </c>
      <c r="D56" s="253" t="s">
        <v>3432</v>
      </c>
      <c r="E56" s="253" t="s">
        <v>3357</v>
      </c>
      <c r="F56" s="253">
        <v>166.5</v>
      </c>
      <c r="G56" s="253"/>
      <c r="H56" s="253"/>
      <c r="I56" s="253"/>
      <c r="J56" s="253"/>
      <c r="K56" s="253">
        <v>15</v>
      </c>
      <c r="L56" s="253">
        <f t="shared" si="0"/>
        <v>181.5</v>
      </c>
      <c r="M56" s="253"/>
      <c r="N56" s="249"/>
      <c r="O56" s="249"/>
      <c r="P56" s="249"/>
      <c r="Q56" s="249"/>
      <c r="R56" s="249"/>
      <c r="S56" s="249"/>
      <c r="T56" s="249"/>
      <c r="U56" s="249"/>
      <c r="V56" s="249"/>
      <c r="W56" s="249"/>
    </row>
    <row r="57" spans="1:23" ht="13.9">
      <c r="A57" s="250">
        <v>58</v>
      </c>
      <c r="B57" s="253" t="s">
        <v>3431</v>
      </c>
      <c r="C57" s="254">
        <v>45988</v>
      </c>
      <c r="D57" s="253" t="s">
        <v>3358</v>
      </c>
      <c r="E57" s="253" t="s">
        <v>3359</v>
      </c>
      <c r="F57" s="253">
        <v>198</v>
      </c>
      <c r="G57" s="253"/>
      <c r="H57" s="253"/>
      <c r="I57" s="253"/>
      <c r="J57" s="253"/>
      <c r="K57" s="253">
        <v>15</v>
      </c>
      <c r="L57" s="253">
        <f t="shared" si="0"/>
        <v>213</v>
      </c>
      <c r="M57" s="253"/>
      <c r="N57" s="249"/>
      <c r="O57" s="249"/>
      <c r="P57" s="249"/>
      <c r="Q57" s="249"/>
      <c r="R57" s="249"/>
      <c r="S57" s="249"/>
      <c r="T57" s="249"/>
      <c r="U57" s="249"/>
      <c r="V57" s="249"/>
      <c r="W57" s="249"/>
    </row>
    <row r="58" spans="1:23" ht="13.9">
      <c r="A58" s="250">
        <v>60</v>
      </c>
      <c r="B58" s="253" t="s">
        <v>3433</v>
      </c>
      <c r="C58" s="254">
        <v>45988</v>
      </c>
      <c r="D58" s="253" t="s">
        <v>3407</v>
      </c>
      <c r="E58" s="253" t="s">
        <v>3408</v>
      </c>
      <c r="F58" s="253"/>
      <c r="G58" s="253">
        <v>42.5</v>
      </c>
      <c r="H58" s="253">
        <v>15</v>
      </c>
      <c r="I58" s="253"/>
      <c r="J58" s="253"/>
      <c r="K58" s="253"/>
      <c r="L58" s="253">
        <f t="shared" si="0"/>
        <v>57.5</v>
      </c>
      <c r="M58" s="253" t="s">
        <v>3399</v>
      </c>
      <c r="N58" s="249"/>
      <c r="O58" s="249"/>
      <c r="P58" s="249"/>
      <c r="Q58" s="249"/>
      <c r="R58" s="249"/>
      <c r="S58" s="249"/>
      <c r="T58" s="249"/>
      <c r="U58" s="249"/>
      <c r="V58" s="249"/>
      <c r="W58" s="249"/>
    </row>
    <row r="59" spans="1:23" ht="13.9">
      <c r="A59" s="250">
        <v>61</v>
      </c>
      <c r="B59" s="253" t="s">
        <v>3434</v>
      </c>
      <c r="C59" s="254">
        <v>45986</v>
      </c>
      <c r="D59" s="253" t="s">
        <v>3361</v>
      </c>
      <c r="E59" s="253" t="s">
        <v>3430</v>
      </c>
      <c r="F59" s="253">
        <v>210.5</v>
      </c>
      <c r="G59" s="253"/>
      <c r="H59" s="253"/>
      <c r="I59" s="253"/>
      <c r="J59" s="253"/>
      <c r="K59" s="253">
        <v>15</v>
      </c>
      <c r="L59" s="253">
        <f t="shared" si="0"/>
        <v>225.5</v>
      </c>
      <c r="M59" s="253"/>
      <c r="N59" s="249"/>
      <c r="O59" s="249"/>
      <c r="P59" s="249"/>
      <c r="Q59" s="249"/>
      <c r="R59" s="249"/>
      <c r="S59" s="249"/>
      <c r="T59" s="249"/>
      <c r="U59" s="249"/>
      <c r="V59" s="249"/>
      <c r="W59" s="249"/>
    </row>
    <row r="60" spans="1:23" ht="13.9">
      <c r="A60" s="250">
        <v>62</v>
      </c>
      <c r="B60" s="253" t="s">
        <v>3434</v>
      </c>
      <c r="C60" s="254">
        <v>45988</v>
      </c>
      <c r="D60" s="253" t="s">
        <v>3407</v>
      </c>
      <c r="E60" s="253" t="s">
        <v>3408</v>
      </c>
      <c r="F60" s="253">
        <v>200.5</v>
      </c>
      <c r="G60" s="253"/>
      <c r="H60" s="253"/>
      <c r="I60" s="253"/>
      <c r="J60" s="253"/>
      <c r="K60" s="253">
        <v>15</v>
      </c>
      <c r="L60" s="253">
        <f t="shared" si="0"/>
        <v>215.5</v>
      </c>
      <c r="M60" s="253"/>
      <c r="N60" s="249"/>
      <c r="O60" s="249"/>
      <c r="P60" s="249"/>
      <c r="Q60" s="249"/>
      <c r="R60" s="249"/>
      <c r="S60" s="249"/>
      <c r="T60" s="249"/>
      <c r="U60" s="249"/>
      <c r="V60" s="249"/>
      <c r="W60" s="249"/>
    </row>
    <row r="61" spans="1:23" ht="13.9">
      <c r="A61" s="250">
        <v>63</v>
      </c>
      <c r="B61" s="253" t="s">
        <v>3435</v>
      </c>
      <c r="C61" s="254">
        <v>45988</v>
      </c>
      <c r="D61" s="253" t="s">
        <v>3337</v>
      </c>
      <c r="E61" s="253" t="s">
        <v>3353</v>
      </c>
      <c r="F61" s="253">
        <v>612</v>
      </c>
      <c r="G61" s="253"/>
      <c r="H61" s="253"/>
      <c r="I61" s="253"/>
      <c r="J61" s="253"/>
      <c r="K61" s="253">
        <v>15</v>
      </c>
      <c r="L61" s="253">
        <f t="shared" si="0"/>
        <v>627</v>
      </c>
      <c r="M61" s="253"/>
      <c r="N61" s="249"/>
      <c r="O61" s="249"/>
      <c r="P61" s="249"/>
      <c r="Q61" s="249"/>
      <c r="R61" s="249"/>
      <c r="S61" s="249"/>
      <c r="T61" s="249"/>
      <c r="U61" s="249"/>
      <c r="V61" s="249"/>
      <c r="W61" s="249"/>
    </row>
    <row r="62" spans="1:23" ht="13.9">
      <c r="A62" s="250">
        <v>64</v>
      </c>
      <c r="B62" s="253" t="s">
        <v>3436</v>
      </c>
      <c r="C62" s="254">
        <v>45985</v>
      </c>
      <c r="D62" s="253" t="s">
        <v>3437</v>
      </c>
      <c r="E62" s="253" t="s">
        <v>3438</v>
      </c>
      <c r="F62" s="253">
        <v>200</v>
      </c>
      <c r="G62" s="253"/>
      <c r="H62" s="253"/>
      <c r="I62" s="253"/>
      <c r="J62" s="253"/>
      <c r="K62" s="253">
        <v>15</v>
      </c>
      <c r="L62" s="253">
        <f t="shared" si="0"/>
        <v>215</v>
      </c>
      <c r="M62" s="253"/>
      <c r="N62" s="249"/>
      <c r="O62" s="249"/>
      <c r="P62" s="249"/>
      <c r="Q62" s="249"/>
      <c r="R62" s="249"/>
      <c r="S62" s="249"/>
      <c r="T62" s="249"/>
      <c r="U62" s="249"/>
      <c r="V62" s="249"/>
      <c r="W62" s="249"/>
    </row>
    <row r="63" spans="1:23" ht="13.9">
      <c r="A63" s="250">
        <v>65</v>
      </c>
      <c r="B63" s="253" t="s">
        <v>3436</v>
      </c>
      <c r="C63" s="254">
        <v>45988</v>
      </c>
      <c r="D63" s="253" t="s">
        <v>3337</v>
      </c>
      <c r="E63" s="253" t="s">
        <v>3439</v>
      </c>
      <c r="F63" s="253">
        <v>184.5</v>
      </c>
      <c r="G63" s="253"/>
      <c r="H63" s="253"/>
      <c r="I63" s="253"/>
      <c r="J63" s="253"/>
      <c r="K63" s="253">
        <v>15</v>
      </c>
      <c r="L63" s="253">
        <f t="shared" si="0"/>
        <v>199.5</v>
      </c>
      <c r="M63" s="253"/>
      <c r="N63" s="249"/>
      <c r="O63" s="249"/>
      <c r="P63" s="249"/>
      <c r="Q63" s="249"/>
      <c r="R63" s="249"/>
      <c r="S63" s="249"/>
      <c r="T63" s="249"/>
      <c r="U63" s="249"/>
      <c r="V63" s="249"/>
      <c r="W63" s="249"/>
    </row>
    <row r="64" spans="1:23" ht="13.9">
      <c r="A64" s="250">
        <v>66</v>
      </c>
      <c r="B64" s="253" t="s">
        <v>3440</v>
      </c>
      <c r="C64" s="254">
        <v>45986</v>
      </c>
      <c r="D64" s="253" t="s">
        <v>3361</v>
      </c>
      <c r="E64" s="253" t="s">
        <v>3373</v>
      </c>
      <c r="F64" s="253">
        <v>210.5</v>
      </c>
      <c r="G64" s="253"/>
      <c r="H64" s="253"/>
      <c r="I64" s="253"/>
      <c r="J64" s="253"/>
      <c r="K64" s="253">
        <v>15</v>
      </c>
      <c r="L64" s="253">
        <f t="shared" si="0"/>
        <v>225.5</v>
      </c>
      <c r="M64" s="253"/>
      <c r="N64" s="249"/>
      <c r="O64" s="249"/>
      <c r="P64" s="249"/>
      <c r="Q64" s="249"/>
      <c r="R64" s="249"/>
      <c r="S64" s="249"/>
      <c r="T64" s="249"/>
      <c r="U64" s="249"/>
      <c r="V64" s="249"/>
      <c r="W64" s="249"/>
    </row>
    <row r="65" spans="1:23" ht="13.9">
      <c r="A65" s="250">
        <v>67</v>
      </c>
      <c r="B65" s="253" t="s">
        <v>3440</v>
      </c>
      <c r="C65" s="254">
        <v>45988</v>
      </c>
      <c r="D65" s="253" t="s">
        <v>3374</v>
      </c>
      <c r="E65" s="253" t="s">
        <v>3375</v>
      </c>
      <c r="F65" s="253">
        <v>195</v>
      </c>
      <c r="G65" s="253"/>
      <c r="H65" s="253"/>
      <c r="I65" s="253"/>
      <c r="J65" s="253"/>
      <c r="K65" s="253">
        <v>15</v>
      </c>
      <c r="L65" s="253">
        <f t="shared" si="0"/>
        <v>210</v>
      </c>
      <c r="M65" s="253"/>
      <c r="N65" s="249"/>
      <c r="O65" s="249"/>
      <c r="P65" s="249"/>
      <c r="Q65" s="249"/>
      <c r="R65" s="249"/>
      <c r="S65" s="249"/>
      <c r="T65" s="249"/>
      <c r="U65" s="249"/>
      <c r="V65" s="249"/>
      <c r="W65" s="249"/>
    </row>
    <row r="66" spans="1:23" ht="13.9">
      <c r="A66" s="250">
        <v>68</v>
      </c>
      <c r="B66" s="253" t="s">
        <v>3441</v>
      </c>
      <c r="C66" s="254">
        <v>45986</v>
      </c>
      <c r="D66" s="253" t="s">
        <v>3365</v>
      </c>
      <c r="E66" s="253" t="s">
        <v>3442</v>
      </c>
      <c r="F66" s="253">
        <v>178.5</v>
      </c>
      <c r="G66" s="253"/>
      <c r="H66" s="253"/>
      <c r="I66" s="253"/>
      <c r="J66" s="253"/>
      <c r="K66" s="253">
        <v>15</v>
      </c>
      <c r="L66" s="253">
        <f t="shared" si="0"/>
        <v>193.5</v>
      </c>
      <c r="M66" s="253"/>
      <c r="N66" s="249"/>
      <c r="O66" s="249"/>
      <c r="P66" s="249"/>
      <c r="Q66" s="249"/>
      <c r="R66" s="249"/>
      <c r="S66" s="249"/>
      <c r="T66" s="249"/>
      <c r="U66" s="249"/>
      <c r="V66" s="249"/>
      <c r="W66" s="249"/>
    </row>
    <row r="67" spans="1:23" ht="13.9">
      <c r="A67" s="250">
        <v>69</v>
      </c>
      <c r="B67" s="253" t="s">
        <v>3441</v>
      </c>
      <c r="C67" s="254">
        <v>45988</v>
      </c>
      <c r="D67" s="253" t="s">
        <v>3443</v>
      </c>
      <c r="E67" s="253" t="s">
        <v>3444</v>
      </c>
      <c r="F67" s="253">
        <v>178.5</v>
      </c>
      <c r="G67" s="253"/>
      <c r="H67" s="253"/>
      <c r="I67" s="253"/>
      <c r="J67" s="253"/>
      <c r="K67" s="253">
        <v>15</v>
      </c>
      <c r="L67" s="253">
        <f t="shared" si="0"/>
        <v>193.5</v>
      </c>
      <c r="M67" s="253"/>
      <c r="N67" s="249"/>
      <c r="O67" s="249"/>
      <c r="P67" s="249"/>
      <c r="Q67" s="249"/>
      <c r="R67" s="249"/>
      <c r="S67" s="249"/>
      <c r="T67" s="249"/>
      <c r="U67" s="249"/>
      <c r="V67" s="249"/>
      <c r="W67" s="249"/>
    </row>
    <row r="68" spans="1:23" ht="13.9">
      <c r="A68" s="250">
        <v>70</v>
      </c>
      <c r="B68" s="253" t="s">
        <v>3445</v>
      </c>
      <c r="C68" s="254">
        <v>45986</v>
      </c>
      <c r="D68" s="253" t="s">
        <v>3432</v>
      </c>
      <c r="E68" s="253" t="s">
        <v>3357</v>
      </c>
      <c r="F68" s="253">
        <v>166.5</v>
      </c>
      <c r="G68" s="253"/>
      <c r="H68" s="253"/>
      <c r="I68" s="253"/>
      <c r="J68" s="253"/>
      <c r="K68" s="253">
        <v>15</v>
      </c>
      <c r="L68" s="253">
        <f t="shared" ref="L68:L131" si="1">SUM(F68:K68)</f>
        <v>181.5</v>
      </c>
      <c r="M68" s="253"/>
      <c r="N68" s="249"/>
      <c r="O68" s="249"/>
      <c r="P68" s="249"/>
      <c r="Q68" s="249"/>
      <c r="R68" s="249"/>
      <c r="S68" s="249"/>
      <c r="T68" s="249"/>
      <c r="U68" s="249"/>
      <c r="V68" s="249"/>
      <c r="W68" s="249"/>
    </row>
    <row r="69" spans="1:23" ht="13.9">
      <c r="A69" s="250">
        <v>72</v>
      </c>
      <c r="B69" s="253" t="s">
        <v>3445</v>
      </c>
      <c r="C69" s="254">
        <v>45988</v>
      </c>
      <c r="D69" s="253" t="s">
        <v>3374</v>
      </c>
      <c r="E69" s="253" t="s">
        <v>3375</v>
      </c>
      <c r="F69" s="253"/>
      <c r="G69" s="253"/>
      <c r="H69" s="253"/>
      <c r="I69" s="253">
        <v>184.5</v>
      </c>
      <c r="J69" s="253">
        <v>15</v>
      </c>
      <c r="K69" s="253">
        <v>15</v>
      </c>
      <c r="L69" s="253">
        <f t="shared" si="1"/>
        <v>214.5</v>
      </c>
      <c r="M69" s="253" t="s">
        <v>3346</v>
      </c>
      <c r="N69" s="249"/>
      <c r="O69" s="249"/>
      <c r="P69" s="249"/>
      <c r="Q69" s="249"/>
      <c r="R69" s="249"/>
      <c r="S69" s="249"/>
      <c r="T69" s="249"/>
      <c r="U69" s="249"/>
      <c r="V69" s="249"/>
      <c r="W69" s="249"/>
    </row>
    <row r="70" spans="1:23" ht="13.9">
      <c r="A70" s="250">
        <v>73</v>
      </c>
      <c r="B70" s="253" t="s">
        <v>3446</v>
      </c>
      <c r="C70" s="254">
        <v>45986</v>
      </c>
      <c r="D70" s="253" t="s">
        <v>3365</v>
      </c>
      <c r="E70" s="253" t="s">
        <v>3442</v>
      </c>
      <c r="F70" s="253">
        <v>178.5</v>
      </c>
      <c r="G70" s="253"/>
      <c r="H70" s="253"/>
      <c r="I70" s="253"/>
      <c r="J70" s="253"/>
      <c r="K70" s="253">
        <v>15</v>
      </c>
      <c r="L70" s="253">
        <f t="shared" si="1"/>
        <v>193.5</v>
      </c>
      <c r="M70" s="253"/>
      <c r="N70" s="249"/>
      <c r="O70" s="249"/>
      <c r="P70" s="249"/>
      <c r="Q70" s="249"/>
      <c r="R70" s="249"/>
      <c r="S70" s="249"/>
      <c r="T70" s="249"/>
      <c r="U70" s="249"/>
      <c r="V70" s="249"/>
      <c r="W70" s="249"/>
    </row>
    <row r="71" spans="1:23" ht="13.9">
      <c r="A71" s="250">
        <v>74</v>
      </c>
      <c r="B71" s="253" t="s">
        <v>3446</v>
      </c>
      <c r="C71" s="254">
        <v>45988</v>
      </c>
      <c r="D71" s="253" t="s">
        <v>3443</v>
      </c>
      <c r="E71" s="253" t="s">
        <v>3447</v>
      </c>
      <c r="F71" s="253">
        <v>178.5</v>
      </c>
      <c r="G71" s="253"/>
      <c r="H71" s="253"/>
      <c r="I71" s="253"/>
      <c r="J71" s="253"/>
      <c r="K71" s="253">
        <v>15</v>
      </c>
      <c r="L71" s="253">
        <f t="shared" si="1"/>
        <v>193.5</v>
      </c>
      <c r="M71" s="253"/>
      <c r="N71" s="249"/>
      <c r="O71" s="249"/>
      <c r="P71" s="249"/>
      <c r="Q71" s="249"/>
      <c r="R71" s="249"/>
      <c r="S71" s="249"/>
      <c r="T71" s="249"/>
      <c r="U71" s="249"/>
      <c r="V71" s="249"/>
      <c r="W71" s="249"/>
    </row>
    <row r="72" spans="1:23" ht="13.9">
      <c r="A72" s="250">
        <v>76</v>
      </c>
      <c r="B72" s="253" t="s">
        <v>3448</v>
      </c>
      <c r="C72" s="254">
        <v>45986</v>
      </c>
      <c r="D72" s="253" t="s">
        <v>3356</v>
      </c>
      <c r="E72" s="253" t="s">
        <v>3428</v>
      </c>
      <c r="F72" s="253"/>
      <c r="G72" s="253"/>
      <c r="H72" s="253"/>
      <c r="I72" s="253">
        <v>614.5</v>
      </c>
      <c r="J72" s="253">
        <v>15</v>
      </c>
      <c r="K72" s="253">
        <v>15</v>
      </c>
      <c r="L72" s="253">
        <f t="shared" si="1"/>
        <v>644.5</v>
      </c>
      <c r="M72" s="253" t="s">
        <v>3346</v>
      </c>
      <c r="N72" s="249"/>
      <c r="O72" s="249"/>
      <c r="P72" s="249"/>
      <c r="Q72" s="249"/>
      <c r="R72" s="249"/>
      <c r="S72" s="249"/>
      <c r="T72" s="249"/>
      <c r="U72" s="249"/>
      <c r="V72" s="249"/>
      <c r="W72" s="249"/>
    </row>
    <row r="73" spans="1:23" ht="13.9">
      <c r="A73" s="250">
        <v>78</v>
      </c>
      <c r="B73" s="253" t="s">
        <v>3448</v>
      </c>
      <c r="C73" s="254">
        <v>45987</v>
      </c>
      <c r="D73" s="253" t="s">
        <v>3337</v>
      </c>
      <c r="E73" s="253" t="s">
        <v>3449</v>
      </c>
      <c r="F73" s="253"/>
      <c r="G73" s="253"/>
      <c r="H73" s="253"/>
      <c r="I73" s="253">
        <v>612</v>
      </c>
      <c r="J73" s="253">
        <v>15</v>
      </c>
      <c r="K73" s="253">
        <v>15</v>
      </c>
      <c r="L73" s="253">
        <f t="shared" si="1"/>
        <v>642</v>
      </c>
      <c r="M73" s="253" t="s">
        <v>3346</v>
      </c>
      <c r="N73" s="249"/>
      <c r="O73" s="249"/>
      <c r="P73" s="249"/>
      <c r="Q73" s="249"/>
      <c r="R73" s="249"/>
      <c r="S73" s="249"/>
      <c r="T73" s="249"/>
      <c r="U73" s="249"/>
      <c r="V73" s="249"/>
      <c r="W73" s="249"/>
    </row>
    <row r="74" spans="1:23" ht="13.9">
      <c r="A74" s="250">
        <v>79</v>
      </c>
      <c r="B74" s="253" t="s">
        <v>3450</v>
      </c>
      <c r="C74" s="254">
        <v>45987</v>
      </c>
      <c r="D74" s="253" t="s">
        <v>3361</v>
      </c>
      <c r="E74" s="253" t="s">
        <v>3403</v>
      </c>
      <c r="F74" s="253">
        <v>651</v>
      </c>
      <c r="G74" s="253"/>
      <c r="H74" s="253"/>
      <c r="I74" s="253"/>
      <c r="J74" s="253"/>
      <c r="K74" s="253">
        <v>15</v>
      </c>
      <c r="L74" s="253">
        <f t="shared" si="1"/>
        <v>666</v>
      </c>
      <c r="M74" s="253"/>
      <c r="N74" s="249"/>
      <c r="O74" s="249"/>
      <c r="P74" s="249"/>
      <c r="Q74" s="249"/>
      <c r="R74" s="249"/>
      <c r="S74" s="249"/>
      <c r="T74" s="249"/>
      <c r="U74" s="249"/>
      <c r="V74" s="249"/>
      <c r="W74" s="249"/>
    </row>
    <row r="75" spans="1:23" ht="13.9">
      <c r="A75" s="250">
        <v>80</v>
      </c>
      <c r="B75" s="253" t="s">
        <v>3450</v>
      </c>
      <c r="C75" s="254">
        <v>45988</v>
      </c>
      <c r="D75" s="253" t="s">
        <v>3337</v>
      </c>
      <c r="E75" s="253" t="s">
        <v>3451</v>
      </c>
      <c r="F75" s="253">
        <v>612</v>
      </c>
      <c r="G75" s="253"/>
      <c r="H75" s="253"/>
      <c r="I75" s="253"/>
      <c r="J75" s="253"/>
      <c r="K75" s="253">
        <v>15</v>
      </c>
      <c r="L75" s="253">
        <f t="shared" si="1"/>
        <v>627</v>
      </c>
      <c r="M75" s="253"/>
      <c r="N75" s="249"/>
      <c r="O75" s="249"/>
      <c r="P75" s="249"/>
      <c r="Q75" s="249"/>
      <c r="R75" s="249"/>
      <c r="S75" s="249"/>
      <c r="T75" s="249"/>
      <c r="U75" s="249"/>
      <c r="V75" s="249"/>
      <c r="W75" s="249"/>
    </row>
    <row r="76" spans="1:23" ht="13.9">
      <c r="A76" s="250">
        <v>81</v>
      </c>
      <c r="B76" s="253" t="s">
        <v>3452</v>
      </c>
      <c r="C76" s="254">
        <v>45986</v>
      </c>
      <c r="D76" s="253" t="s">
        <v>3361</v>
      </c>
      <c r="E76" s="253" t="s">
        <v>3362</v>
      </c>
      <c r="F76" s="253">
        <v>210.5</v>
      </c>
      <c r="G76" s="253"/>
      <c r="H76" s="253"/>
      <c r="I76" s="253"/>
      <c r="J76" s="253"/>
      <c r="K76" s="253">
        <v>15</v>
      </c>
      <c r="L76" s="253">
        <f t="shared" si="1"/>
        <v>225.5</v>
      </c>
      <c r="M76" s="253"/>
      <c r="N76" s="249"/>
      <c r="O76" s="249"/>
      <c r="P76" s="249"/>
      <c r="Q76" s="249"/>
      <c r="R76" s="249"/>
      <c r="S76" s="249"/>
      <c r="T76" s="249"/>
      <c r="U76" s="249"/>
      <c r="V76" s="249"/>
      <c r="W76" s="249"/>
    </row>
    <row r="77" spans="1:23" ht="13.9">
      <c r="A77" s="250">
        <v>82</v>
      </c>
      <c r="B77" s="253" t="s">
        <v>3452</v>
      </c>
      <c r="C77" s="254">
        <v>45988</v>
      </c>
      <c r="D77" s="253" t="s">
        <v>3337</v>
      </c>
      <c r="E77" s="253" t="s">
        <v>3338</v>
      </c>
      <c r="F77" s="253">
        <v>210.5</v>
      </c>
      <c r="G77" s="253"/>
      <c r="H77" s="253"/>
      <c r="I77" s="253"/>
      <c r="J77" s="253"/>
      <c r="K77" s="253">
        <v>15</v>
      </c>
      <c r="L77" s="253">
        <f t="shared" si="1"/>
        <v>225.5</v>
      </c>
      <c r="M77" s="253"/>
      <c r="N77" s="249"/>
      <c r="O77" s="249"/>
      <c r="P77" s="249"/>
      <c r="Q77" s="249"/>
      <c r="R77" s="249"/>
      <c r="S77" s="249"/>
      <c r="T77" s="249"/>
      <c r="U77" s="249"/>
      <c r="V77" s="249"/>
      <c r="W77" s="249"/>
    </row>
    <row r="78" spans="1:23" ht="13.9">
      <c r="A78" s="250">
        <v>83</v>
      </c>
      <c r="B78" s="253" t="s">
        <v>3453</v>
      </c>
      <c r="C78" s="254">
        <v>45986</v>
      </c>
      <c r="D78" s="253" t="s">
        <v>3361</v>
      </c>
      <c r="E78" s="253" t="s">
        <v>3430</v>
      </c>
      <c r="F78" s="253">
        <v>651</v>
      </c>
      <c r="G78" s="253"/>
      <c r="H78" s="253"/>
      <c r="I78" s="253"/>
      <c r="J78" s="253"/>
      <c r="K78" s="253">
        <v>15</v>
      </c>
      <c r="L78" s="253">
        <f t="shared" si="1"/>
        <v>666</v>
      </c>
      <c r="M78" s="253"/>
      <c r="N78" s="249"/>
      <c r="O78" s="249"/>
      <c r="P78" s="249"/>
      <c r="Q78" s="249"/>
      <c r="R78" s="249"/>
      <c r="S78" s="249"/>
      <c r="T78" s="249"/>
      <c r="U78" s="249"/>
      <c r="V78" s="249"/>
      <c r="W78" s="249"/>
    </row>
    <row r="79" spans="1:23" ht="13.9">
      <c r="A79" s="250">
        <v>84</v>
      </c>
      <c r="B79" s="253" t="s">
        <v>3454</v>
      </c>
      <c r="C79" s="254">
        <v>45986</v>
      </c>
      <c r="D79" s="253" t="s">
        <v>3361</v>
      </c>
      <c r="E79" s="253" t="s">
        <v>3362</v>
      </c>
      <c r="F79" s="253">
        <v>210.5</v>
      </c>
      <c r="G79" s="253"/>
      <c r="H79" s="253"/>
      <c r="I79" s="253"/>
      <c r="J79" s="253"/>
      <c r="K79" s="253">
        <v>15</v>
      </c>
      <c r="L79" s="253">
        <f t="shared" si="1"/>
        <v>225.5</v>
      </c>
      <c r="M79" s="253"/>
      <c r="N79" s="249"/>
      <c r="O79" s="249"/>
      <c r="P79" s="249"/>
      <c r="Q79" s="249"/>
      <c r="R79" s="249"/>
      <c r="S79" s="249"/>
      <c r="T79" s="249"/>
      <c r="U79" s="249"/>
      <c r="V79" s="249"/>
      <c r="W79" s="249"/>
    </row>
    <row r="80" spans="1:23" ht="13.9">
      <c r="A80" s="250">
        <v>85</v>
      </c>
      <c r="B80" s="253" t="s">
        <v>3454</v>
      </c>
      <c r="C80" s="254">
        <v>45988</v>
      </c>
      <c r="D80" s="253" t="s">
        <v>3337</v>
      </c>
      <c r="E80" s="253" t="s">
        <v>3439</v>
      </c>
      <c r="F80" s="253"/>
      <c r="G80" s="253"/>
      <c r="H80" s="253">
        <v>15</v>
      </c>
      <c r="I80" s="253"/>
      <c r="J80" s="253"/>
      <c r="K80" s="253"/>
      <c r="L80" s="253">
        <f t="shared" si="1"/>
        <v>15</v>
      </c>
      <c r="M80" s="253" t="s">
        <v>3399</v>
      </c>
      <c r="N80" s="249"/>
      <c r="O80" s="249"/>
      <c r="P80" s="249"/>
      <c r="Q80" s="249"/>
      <c r="R80" s="249"/>
      <c r="S80" s="249"/>
      <c r="T80" s="249"/>
      <c r="U80" s="249"/>
      <c r="V80" s="249"/>
      <c r="W80" s="249"/>
    </row>
    <row r="81" spans="1:23" ht="13.9">
      <c r="A81" s="250">
        <v>86</v>
      </c>
      <c r="B81" s="253" t="s">
        <v>3455</v>
      </c>
      <c r="C81" s="254">
        <v>45987</v>
      </c>
      <c r="D81" s="253" t="s">
        <v>3405</v>
      </c>
      <c r="E81" s="253" t="s">
        <v>3406</v>
      </c>
      <c r="F81" s="253">
        <v>428</v>
      </c>
      <c r="G81" s="253"/>
      <c r="H81" s="253"/>
      <c r="I81" s="253"/>
      <c r="J81" s="253"/>
      <c r="K81" s="253">
        <v>15</v>
      </c>
      <c r="L81" s="253">
        <f t="shared" si="1"/>
        <v>443</v>
      </c>
      <c r="M81" s="253"/>
      <c r="N81" s="249"/>
      <c r="O81" s="249"/>
      <c r="P81" s="249"/>
      <c r="Q81" s="249"/>
      <c r="R81" s="249"/>
      <c r="S81" s="249"/>
      <c r="T81" s="249"/>
      <c r="U81" s="249"/>
      <c r="V81" s="249"/>
      <c r="W81" s="249"/>
    </row>
    <row r="82" spans="1:23" ht="13.9">
      <c r="A82" s="250">
        <v>87</v>
      </c>
      <c r="B82" s="253" t="s">
        <v>3455</v>
      </c>
      <c r="C82" s="254">
        <v>45988</v>
      </c>
      <c r="D82" s="253" t="s">
        <v>3358</v>
      </c>
      <c r="E82" s="253" t="s">
        <v>3353</v>
      </c>
      <c r="F82" s="253"/>
      <c r="G82" s="253"/>
      <c r="H82" s="253"/>
      <c r="I82" s="253">
        <v>296</v>
      </c>
      <c r="J82" s="253">
        <v>15</v>
      </c>
      <c r="K82" s="253">
        <v>15</v>
      </c>
      <c r="L82" s="253">
        <f t="shared" si="1"/>
        <v>326</v>
      </c>
      <c r="M82" s="253" t="s">
        <v>3346</v>
      </c>
      <c r="N82" s="249"/>
      <c r="O82" s="249"/>
      <c r="P82" s="249"/>
      <c r="Q82" s="249"/>
      <c r="R82" s="249"/>
      <c r="S82" s="249"/>
      <c r="T82" s="249"/>
      <c r="U82" s="249"/>
      <c r="V82" s="249"/>
      <c r="W82" s="249"/>
    </row>
    <row r="83" spans="1:23" ht="13.9">
      <c r="A83" s="250">
        <v>89</v>
      </c>
      <c r="B83" s="253" t="s">
        <v>3456</v>
      </c>
      <c r="C83" s="254">
        <v>45985</v>
      </c>
      <c r="D83" s="253" t="s">
        <v>3348</v>
      </c>
      <c r="E83" s="253" t="s">
        <v>3457</v>
      </c>
      <c r="F83" s="253">
        <v>607.5</v>
      </c>
      <c r="G83" s="253"/>
      <c r="H83" s="253"/>
      <c r="I83" s="253"/>
      <c r="J83" s="253"/>
      <c r="K83" s="253">
        <v>15</v>
      </c>
      <c r="L83" s="253">
        <f t="shared" si="1"/>
        <v>622.5</v>
      </c>
      <c r="M83" s="253"/>
      <c r="N83" s="249"/>
      <c r="O83" s="249"/>
      <c r="P83" s="249"/>
      <c r="Q83" s="249"/>
      <c r="R83" s="249"/>
      <c r="S83" s="249"/>
      <c r="T83" s="249"/>
      <c r="U83" s="249"/>
      <c r="V83" s="249"/>
      <c r="W83" s="249"/>
    </row>
    <row r="84" spans="1:23" ht="13.9">
      <c r="A84" s="250">
        <v>90</v>
      </c>
      <c r="B84" s="253" t="s">
        <v>3458</v>
      </c>
      <c r="C84" s="254">
        <v>45986</v>
      </c>
      <c r="D84" s="253" t="s">
        <v>3361</v>
      </c>
      <c r="E84" s="253" t="s">
        <v>3459</v>
      </c>
      <c r="F84" s="253">
        <v>210.5</v>
      </c>
      <c r="G84" s="253"/>
      <c r="H84" s="253"/>
      <c r="I84" s="253"/>
      <c r="J84" s="253"/>
      <c r="K84" s="253">
        <v>15</v>
      </c>
      <c r="L84" s="253">
        <f t="shared" si="1"/>
        <v>225.5</v>
      </c>
      <c r="M84" s="253"/>
      <c r="N84" s="249"/>
      <c r="O84" s="249"/>
      <c r="P84" s="249"/>
      <c r="Q84" s="249"/>
      <c r="R84" s="249"/>
      <c r="S84" s="249"/>
      <c r="T84" s="249"/>
      <c r="U84" s="249"/>
      <c r="V84" s="249"/>
      <c r="W84" s="249"/>
    </row>
    <row r="85" spans="1:23" ht="13.9">
      <c r="A85" s="250">
        <v>91</v>
      </c>
      <c r="B85" s="253" t="s">
        <v>3458</v>
      </c>
      <c r="C85" s="254">
        <v>45988</v>
      </c>
      <c r="D85" s="253" t="s">
        <v>3337</v>
      </c>
      <c r="E85" s="253" t="s">
        <v>3451</v>
      </c>
      <c r="F85" s="253">
        <v>184.5</v>
      </c>
      <c r="G85" s="253"/>
      <c r="H85" s="253"/>
      <c r="I85" s="253"/>
      <c r="J85" s="253"/>
      <c r="K85" s="253">
        <v>15</v>
      </c>
      <c r="L85" s="253">
        <f t="shared" si="1"/>
        <v>199.5</v>
      </c>
      <c r="M85" s="253"/>
      <c r="N85" s="249"/>
      <c r="O85" s="249"/>
      <c r="P85" s="249"/>
      <c r="Q85" s="249"/>
      <c r="R85" s="249"/>
      <c r="S85" s="249"/>
      <c r="T85" s="249"/>
      <c r="U85" s="249"/>
      <c r="V85" s="249"/>
      <c r="W85" s="249"/>
    </row>
    <row r="86" spans="1:23" ht="13.9">
      <c r="A86" s="250">
        <v>92</v>
      </c>
      <c r="B86" s="253" t="s">
        <v>3460</v>
      </c>
      <c r="C86" s="254">
        <v>45987</v>
      </c>
      <c r="D86" s="253" t="s">
        <v>3361</v>
      </c>
      <c r="E86" s="253" t="s">
        <v>3373</v>
      </c>
      <c r="F86" s="253">
        <v>210.5</v>
      </c>
      <c r="G86" s="253"/>
      <c r="H86" s="253"/>
      <c r="I86" s="253"/>
      <c r="J86" s="253"/>
      <c r="K86" s="253">
        <v>15</v>
      </c>
      <c r="L86" s="253">
        <f t="shared" si="1"/>
        <v>225.5</v>
      </c>
      <c r="M86" s="253"/>
      <c r="N86" s="249"/>
      <c r="O86" s="249"/>
      <c r="P86" s="249"/>
      <c r="Q86" s="249"/>
      <c r="R86" s="249"/>
      <c r="S86" s="249"/>
      <c r="T86" s="249"/>
      <c r="U86" s="249"/>
      <c r="V86" s="249"/>
      <c r="W86" s="249"/>
    </row>
    <row r="87" spans="1:23" ht="13.9">
      <c r="A87" s="250">
        <v>93</v>
      </c>
      <c r="B87" s="253" t="s">
        <v>3461</v>
      </c>
      <c r="C87" s="254">
        <v>45988</v>
      </c>
      <c r="D87" s="253" t="s">
        <v>3462</v>
      </c>
      <c r="E87" s="253" t="s">
        <v>3463</v>
      </c>
      <c r="F87" s="253">
        <v>546</v>
      </c>
      <c r="G87" s="253"/>
      <c r="H87" s="253"/>
      <c r="I87" s="253"/>
      <c r="J87" s="253"/>
      <c r="K87" s="253">
        <v>15</v>
      </c>
      <c r="L87" s="253">
        <f t="shared" si="1"/>
        <v>561</v>
      </c>
      <c r="M87" s="253"/>
      <c r="N87" s="249"/>
      <c r="O87" s="249"/>
      <c r="P87" s="249"/>
      <c r="Q87" s="249"/>
      <c r="R87" s="249"/>
      <c r="S87" s="249"/>
      <c r="T87" s="249"/>
      <c r="U87" s="249"/>
      <c r="V87" s="249"/>
      <c r="W87" s="249"/>
    </row>
    <row r="88" spans="1:23" ht="13.9">
      <c r="A88" s="250">
        <v>94</v>
      </c>
      <c r="B88" s="253" t="s">
        <v>3464</v>
      </c>
      <c r="C88" s="254">
        <v>45986</v>
      </c>
      <c r="D88" s="253" t="s">
        <v>3361</v>
      </c>
      <c r="E88" s="253" t="s">
        <v>3465</v>
      </c>
      <c r="F88" s="253">
        <v>190.5</v>
      </c>
      <c r="G88" s="253"/>
      <c r="H88" s="253"/>
      <c r="I88" s="253"/>
      <c r="J88" s="253"/>
      <c r="K88" s="253">
        <v>15</v>
      </c>
      <c r="L88" s="253">
        <f t="shared" si="1"/>
        <v>205.5</v>
      </c>
      <c r="M88" s="253"/>
      <c r="N88" s="249"/>
      <c r="O88" s="249"/>
      <c r="P88" s="249"/>
      <c r="Q88" s="249"/>
      <c r="R88" s="249"/>
      <c r="S88" s="249"/>
      <c r="T88" s="249"/>
      <c r="U88" s="249"/>
      <c r="V88" s="249"/>
      <c r="W88" s="249"/>
    </row>
    <row r="89" spans="1:23" ht="13.9">
      <c r="A89" s="250">
        <v>95</v>
      </c>
      <c r="B89" s="253" t="s">
        <v>3464</v>
      </c>
      <c r="C89" s="254">
        <v>45988</v>
      </c>
      <c r="D89" s="253" t="s">
        <v>3337</v>
      </c>
      <c r="E89" s="253" t="s">
        <v>3466</v>
      </c>
      <c r="F89" s="253">
        <v>197.5</v>
      </c>
      <c r="G89" s="253"/>
      <c r="H89" s="253"/>
      <c r="I89" s="253"/>
      <c r="J89" s="253"/>
      <c r="K89" s="253">
        <v>15</v>
      </c>
      <c r="L89" s="253">
        <f t="shared" si="1"/>
        <v>212.5</v>
      </c>
      <c r="M89" s="253"/>
      <c r="N89" s="249"/>
      <c r="O89" s="249"/>
      <c r="P89" s="249"/>
      <c r="Q89" s="249"/>
      <c r="R89" s="249"/>
      <c r="S89" s="249"/>
      <c r="T89" s="249"/>
      <c r="U89" s="249"/>
      <c r="V89" s="249"/>
      <c r="W89" s="249"/>
    </row>
    <row r="90" spans="1:23" ht="13.9">
      <c r="A90" s="250">
        <v>96</v>
      </c>
      <c r="B90" s="253" t="s">
        <v>3467</v>
      </c>
      <c r="C90" s="254">
        <v>45987</v>
      </c>
      <c r="D90" s="253" t="s">
        <v>3361</v>
      </c>
      <c r="E90" s="253" t="s">
        <v>3373</v>
      </c>
      <c r="F90" s="253">
        <v>210.5</v>
      </c>
      <c r="G90" s="253"/>
      <c r="H90" s="253"/>
      <c r="I90" s="253"/>
      <c r="J90" s="253"/>
      <c r="K90" s="253">
        <v>15</v>
      </c>
      <c r="L90" s="253">
        <f t="shared" si="1"/>
        <v>225.5</v>
      </c>
      <c r="M90" s="253"/>
      <c r="N90" s="249"/>
      <c r="O90" s="249"/>
      <c r="P90" s="249"/>
      <c r="Q90" s="249"/>
      <c r="R90" s="249"/>
      <c r="S90" s="249"/>
      <c r="T90" s="249"/>
      <c r="U90" s="249"/>
      <c r="V90" s="249"/>
      <c r="W90" s="249"/>
    </row>
    <row r="91" spans="1:23" ht="13.9">
      <c r="A91" s="250">
        <v>97</v>
      </c>
      <c r="B91" s="253" t="s">
        <v>3467</v>
      </c>
      <c r="C91" s="254">
        <v>45988</v>
      </c>
      <c r="D91" s="253" t="s">
        <v>3337</v>
      </c>
      <c r="E91" s="253" t="s">
        <v>3396</v>
      </c>
      <c r="F91" s="253">
        <v>184.5</v>
      </c>
      <c r="G91" s="253"/>
      <c r="H91" s="253"/>
      <c r="I91" s="253"/>
      <c r="J91" s="253"/>
      <c r="K91" s="253">
        <v>15</v>
      </c>
      <c r="L91" s="253">
        <f t="shared" si="1"/>
        <v>199.5</v>
      </c>
      <c r="M91" s="253"/>
      <c r="N91" s="249"/>
      <c r="O91" s="249"/>
      <c r="P91" s="249"/>
      <c r="Q91" s="249"/>
      <c r="R91" s="249"/>
      <c r="S91" s="249"/>
      <c r="T91" s="249"/>
      <c r="U91" s="249"/>
      <c r="V91" s="249"/>
      <c r="W91" s="249"/>
    </row>
    <row r="92" spans="1:23" ht="13.9">
      <c r="A92" s="250">
        <v>98</v>
      </c>
      <c r="B92" s="253" t="s">
        <v>3468</v>
      </c>
      <c r="C92" s="254">
        <v>45986</v>
      </c>
      <c r="D92" s="253" t="s">
        <v>3356</v>
      </c>
      <c r="E92" s="253" t="s">
        <v>3357</v>
      </c>
      <c r="F92" s="253">
        <v>164</v>
      </c>
      <c r="G92" s="253"/>
      <c r="H92" s="253"/>
      <c r="I92" s="253"/>
      <c r="J92" s="253"/>
      <c r="K92" s="253">
        <v>15</v>
      </c>
      <c r="L92" s="253">
        <f t="shared" si="1"/>
        <v>179</v>
      </c>
      <c r="M92" s="253"/>
      <c r="N92" s="249"/>
      <c r="O92" s="249"/>
      <c r="P92" s="249"/>
      <c r="Q92" s="249"/>
      <c r="R92" s="249"/>
      <c r="S92" s="249"/>
      <c r="T92" s="249"/>
      <c r="U92" s="249"/>
      <c r="V92" s="249"/>
      <c r="W92" s="249"/>
    </row>
    <row r="93" spans="1:23" ht="13.9">
      <c r="A93" s="250">
        <v>99</v>
      </c>
      <c r="B93" s="253" t="s">
        <v>3468</v>
      </c>
      <c r="C93" s="254">
        <v>45988</v>
      </c>
      <c r="D93" s="253" t="s">
        <v>3337</v>
      </c>
      <c r="E93" s="253" t="s">
        <v>3353</v>
      </c>
      <c r="F93" s="253"/>
      <c r="G93" s="253"/>
      <c r="H93" s="253">
        <v>15</v>
      </c>
      <c r="I93" s="253"/>
      <c r="J93" s="253"/>
      <c r="K93" s="253"/>
      <c r="L93" s="253">
        <f t="shared" si="1"/>
        <v>15</v>
      </c>
      <c r="M93" s="253" t="s">
        <v>3399</v>
      </c>
      <c r="N93" s="249"/>
      <c r="O93" s="249"/>
      <c r="P93" s="249"/>
      <c r="Q93" s="249"/>
      <c r="R93" s="249"/>
      <c r="S93" s="249"/>
      <c r="T93" s="249"/>
      <c r="U93" s="249"/>
      <c r="V93" s="249"/>
      <c r="W93" s="249"/>
    </row>
    <row r="94" spans="1:23" ht="13.9">
      <c r="A94" s="250">
        <v>100</v>
      </c>
      <c r="B94" s="253" t="s">
        <v>3469</v>
      </c>
      <c r="C94" s="254">
        <v>45987</v>
      </c>
      <c r="D94" s="253" t="s">
        <v>3361</v>
      </c>
      <c r="E94" s="253" t="s">
        <v>3373</v>
      </c>
      <c r="F94" s="253">
        <v>210.5</v>
      </c>
      <c r="G94" s="253"/>
      <c r="H94" s="253"/>
      <c r="I94" s="253"/>
      <c r="J94" s="253"/>
      <c r="K94" s="253">
        <v>15</v>
      </c>
      <c r="L94" s="253">
        <f t="shared" si="1"/>
        <v>225.5</v>
      </c>
      <c r="M94" s="253"/>
      <c r="N94" s="249"/>
      <c r="O94" s="249"/>
      <c r="P94" s="249"/>
      <c r="Q94" s="249"/>
      <c r="R94" s="249"/>
      <c r="S94" s="249"/>
      <c r="T94" s="249"/>
      <c r="U94" s="249"/>
      <c r="V94" s="249"/>
      <c r="W94" s="249"/>
    </row>
    <row r="95" spans="1:23" ht="13.9">
      <c r="A95" s="250">
        <v>101</v>
      </c>
      <c r="B95" s="253" t="s">
        <v>3470</v>
      </c>
      <c r="C95" s="254">
        <v>45986</v>
      </c>
      <c r="D95" s="253" t="s">
        <v>3348</v>
      </c>
      <c r="E95" s="253" t="s">
        <v>3349</v>
      </c>
      <c r="F95" s="253">
        <v>213.5</v>
      </c>
      <c r="G95" s="253"/>
      <c r="H95" s="253"/>
      <c r="I95" s="253"/>
      <c r="J95" s="253"/>
      <c r="K95" s="253">
        <v>15</v>
      </c>
      <c r="L95" s="253">
        <f t="shared" si="1"/>
        <v>228.5</v>
      </c>
      <c r="M95" s="253"/>
      <c r="N95" s="249"/>
      <c r="O95" s="249"/>
      <c r="P95" s="249"/>
      <c r="Q95" s="249"/>
      <c r="R95" s="249"/>
      <c r="S95" s="249"/>
      <c r="T95" s="249"/>
      <c r="U95" s="249"/>
      <c r="V95" s="249"/>
      <c r="W95" s="249"/>
    </row>
    <row r="96" spans="1:23" ht="13.9">
      <c r="A96" s="250">
        <v>102</v>
      </c>
      <c r="B96" s="253" t="s">
        <v>3470</v>
      </c>
      <c r="C96" s="254">
        <v>45988</v>
      </c>
      <c r="D96" s="253" t="s">
        <v>3471</v>
      </c>
      <c r="E96" s="253" t="s">
        <v>3472</v>
      </c>
      <c r="F96" s="253"/>
      <c r="G96" s="253">
        <v>28.5</v>
      </c>
      <c r="H96" s="253">
        <v>15</v>
      </c>
      <c r="I96" s="253"/>
      <c r="J96" s="253"/>
      <c r="K96" s="253"/>
      <c r="L96" s="253">
        <f t="shared" si="1"/>
        <v>43.5</v>
      </c>
      <c r="M96" s="253" t="s">
        <v>3399</v>
      </c>
      <c r="N96" s="249"/>
      <c r="O96" s="249"/>
      <c r="P96" s="249"/>
      <c r="Q96" s="249"/>
      <c r="R96" s="249"/>
      <c r="S96" s="249"/>
      <c r="T96" s="249"/>
      <c r="U96" s="249"/>
      <c r="V96" s="249"/>
      <c r="W96" s="249"/>
    </row>
    <row r="97" spans="1:23" ht="13.9">
      <c r="A97" s="250">
        <v>103</v>
      </c>
      <c r="B97" s="253" t="s">
        <v>3473</v>
      </c>
      <c r="C97" s="254">
        <v>45986</v>
      </c>
      <c r="D97" s="253" t="s">
        <v>3474</v>
      </c>
      <c r="E97" s="253" t="s">
        <v>3475</v>
      </c>
      <c r="F97" s="253">
        <v>185.5</v>
      </c>
      <c r="G97" s="253"/>
      <c r="H97" s="253"/>
      <c r="I97" s="253"/>
      <c r="J97" s="253"/>
      <c r="K97" s="253">
        <v>15</v>
      </c>
      <c r="L97" s="253">
        <f t="shared" si="1"/>
        <v>200.5</v>
      </c>
      <c r="M97" s="253"/>
      <c r="N97" s="249"/>
      <c r="O97" s="249"/>
      <c r="P97" s="249"/>
      <c r="Q97" s="249"/>
      <c r="R97" s="249"/>
      <c r="S97" s="249"/>
      <c r="T97" s="249"/>
      <c r="U97" s="249"/>
      <c r="V97" s="249"/>
      <c r="W97" s="249"/>
    </row>
    <row r="98" spans="1:23" ht="13.9">
      <c r="A98" s="250">
        <v>104</v>
      </c>
      <c r="B98" s="253" t="s">
        <v>3476</v>
      </c>
      <c r="C98" s="254">
        <v>45986</v>
      </c>
      <c r="D98" s="253" t="s">
        <v>3477</v>
      </c>
      <c r="E98" s="253" t="s">
        <v>3478</v>
      </c>
      <c r="F98" s="253"/>
      <c r="G98" s="253">
        <v>358.5</v>
      </c>
      <c r="H98" s="253">
        <v>15</v>
      </c>
      <c r="I98" s="253">
        <v>337</v>
      </c>
      <c r="J98" s="253">
        <v>15</v>
      </c>
      <c r="K98" s="253">
        <v>15</v>
      </c>
      <c r="L98" s="253">
        <f t="shared" si="1"/>
        <v>740.5</v>
      </c>
      <c r="M98" s="253" t="s">
        <v>3479</v>
      </c>
      <c r="N98" s="249"/>
      <c r="O98" s="249"/>
      <c r="P98" s="249"/>
      <c r="Q98" s="249"/>
      <c r="R98" s="249"/>
      <c r="S98" s="249"/>
      <c r="T98" s="249"/>
      <c r="U98" s="249"/>
      <c r="V98" s="249"/>
      <c r="W98" s="249"/>
    </row>
    <row r="99" spans="1:23" ht="13.9">
      <c r="A99" s="250">
        <v>106</v>
      </c>
      <c r="B99" s="253" t="s">
        <v>3476</v>
      </c>
      <c r="C99" s="254">
        <v>45988</v>
      </c>
      <c r="D99" s="253" t="s">
        <v>3337</v>
      </c>
      <c r="E99" s="253" t="s">
        <v>3451</v>
      </c>
      <c r="F99" s="253">
        <v>612</v>
      </c>
      <c r="G99" s="253"/>
      <c r="H99" s="253"/>
      <c r="I99" s="253"/>
      <c r="J99" s="253"/>
      <c r="K99" s="253">
        <v>15</v>
      </c>
      <c r="L99" s="253">
        <f t="shared" si="1"/>
        <v>627</v>
      </c>
      <c r="M99" s="253"/>
      <c r="N99" s="249"/>
      <c r="O99" s="249"/>
      <c r="P99" s="249"/>
      <c r="Q99" s="249"/>
      <c r="R99" s="249"/>
      <c r="S99" s="249"/>
      <c r="T99" s="249"/>
      <c r="U99" s="249"/>
      <c r="V99" s="249"/>
      <c r="W99" s="249"/>
    </row>
    <row r="100" spans="1:23" ht="13.9">
      <c r="A100" s="250">
        <v>107</v>
      </c>
      <c r="B100" s="253" t="s">
        <v>3480</v>
      </c>
      <c r="C100" s="254">
        <v>45986</v>
      </c>
      <c r="D100" s="253" t="s">
        <v>3356</v>
      </c>
      <c r="E100" s="253" t="s">
        <v>3428</v>
      </c>
      <c r="F100" s="253">
        <v>198</v>
      </c>
      <c r="G100" s="253"/>
      <c r="H100" s="253"/>
      <c r="I100" s="253"/>
      <c r="J100" s="253"/>
      <c r="K100" s="253">
        <v>15</v>
      </c>
      <c r="L100" s="253">
        <f t="shared" si="1"/>
        <v>213</v>
      </c>
      <c r="M100" s="253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</row>
    <row r="101" spans="1:23" ht="13.9">
      <c r="A101" s="250">
        <v>108</v>
      </c>
      <c r="B101" s="253" t="s">
        <v>3481</v>
      </c>
      <c r="C101" s="254">
        <v>45986</v>
      </c>
      <c r="D101" s="253" t="s">
        <v>3348</v>
      </c>
      <c r="E101" s="253" t="s">
        <v>3349</v>
      </c>
      <c r="F101" s="253">
        <v>213.5</v>
      </c>
      <c r="G101" s="253"/>
      <c r="H101" s="253"/>
      <c r="I101" s="253"/>
      <c r="J101" s="253"/>
      <c r="K101" s="253">
        <v>15</v>
      </c>
      <c r="L101" s="253">
        <f t="shared" si="1"/>
        <v>228.5</v>
      </c>
      <c r="M101" s="253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</row>
    <row r="102" spans="1:23" ht="13.9">
      <c r="A102" s="250">
        <v>109</v>
      </c>
      <c r="B102" s="253" t="s">
        <v>3481</v>
      </c>
      <c r="C102" s="254">
        <v>45988</v>
      </c>
      <c r="D102" s="253" t="s">
        <v>3350</v>
      </c>
      <c r="E102" s="253" t="s">
        <v>3351</v>
      </c>
      <c r="F102" s="253">
        <v>195.5</v>
      </c>
      <c r="G102" s="253"/>
      <c r="H102" s="253"/>
      <c r="I102" s="253"/>
      <c r="J102" s="253"/>
      <c r="K102" s="253">
        <v>15</v>
      </c>
      <c r="L102" s="253">
        <f t="shared" si="1"/>
        <v>210.5</v>
      </c>
      <c r="M102" s="253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</row>
    <row r="103" spans="1:23" ht="13.9">
      <c r="A103" s="250">
        <v>110</v>
      </c>
      <c r="B103" s="253" t="s">
        <v>3482</v>
      </c>
      <c r="C103" s="254">
        <v>45986</v>
      </c>
      <c r="D103" s="253" t="s">
        <v>3405</v>
      </c>
      <c r="E103" s="253" t="s">
        <v>3483</v>
      </c>
      <c r="F103" s="253">
        <v>251</v>
      </c>
      <c r="G103" s="253"/>
      <c r="H103" s="253"/>
      <c r="I103" s="253"/>
      <c r="J103" s="253"/>
      <c r="K103" s="253">
        <v>15</v>
      </c>
      <c r="L103" s="253">
        <f t="shared" si="1"/>
        <v>266</v>
      </c>
      <c r="M103" s="253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</row>
    <row r="104" spans="1:23" ht="13.9">
      <c r="A104" s="250">
        <v>111</v>
      </c>
      <c r="B104" s="253" t="s">
        <v>3482</v>
      </c>
      <c r="C104" s="254">
        <v>45988</v>
      </c>
      <c r="D104" s="253" t="s">
        <v>3374</v>
      </c>
      <c r="E104" s="253" t="s">
        <v>3375</v>
      </c>
      <c r="F104" s="253">
        <v>195</v>
      </c>
      <c r="G104" s="253"/>
      <c r="H104" s="253"/>
      <c r="I104" s="253"/>
      <c r="J104" s="253"/>
      <c r="K104" s="253">
        <v>15</v>
      </c>
      <c r="L104" s="253">
        <f t="shared" si="1"/>
        <v>210</v>
      </c>
      <c r="M104" s="253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</row>
    <row r="105" spans="1:23" ht="13.9">
      <c r="A105" s="250">
        <v>112</v>
      </c>
      <c r="B105" s="253" t="s">
        <v>3484</v>
      </c>
      <c r="C105" s="254">
        <v>45986</v>
      </c>
      <c r="D105" s="253" t="s">
        <v>3361</v>
      </c>
      <c r="E105" s="253" t="s">
        <v>3362</v>
      </c>
      <c r="F105" s="253">
        <v>210.5</v>
      </c>
      <c r="G105" s="253"/>
      <c r="H105" s="253"/>
      <c r="I105" s="253"/>
      <c r="J105" s="253"/>
      <c r="K105" s="253">
        <v>15</v>
      </c>
      <c r="L105" s="253">
        <f t="shared" si="1"/>
        <v>225.5</v>
      </c>
      <c r="M105" s="253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</row>
    <row r="106" spans="1:23" ht="13.9">
      <c r="A106" s="250">
        <v>113</v>
      </c>
      <c r="B106" s="253" t="s">
        <v>3484</v>
      </c>
      <c r="C106" s="254">
        <v>45988</v>
      </c>
      <c r="D106" s="253" t="s">
        <v>3337</v>
      </c>
      <c r="E106" s="253" t="s">
        <v>3466</v>
      </c>
      <c r="F106" s="253">
        <v>197.5</v>
      </c>
      <c r="G106" s="253"/>
      <c r="H106" s="253"/>
      <c r="I106" s="253"/>
      <c r="J106" s="253"/>
      <c r="K106" s="253">
        <v>15</v>
      </c>
      <c r="L106" s="253">
        <f t="shared" si="1"/>
        <v>212.5</v>
      </c>
      <c r="M106" s="253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</row>
    <row r="107" spans="1:23" ht="13.9">
      <c r="A107" s="250">
        <v>114</v>
      </c>
      <c r="B107" s="253" t="s">
        <v>3485</v>
      </c>
      <c r="C107" s="254">
        <v>45986</v>
      </c>
      <c r="D107" s="253" t="s">
        <v>3381</v>
      </c>
      <c r="E107" s="253" t="s">
        <v>3382</v>
      </c>
      <c r="F107" s="253">
        <v>462</v>
      </c>
      <c r="G107" s="253"/>
      <c r="H107" s="253"/>
      <c r="I107" s="253"/>
      <c r="J107" s="253"/>
      <c r="K107" s="253">
        <v>15</v>
      </c>
      <c r="L107" s="253">
        <f t="shared" si="1"/>
        <v>477</v>
      </c>
      <c r="M107" s="253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</row>
    <row r="108" spans="1:23" ht="13.9">
      <c r="A108" s="250">
        <v>115</v>
      </c>
      <c r="B108" s="253" t="s">
        <v>3485</v>
      </c>
      <c r="C108" s="254">
        <v>45988</v>
      </c>
      <c r="D108" s="253" t="s">
        <v>3383</v>
      </c>
      <c r="E108" s="253" t="s">
        <v>3384</v>
      </c>
      <c r="F108" s="253">
        <v>461.5</v>
      </c>
      <c r="G108" s="253"/>
      <c r="H108" s="253"/>
      <c r="I108" s="253"/>
      <c r="J108" s="253"/>
      <c r="K108" s="253">
        <v>15</v>
      </c>
      <c r="L108" s="253">
        <f t="shared" si="1"/>
        <v>476.5</v>
      </c>
      <c r="M108" s="253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</row>
    <row r="109" spans="1:23" ht="13.9">
      <c r="A109" s="250">
        <v>116</v>
      </c>
      <c r="B109" s="253" t="s">
        <v>3486</v>
      </c>
      <c r="C109" s="254">
        <v>45986</v>
      </c>
      <c r="D109" s="253" t="s">
        <v>3365</v>
      </c>
      <c r="E109" s="253" t="s">
        <v>3487</v>
      </c>
      <c r="F109" s="253">
        <v>178.5</v>
      </c>
      <c r="G109" s="253"/>
      <c r="H109" s="253"/>
      <c r="I109" s="253"/>
      <c r="J109" s="253"/>
      <c r="K109" s="253">
        <v>15</v>
      </c>
      <c r="L109" s="253">
        <f t="shared" si="1"/>
        <v>193.5</v>
      </c>
      <c r="M109" s="253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</row>
    <row r="110" spans="1:23" ht="13.9">
      <c r="A110" s="250">
        <v>117</v>
      </c>
      <c r="B110" s="253" t="s">
        <v>3486</v>
      </c>
      <c r="C110" s="254">
        <v>45988</v>
      </c>
      <c r="D110" s="253" t="s">
        <v>3443</v>
      </c>
      <c r="E110" s="253" t="s">
        <v>3488</v>
      </c>
      <c r="F110" s="253">
        <v>188</v>
      </c>
      <c r="G110" s="253"/>
      <c r="H110" s="253"/>
      <c r="I110" s="253"/>
      <c r="J110" s="253"/>
      <c r="K110" s="253">
        <v>15</v>
      </c>
      <c r="L110" s="253">
        <f t="shared" si="1"/>
        <v>203</v>
      </c>
      <c r="M110" s="253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</row>
    <row r="111" spans="1:23" ht="13.9">
      <c r="A111" s="250">
        <v>118</v>
      </c>
      <c r="B111" s="253" t="s">
        <v>3489</v>
      </c>
      <c r="C111" s="254">
        <v>45987</v>
      </c>
      <c r="D111" s="253" t="s">
        <v>3361</v>
      </c>
      <c r="E111" s="253" t="s">
        <v>3362</v>
      </c>
      <c r="F111" s="253"/>
      <c r="G111" s="253">
        <v>67.5</v>
      </c>
      <c r="H111" s="253">
        <v>15</v>
      </c>
      <c r="I111" s="253"/>
      <c r="J111" s="253"/>
      <c r="K111" s="253"/>
      <c r="L111" s="253">
        <f t="shared" si="1"/>
        <v>82.5</v>
      </c>
      <c r="M111" s="253" t="s">
        <v>3399</v>
      </c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</row>
    <row r="112" spans="1:23" ht="13.9">
      <c r="A112" s="250">
        <v>121</v>
      </c>
      <c r="B112" s="253" t="s">
        <v>3489</v>
      </c>
      <c r="C112" s="254">
        <v>45988</v>
      </c>
      <c r="D112" s="253" t="s">
        <v>3443</v>
      </c>
      <c r="E112" s="253" t="s">
        <v>3490</v>
      </c>
      <c r="F112" s="253"/>
      <c r="G112" s="253"/>
      <c r="H112" s="253"/>
      <c r="I112" s="253">
        <v>286</v>
      </c>
      <c r="J112" s="253">
        <v>15</v>
      </c>
      <c r="K112" s="253">
        <v>15</v>
      </c>
      <c r="L112" s="253">
        <f t="shared" si="1"/>
        <v>316</v>
      </c>
      <c r="M112" s="253" t="s">
        <v>3346</v>
      </c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</row>
    <row r="113" spans="1:23" ht="13.9">
      <c r="A113" s="250">
        <v>122</v>
      </c>
      <c r="B113" s="253" t="s">
        <v>3491</v>
      </c>
      <c r="C113" s="254">
        <v>45986</v>
      </c>
      <c r="D113" s="253" t="s">
        <v>3361</v>
      </c>
      <c r="E113" s="253" t="s">
        <v>3373</v>
      </c>
      <c r="F113" s="253">
        <v>210.5</v>
      </c>
      <c r="G113" s="253"/>
      <c r="H113" s="253"/>
      <c r="I113" s="253"/>
      <c r="J113" s="253"/>
      <c r="K113" s="253">
        <v>15</v>
      </c>
      <c r="L113" s="253">
        <f t="shared" si="1"/>
        <v>225.5</v>
      </c>
      <c r="M113" s="253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</row>
    <row r="114" spans="1:23" ht="13.9">
      <c r="A114" s="250">
        <v>123</v>
      </c>
      <c r="B114" s="253" t="s">
        <v>3491</v>
      </c>
      <c r="C114" s="254">
        <v>45988</v>
      </c>
      <c r="D114" s="253" t="s">
        <v>3337</v>
      </c>
      <c r="E114" s="253" t="s">
        <v>3439</v>
      </c>
      <c r="F114" s="253">
        <v>184.5</v>
      </c>
      <c r="G114" s="253"/>
      <c r="H114" s="253"/>
      <c r="I114" s="253"/>
      <c r="J114" s="253"/>
      <c r="K114" s="253">
        <v>15</v>
      </c>
      <c r="L114" s="253">
        <f t="shared" si="1"/>
        <v>199.5</v>
      </c>
      <c r="M114" s="253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</row>
    <row r="115" spans="1:23" ht="13.9">
      <c r="A115" s="250">
        <v>124</v>
      </c>
      <c r="B115" s="253" t="s">
        <v>3492</v>
      </c>
      <c r="C115" s="254">
        <v>45986</v>
      </c>
      <c r="D115" s="253" t="s">
        <v>3361</v>
      </c>
      <c r="E115" s="253" t="s">
        <v>3362</v>
      </c>
      <c r="F115" s="253"/>
      <c r="G115" s="253"/>
      <c r="H115" s="253"/>
      <c r="I115" s="253">
        <v>210.5</v>
      </c>
      <c r="J115" s="253">
        <v>15</v>
      </c>
      <c r="K115" s="253">
        <v>15</v>
      </c>
      <c r="L115" s="253">
        <f t="shared" si="1"/>
        <v>240.5</v>
      </c>
      <c r="M115" s="253" t="s">
        <v>3346</v>
      </c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</row>
    <row r="116" spans="1:23" ht="13.9">
      <c r="A116" s="250">
        <v>125</v>
      </c>
      <c r="B116" s="253" t="s">
        <v>3492</v>
      </c>
      <c r="C116" s="254">
        <v>45990</v>
      </c>
      <c r="D116" s="253" t="s">
        <v>3407</v>
      </c>
      <c r="E116" s="253" t="s">
        <v>3408</v>
      </c>
      <c r="F116" s="253">
        <v>200.5</v>
      </c>
      <c r="G116" s="253"/>
      <c r="H116" s="253"/>
      <c r="I116" s="253"/>
      <c r="J116" s="253"/>
      <c r="K116" s="253">
        <v>15</v>
      </c>
      <c r="L116" s="253">
        <f t="shared" si="1"/>
        <v>215.5</v>
      </c>
      <c r="M116" s="253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</row>
    <row r="117" spans="1:23" ht="13.9">
      <c r="A117" s="250">
        <v>126</v>
      </c>
      <c r="B117" s="253" t="s">
        <v>3493</v>
      </c>
      <c r="C117" s="254">
        <v>45988</v>
      </c>
      <c r="D117" s="253" t="s">
        <v>3337</v>
      </c>
      <c r="E117" s="253" t="s">
        <v>3338</v>
      </c>
      <c r="F117" s="253">
        <v>210.5</v>
      </c>
      <c r="G117" s="253"/>
      <c r="H117" s="253"/>
      <c r="I117" s="253"/>
      <c r="J117" s="253"/>
      <c r="K117" s="253">
        <v>15</v>
      </c>
      <c r="L117" s="253">
        <f t="shared" si="1"/>
        <v>225.5</v>
      </c>
      <c r="M117" s="253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</row>
    <row r="118" spans="1:23" ht="13.9">
      <c r="A118" s="250">
        <v>127</v>
      </c>
      <c r="B118" s="253" t="s">
        <v>3494</v>
      </c>
      <c r="C118" s="254">
        <v>45986</v>
      </c>
      <c r="D118" s="253" t="s">
        <v>3356</v>
      </c>
      <c r="E118" s="253" t="s">
        <v>3428</v>
      </c>
      <c r="F118" s="253"/>
      <c r="G118" s="253"/>
      <c r="H118" s="253">
        <v>15</v>
      </c>
      <c r="I118" s="253"/>
      <c r="J118" s="253"/>
      <c r="K118" s="253"/>
      <c r="L118" s="253">
        <f t="shared" si="1"/>
        <v>15</v>
      </c>
      <c r="M118" s="253" t="s">
        <v>3399</v>
      </c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</row>
    <row r="119" spans="1:23" ht="13.9">
      <c r="A119" s="250">
        <v>128</v>
      </c>
      <c r="B119" s="253" t="s">
        <v>3495</v>
      </c>
      <c r="C119" s="254">
        <v>45986</v>
      </c>
      <c r="D119" s="253" t="s">
        <v>3356</v>
      </c>
      <c r="E119" s="253" t="s">
        <v>3428</v>
      </c>
      <c r="F119" s="253">
        <v>198</v>
      </c>
      <c r="G119" s="253"/>
      <c r="H119" s="253"/>
      <c r="I119" s="253"/>
      <c r="J119" s="253"/>
      <c r="K119" s="253">
        <v>15</v>
      </c>
      <c r="L119" s="253">
        <f t="shared" si="1"/>
        <v>213</v>
      </c>
      <c r="M119" s="253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</row>
    <row r="120" spans="1:23" ht="13.9">
      <c r="A120" s="250">
        <v>129</v>
      </c>
      <c r="B120" s="253" t="s">
        <v>3495</v>
      </c>
      <c r="C120" s="254">
        <v>45987</v>
      </c>
      <c r="D120" s="253" t="s">
        <v>3337</v>
      </c>
      <c r="E120" s="253" t="s">
        <v>3439</v>
      </c>
      <c r="F120" s="253">
        <v>184.5</v>
      </c>
      <c r="G120" s="253"/>
      <c r="H120" s="253"/>
      <c r="I120" s="253"/>
      <c r="J120" s="253"/>
      <c r="K120" s="253">
        <v>15</v>
      </c>
      <c r="L120" s="253">
        <f t="shared" si="1"/>
        <v>199.5</v>
      </c>
      <c r="M120" s="253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</row>
    <row r="121" spans="1:23" ht="13.9">
      <c r="A121" s="250">
        <v>130</v>
      </c>
      <c r="B121" s="253" t="s">
        <v>3496</v>
      </c>
      <c r="C121" s="254">
        <v>45986</v>
      </c>
      <c r="D121" s="253" t="s">
        <v>3361</v>
      </c>
      <c r="E121" s="253" t="s">
        <v>3373</v>
      </c>
      <c r="F121" s="253">
        <v>210.5</v>
      </c>
      <c r="G121" s="253"/>
      <c r="H121" s="253"/>
      <c r="I121" s="253"/>
      <c r="J121" s="253"/>
      <c r="K121" s="253">
        <v>15</v>
      </c>
      <c r="L121" s="253">
        <f t="shared" si="1"/>
        <v>225.5</v>
      </c>
      <c r="M121" s="253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</row>
    <row r="122" spans="1:23" ht="13.9">
      <c r="A122" s="250">
        <v>131</v>
      </c>
      <c r="B122" s="253" t="s">
        <v>3496</v>
      </c>
      <c r="C122" s="254">
        <v>45988</v>
      </c>
      <c r="D122" s="253" t="s">
        <v>3407</v>
      </c>
      <c r="E122" s="253" t="s">
        <v>3408</v>
      </c>
      <c r="F122" s="253">
        <v>200.5</v>
      </c>
      <c r="G122" s="253"/>
      <c r="H122" s="253"/>
      <c r="I122" s="253"/>
      <c r="J122" s="253"/>
      <c r="K122" s="253">
        <v>15</v>
      </c>
      <c r="L122" s="253">
        <f t="shared" si="1"/>
        <v>215.5</v>
      </c>
      <c r="M122" s="253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</row>
    <row r="123" spans="1:23" ht="13.9">
      <c r="A123" s="250">
        <v>132</v>
      </c>
      <c r="B123" s="253" t="s">
        <v>3497</v>
      </c>
      <c r="C123" s="254">
        <v>45986</v>
      </c>
      <c r="D123" s="253" t="s">
        <v>3365</v>
      </c>
      <c r="E123" s="253" t="s">
        <v>3498</v>
      </c>
      <c r="F123" s="253"/>
      <c r="G123" s="253"/>
      <c r="H123" s="253">
        <v>15</v>
      </c>
      <c r="I123" s="253"/>
      <c r="J123" s="253"/>
      <c r="K123" s="253"/>
      <c r="L123" s="253">
        <f t="shared" si="1"/>
        <v>15</v>
      </c>
      <c r="M123" s="253" t="s">
        <v>3399</v>
      </c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</row>
    <row r="124" spans="1:23" ht="13.9">
      <c r="A124" s="250">
        <v>133</v>
      </c>
      <c r="B124" s="253" t="s">
        <v>3499</v>
      </c>
      <c r="C124" s="254">
        <v>45986</v>
      </c>
      <c r="D124" s="253" t="s">
        <v>3361</v>
      </c>
      <c r="E124" s="253" t="s">
        <v>3362</v>
      </c>
      <c r="F124" s="253">
        <v>210.5</v>
      </c>
      <c r="G124" s="253"/>
      <c r="H124" s="253"/>
      <c r="I124" s="253"/>
      <c r="J124" s="253"/>
      <c r="K124" s="253">
        <v>15</v>
      </c>
      <c r="L124" s="253">
        <f t="shared" si="1"/>
        <v>225.5</v>
      </c>
      <c r="M124" s="253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</row>
    <row r="125" spans="1:23" ht="13.9">
      <c r="A125" s="250">
        <v>134</v>
      </c>
      <c r="B125" s="253" t="s">
        <v>3499</v>
      </c>
      <c r="C125" s="254">
        <v>45988</v>
      </c>
      <c r="D125" s="253" t="s">
        <v>3407</v>
      </c>
      <c r="E125" s="253" t="s">
        <v>3408</v>
      </c>
      <c r="F125" s="253"/>
      <c r="G125" s="253">
        <v>40</v>
      </c>
      <c r="H125" s="253">
        <v>15</v>
      </c>
      <c r="I125" s="253"/>
      <c r="J125" s="253"/>
      <c r="K125" s="253"/>
      <c r="L125" s="253">
        <f t="shared" si="1"/>
        <v>55</v>
      </c>
      <c r="M125" s="253" t="s">
        <v>3399</v>
      </c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</row>
    <row r="126" spans="1:23" ht="13.9">
      <c r="A126" s="250">
        <v>135</v>
      </c>
      <c r="B126" s="253" t="s">
        <v>3500</v>
      </c>
      <c r="C126" s="254">
        <v>45986</v>
      </c>
      <c r="D126" s="253" t="s">
        <v>3361</v>
      </c>
      <c r="E126" s="253" t="s">
        <v>3398</v>
      </c>
      <c r="F126" s="253">
        <v>197.5</v>
      </c>
      <c r="G126" s="253"/>
      <c r="H126" s="253"/>
      <c r="I126" s="253"/>
      <c r="J126" s="253"/>
      <c r="K126" s="253">
        <v>15</v>
      </c>
      <c r="L126" s="253">
        <f t="shared" si="1"/>
        <v>212.5</v>
      </c>
      <c r="M126" s="253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</row>
    <row r="127" spans="1:23" ht="13.9">
      <c r="A127" s="250">
        <v>136</v>
      </c>
      <c r="B127" s="253" t="s">
        <v>3500</v>
      </c>
      <c r="C127" s="254">
        <v>45988</v>
      </c>
      <c r="D127" s="253" t="s">
        <v>3374</v>
      </c>
      <c r="E127" s="253" t="s">
        <v>3375</v>
      </c>
      <c r="F127" s="253">
        <v>195</v>
      </c>
      <c r="G127" s="253"/>
      <c r="H127" s="253"/>
      <c r="I127" s="253"/>
      <c r="J127" s="253"/>
      <c r="K127" s="253">
        <v>15</v>
      </c>
      <c r="L127" s="253">
        <f t="shared" si="1"/>
        <v>210</v>
      </c>
      <c r="M127" s="253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</row>
    <row r="128" spans="1:23" ht="13.9">
      <c r="A128" s="250">
        <v>137</v>
      </c>
      <c r="B128" s="253" t="s">
        <v>3501</v>
      </c>
      <c r="C128" s="254">
        <v>45986</v>
      </c>
      <c r="D128" s="253" t="s">
        <v>3361</v>
      </c>
      <c r="E128" s="253" t="s">
        <v>3403</v>
      </c>
      <c r="F128" s="253">
        <v>210.5</v>
      </c>
      <c r="G128" s="253"/>
      <c r="H128" s="253"/>
      <c r="I128" s="253"/>
      <c r="J128" s="253"/>
      <c r="K128" s="253">
        <v>15</v>
      </c>
      <c r="L128" s="253">
        <f t="shared" si="1"/>
        <v>225.5</v>
      </c>
      <c r="M128" s="253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</row>
    <row r="129" spans="1:23" ht="13.9">
      <c r="A129" s="250">
        <v>138</v>
      </c>
      <c r="B129" s="253" t="s">
        <v>3501</v>
      </c>
      <c r="C129" s="254">
        <v>45988</v>
      </c>
      <c r="D129" s="253" t="s">
        <v>3337</v>
      </c>
      <c r="E129" s="253" t="s">
        <v>3338</v>
      </c>
      <c r="F129" s="253">
        <v>210.5</v>
      </c>
      <c r="G129" s="253"/>
      <c r="H129" s="253"/>
      <c r="I129" s="253"/>
      <c r="J129" s="253"/>
      <c r="K129" s="253">
        <v>15</v>
      </c>
      <c r="L129" s="253">
        <f t="shared" si="1"/>
        <v>225.5</v>
      </c>
      <c r="M129" s="253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</row>
    <row r="130" spans="1:23" ht="13.9">
      <c r="A130" s="250">
        <v>139</v>
      </c>
      <c r="B130" s="253" t="s">
        <v>3502</v>
      </c>
      <c r="C130" s="254">
        <v>45987</v>
      </c>
      <c r="D130" s="253" t="s">
        <v>3361</v>
      </c>
      <c r="E130" s="253" t="s">
        <v>3373</v>
      </c>
      <c r="F130" s="253">
        <v>651</v>
      </c>
      <c r="G130" s="253"/>
      <c r="H130" s="253"/>
      <c r="I130" s="253"/>
      <c r="J130" s="253"/>
      <c r="K130" s="253">
        <v>15</v>
      </c>
      <c r="L130" s="253">
        <f t="shared" si="1"/>
        <v>666</v>
      </c>
      <c r="M130" s="253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</row>
    <row r="131" spans="1:23" ht="13.9">
      <c r="A131" s="250">
        <v>140</v>
      </c>
      <c r="B131" s="253" t="s">
        <v>3502</v>
      </c>
      <c r="C131" s="254">
        <v>45988</v>
      </c>
      <c r="D131" s="253" t="s">
        <v>3337</v>
      </c>
      <c r="E131" s="253" t="s">
        <v>3396</v>
      </c>
      <c r="F131" s="253">
        <v>612</v>
      </c>
      <c r="G131" s="253"/>
      <c r="H131" s="253"/>
      <c r="I131" s="253"/>
      <c r="J131" s="253"/>
      <c r="K131" s="253">
        <v>15</v>
      </c>
      <c r="L131" s="253">
        <f t="shared" si="1"/>
        <v>627</v>
      </c>
      <c r="M131" s="253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</row>
    <row r="132" spans="1:23" ht="13.9">
      <c r="A132" s="250">
        <v>141</v>
      </c>
      <c r="B132" s="253" t="s">
        <v>3503</v>
      </c>
      <c r="C132" s="254">
        <v>45986</v>
      </c>
      <c r="D132" s="253" t="s">
        <v>3365</v>
      </c>
      <c r="E132" s="253" t="s">
        <v>3504</v>
      </c>
      <c r="F132" s="253">
        <v>178.5</v>
      </c>
      <c r="G132" s="253"/>
      <c r="H132" s="253"/>
      <c r="I132" s="253"/>
      <c r="J132" s="253"/>
      <c r="K132" s="253">
        <v>15</v>
      </c>
      <c r="L132" s="253">
        <f t="shared" ref="L132:L195" si="2">SUM(F132:K132)</f>
        <v>193.5</v>
      </c>
      <c r="M132" s="253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</row>
    <row r="133" spans="1:23" ht="13.9">
      <c r="A133" s="250">
        <v>142</v>
      </c>
      <c r="B133" s="253" t="s">
        <v>3503</v>
      </c>
      <c r="C133" s="254">
        <v>45988</v>
      </c>
      <c r="D133" s="253" t="s">
        <v>3443</v>
      </c>
      <c r="E133" s="253" t="s">
        <v>3505</v>
      </c>
      <c r="F133" s="253">
        <v>178.5</v>
      </c>
      <c r="G133" s="253"/>
      <c r="H133" s="253"/>
      <c r="I133" s="253"/>
      <c r="J133" s="253"/>
      <c r="K133" s="253">
        <v>15</v>
      </c>
      <c r="L133" s="253">
        <f t="shared" si="2"/>
        <v>193.5</v>
      </c>
      <c r="M133" s="253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</row>
    <row r="134" spans="1:23" ht="13.9">
      <c r="A134" s="250">
        <v>143</v>
      </c>
      <c r="B134" s="253" t="s">
        <v>3506</v>
      </c>
      <c r="C134" s="254">
        <v>45986</v>
      </c>
      <c r="D134" s="253" t="s">
        <v>3405</v>
      </c>
      <c r="E134" s="253" t="s">
        <v>3406</v>
      </c>
      <c r="F134" s="253">
        <v>266</v>
      </c>
      <c r="G134" s="253"/>
      <c r="H134" s="253"/>
      <c r="I134" s="253"/>
      <c r="J134" s="253"/>
      <c r="K134" s="253">
        <v>15</v>
      </c>
      <c r="L134" s="253">
        <f t="shared" si="2"/>
        <v>281</v>
      </c>
      <c r="M134" s="253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</row>
    <row r="135" spans="1:23" ht="13.9">
      <c r="A135" s="250">
        <v>144</v>
      </c>
      <c r="B135" s="253" t="s">
        <v>3506</v>
      </c>
      <c r="C135" s="254">
        <v>45988</v>
      </c>
      <c r="D135" s="253" t="s">
        <v>3337</v>
      </c>
      <c r="E135" s="253" t="s">
        <v>3338</v>
      </c>
      <c r="F135" s="253"/>
      <c r="G135" s="253"/>
      <c r="H135" s="253">
        <v>15</v>
      </c>
      <c r="I135" s="253"/>
      <c r="J135" s="253"/>
      <c r="K135" s="253"/>
      <c r="L135" s="253">
        <f t="shared" si="2"/>
        <v>15</v>
      </c>
      <c r="M135" s="253" t="s">
        <v>3399</v>
      </c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</row>
    <row r="136" spans="1:23" ht="13.9">
      <c r="A136" s="250">
        <v>145</v>
      </c>
      <c r="B136" s="253" t="s">
        <v>3507</v>
      </c>
      <c r="C136" s="254">
        <v>45988</v>
      </c>
      <c r="D136" s="253" t="s">
        <v>3337</v>
      </c>
      <c r="E136" s="253" t="s">
        <v>3396</v>
      </c>
      <c r="F136" s="253">
        <v>184.5</v>
      </c>
      <c r="G136" s="253"/>
      <c r="H136" s="253"/>
      <c r="I136" s="253"/>
      <c r="J136" s="253"/>
      <c r="K136" s="253">
        <v>15</v>
      </c>
      <c r="L136" s="253">
        <f t="shared" si="2"/>
        <v>199.5</v>
      </c>
      <c r="M136" s="253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</row>
    <row r="137" spans="1:23" ht="13.9">
      <c r="A137" s="250">
        <v>146</v>
      </c>
      <c r="B137" s="253" t="s">
        <v>3508</v>
      </c>
      <c r="C137" s="254">
        <v>45986</v>
      </c>
      <c r="D137" s="253" t="s">
        <v>3356</v>
      </c>
      <c r="E137" s="253" t="s">
        <v>3428</v>
      </c>
      <c r="F137" s="253">
        <v>198</v>
      </c>
      <c r="G137" s="253"/>
      <c r="H137" s="253"/>
      <c r="I137" s="253"/>
      <c r="J137" s="253"/>
      <c r="K137" s="253">
        <v>15</v>
      </c>
      <c r="L137" s="253">
        <f t="shared" si="2"/>
        <v>213</v>
      </c>
      <c r="M137" s="253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</row>
    <row r="138" spans="1:23" ht="13.9">
      <c r="A138" s="250">
        <v>147</v>
      </c>
      <c r="B138" s="253" t="s">
        <v>3509</v>
      </c>
      <c r="C138" s="254">
        <v>45986</v>
      </c>
      <c r="D138" s="253" t="s">
        <v>3361</v>
      </c>
      <c r="E138" s="253" t="s">
        <v>3373</v>
      </c>
      <c r="F138" s="253">
        <v>210.5</v>
      </c>
      <c r="G138" s="253"/>
      <c r="H138" s="253"/>
      <c r="I138" s="253"/>
      <c r="J138" s="253"/>
      <c r="K138" s="253">
        <v>15</v>
      </c>
      <c r="L138" s="253">
        <f t="shared" si="2"/>
        <v>225.5</v>
      </c>
      <c r="M138" s="253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</row>
    <row r="139" spans="1:23" ht="13.9">
      <c r="A139" s="250">
        <v>148</v>
      </c>
      <c r="B139" s="253" t="s">
        <v>3509</v>
      </c>
      <c r="C139" s="254">
        <v>45988</v>
      </c>
      <c r="D139" s="253" t="s">
        <v>3407</v>
      </c>
      <c r="E139" s="253" t="s">
        <v>3408</v>
      </c>
      <c r="F139" s="253">
        <v>200.5</v>
      </c>
      <c r="G139" s="253"/>
      <c r="H139" s="253"/>
      <c r="I139" s="253"/>
      <c r="J139" s="253"/>
      <c r="K139" s="253">
        <v>15</v>
      </c>
      <c r="L139" s="253">
        <f t="shared" si="2"/>
        <v>215.5</v>
      </c>
      <c r="M139" s="253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</row>
    <row r="140" spans="1:23" ht="13.9">
      <c r="A140" s="250">
        <v>149</v>
      </c>
      <c r="B140" s="253" t="s">
        <v>3510</v>
      </c>
      <c r="C140" s="254">
        <v>45986</v>
      </c>
      <c r="D140" s="253" t="s">
        <v>3356</v>
      </c>
      <c r="E140" s="253" t="s">
        <v>3357</v>
      </c>
      <c r="F140" s="253"/>
      <c r="G140" s="253"/>
      <c r="H140" s="253">
        <v>15</v>
      </c>
      <c r="I140" s="253"/>
      <c r="J140" s="253"/>
      <c r="K140" s="253"/>
      <c r="L140" s="253">
        <f t="shared" si="2"/>
        <v>15</v>
      </c>
      <c r="M140" s="253" t="s">
        <v>3399</v>
      </c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</row>
    <row r="141" spans="1:23" ht="13.9">
      <c r="A141" s="250">
        <v>150</v>
      </c>
      <c r="B141" s="253" t="s">
        <v>3510</v>
      </c>
      <c r="C141" s="254">
        <v>45988</v>
      </c>
      <c r="D141" s="253" t="s">
        <v>3337</v>
      </c>
      <c r="E141" s="253" t="s">
        <v>3338</v>
      </c>
      <c r="F141" s="253">
        <v>210.5</v>
      </c>
      <c r="G141" s="253"/>
      <c r="H141" s="253"/>
      <c r="I141" s="253"/>
      <c r="J141" s="253"/>
      <c r="K141" s="253">
        <v>15</v>
      </c>
      <c r="L141" s="253">
        <f t="shared" si="2"/>
        <v>225.5</v>
      </c>
      <c r="M141" s="253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</row>
    <row r="142" spans="1:23" ht="13.9">
      <c r="A142" s="250">
        <v>151</v>
      </c>
      <c r="B142" s="253" t="s">
        <v>3511</v>
      </c>
      <c r="C142" s="254">
        <v>45986</v>
      </c>
      <c r="D142" s="253" t="s">
        <v>3365</v>
      </c>
      <c r="E142" s="253" t="s">
        <v>3442</v>
      </c>
      <c r="F142" s="253"/>
      <c r="G142" s="253">
        <v>18</v>
      </c>
      <c r="H142" s="253">
        <v>15</v>
      </c>
      <c r="I142" s="253"/>
      <c r="J142" s="253"/>
      <c r="K142" s="253"/>
      <c r="L142" s="253">
        <f t="shared" si="2"/>
        <v>33</v>
      </c>
      <c r="M142" s="253" t="s">
        <v>3399</v>
      </c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</row>
    <row r="143" spans="1:23" ht="13.9">
      <c r="A143" s="250">
        <v>152</v>
      </c>
      <c r="B143" s="253" t="s">
        <v>3512</v>
      </c>
      <c r="C143" s="254">
        <v>45987</v>
      </c>
      <c r="D143" s="253" t="s">
        <v>3361</v>
      </c>
      <c r="E143" s="253" t="s">
        <v>3373</v>
      </c>
      <c r="F143" s="253">
        <v>210.5</v>
      </c>
      <c r="G143" s="253"/>
      <c r="H143" s="253"/>
      <c r="I143" s="253"/>
      <c r="J143" s="253"/>
      <c r="K143" s="253">
        <v>15</v>
      </c>
      <c r="L143" s="253">
        <f t="shared" si="2"/>
        <v>225.5</v>
      </c>
      <c r="M143" s="253"/>
      <c r="N143" s="249"/>
      <c r="O143" s="249"/>
      <c r="P143" s="249"/>
      <c r="Q143" s="249"/>
      <c r="R143" s="249"/>
      <c r="S143" s="249"/>
      <c r="T143" s="249"/>
      <c r="U143" s="249"/>
      <c r="V143" s="249"/>
      <c r="W143" s="249"/>
    </row>
    <row r="144" spans="1:23" ht="13.9">
      <c r="A144" s="250">
        <v>153</v>
      </c>
      <c r="B144" s="253" t="s">
        <v>3512</v>
      </c>
      <c r="C144" s="254">
        <v>45988</v>
      </c>
      <c r="D144" s="253" t="s">
        <v>3337</v>
      </c>
      <c r="E144" s="253" t="s">
        <v>3363</v>
      </c>
      <c r="F144" s="253">
        <v>197.5</v>
      </c>
      <c r="G144" s="253"/>
      <c r="H144" s="253"/>
      <c r="I144" s="253"/>
      <c r="J144" s="253"/>
      <c r="K144" s="253">
        <v>15</v>
      </c>
      <c r="L144" s="253">
        <f t="shared" si="2"/>
        <v>212.5</v>
      </c>
      <c r="M144" s="253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</row>
    <row r="145" spans="1:23" ht="13.9">
      <c r="A145" s="250">
        <v>154</v>
      </c>
      <c r="B145" s="253" t="s">
        <v>3513</v>
      </c>
      <c r="C145" s="254">
        <v>45986</v>
      </c>
      <c r="D145" s="253" t="s">
        <v>3361</v>
      </c>
      <c r="E145" s="253" t="s">
        <v>3398</v>
      </c>
      <c r="F145" s="253"/>
      <c r="G145" s="253">
        <v>39.5</v>
      </c>
      <c r="H145" s="253">
        <v>15</v>
      </c>
      <c r="I145" s="253"/>
      <c r="J145" s="253"/>
      <c r="K145" s="253"/>
      <c r="L145" s="253">
        <f t="shared" si="2"/>
        <v>54.5</v>
      </c>
      <c r="M145" s="253" t="s">
        <v>3399</v>
      </c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</row>
    <row r="146" spans="1:23" ht="13.9">
      <c r="A146" s="250">
        <v>155</v>
      </c>
      <c r="B146" s="253" t="s">
        <v>3514</v>
      </c>
      <c r="C146" s="254">
        <v>45988</v>
      </c>
      <c r="D146" s="253" t="s">
        <v>3443</v>
      </c>
      <c r="E146" s="253" t="s">
        <v>3444</v>
      </c>
      <c r="F146" s="253">
        <v>178.5</v>
      </c>
      <c r="G146" s="253"/>
      <c r="H146" s="253"/>
      <c r="I146" s="253"/>
      <c r="J146" s="253"/>
      <c r="K146" s="253">
        <v>15</v>
      </c>
      <c r="L146" s="253">
        <f t="shared" si="2"/>
        <v>193.5</v>
      </c>
      <c r="M146" s="253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</row>
    <row r="147" spans="1:23" ht="13.9">
      <c r="A147" s="250">
        <v>156</v>
      </c>
      <c r="B147" s="253" t="s">
        <v>3515</v>
      </c>
      <c r="C147" s="254">
        <v>45986</v>
      </c>
      <c r="D147" s="253" t="s">
        <v>3365</v>
      </c>
      <c r="E147" s="253" t="s">
        <v>3498</v>
      </c>
      <c r="F147" s="253">
        <v>178.5</v>
      </c>
      <c r="G147" s="253"/>
      <c r="H147" s="253"/>
      <c r="I147" s="253"/>
      <c r="J147" s="253"/>
      <c r="K147" s="253">
        <v>15</v>
      </c>
      <c r="L147" s="253">
        <f t="shared" si="2"/>
        <v>193.5</v>
      </c>
      <c r="M147" s="253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</row>
    <row r="148" spans="1:23" ht="13.9">
      <c r="A148" s="250">
        <v>157</v>
      </c>
      <c r="B148" s="253" t="s">
        <v>3516</v>
      </c>
      <c r="C148" s="254">
        <v>45986</v>
      </c>
      <c r="D148" s="253" t="s">
        <v>3361</v>
      </c>
      <c r="E148" s="253" t="s">
        <v>3403</v>
      </c>
      <c r="F148" s="253">
        <v>210.5</v>
      </c>
      <c r="G148" s="253"/>
      <c r="H148" s="253"/>
      <c r="I148" s="253"/>
      <c r="J148" s="253"/>
      <c r="K148" s="253">
        <v>15</v>
      </c>
      <c r="L148" s="253">
        <f t="shared" si="2"/>
        <v>225.5</v>
      </c>
      <c r="M148" s="253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</row>
    <row r="149" spans="1:23" ht="13.9">
      <c r="A149" s="250">
        <v>158</v>
      </c>
      <c r="B149" s="253" t="s">
        <v>3516</v>
      </c>
      <c r="C149" s="254">
        <v>45988</v>
      </c>
      <c r="D149" s="253" t="s">
        <v>3407</v>
      </c>
      <c r="E149" s="253" t="s">
        <v>3408</v>
      </c>
      <c r="F149" s="253">
        <v>200.5</v>
      </c>
      <c r="G149" s="253"/>
      <c r="H149" s="253"/>
      <c r="I149" s="253"/>
      <c r="J149" s="253"/>
      <c r="K149" s="253">
        <v>15</v>
      </c>
      <c r="L149" s="253">
        <f t="shared" si="2"/>
        <v>215.5</v>
      </c>
      <c r="M149" s="253"/>
      <c r="N149" s="249"/>
      <c r="O149" s="249"/>
      <c r="P149" s="249"/>
      <c r="Q149" s="249"/>
      <c r="R149" s="249"/>
      <c r="S149" s="249"/>
      <c r="T149" s="249"/>
      <c r="U149" s="249"/>
      <c r="V149" s="249"/>
      <c r="W149" s="249"/>
    </row>
    <row r="150" spans="1:23" ht="13.9">
      <c r="A150" s="250">
        <v>159</v>
      </c>
      <c r="B150" s="253" t="s">
        <v>3517</v>
      </c>
      <c r="C150" s="254">
        <v>45986</v>
      </c>
      <c r="D150" s="253" t="s">
        <v>3361</v>
      </c>
      <c r="E150" s="253" t="s">
        <v>3403</v>
      </c>
      <c r="F150" s="253">
        <v>210.5</v>
      </c>
      <c r="G150" s="253"/>
      <c r="H150" s="253"/>
      <c r="I150" s="253"/>
      <c r="J150" s="253"/>
      <c r="K150" s="253">
        <v>15</v>
      </c>
      <c r="L150" s="253">
        <f t="shared" si="2"/>
        <v>225.5</v>
      </c>
      <c r="M150" s="253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</row>
    <row r="151" spans="1:23" ht="13.9">
      <c r="A151" s="250">
        <v>160</v>
      </c>
      <c r="B151" s="253" t="s">
        <v>3517</v>
      </c>
      <c r="C151" s="254">
        <v>45988</v>
      </c>
      <c r="D151" s="253" t="s">
        <v>3374</v>
      </c>
      <c r="E151" s="253" t="s">
        <v>3394</v>
      </c>
      <c r="F151" s="253"/>
      <c r="G151" s="253">
        <v>18</v>
      </c>
      <c r="H151" s="253">
        <v>15</v>
      </c>
      <c r="I151" s="253"/>
      <c r="J151" s="253"/>
      <c r="K151" s="253"/>
      <c r="L151" s="253">
        <f t="shared" si="2"/>
        <v>33</v>
      </c>
      <c r="M151" s="253" t="s">
        <v>3399</v>
      </c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</row>
    <row r="152" spans="1:23" ht="13.9">
      <c r="A152" s="250">
        <v>161</v>
      </c>
      <c r="B152" s="253" t="s">
        <v>3518</v>
      </c>
      <c r="C152" s="254">
        <v>45986</v>
      </c>
      <c r="D152" s="253" t="s">
        <v>3361</v>
      </c>
      <c r="E152" s="253" t="s">
        <v>3459</v>
      </c>
      <c r="F152" s="253">
        <v>210.5</v>
      </c>
      <c r="G152" s="253"/>
      <c r="H152" s="253"/>
      <c r="I152" s="253"/>
      <c r="J152" s="253"/>
      <c r="K152" s="253">
        <v>15</v>
      </c>
      <c r="L152" s="253">
        <f t="shared" si="2"/>
        <v>225.5</v>
      </c>
      <c r="M152" s="253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</row>
    <row r="153" spans="1:23" ht="13.9">
      <c r="A153" s="250">
        <v>162</v>
      </c>
      <c r="B153" s="253" t="s">
        <v>3518</v>
      </c>
      <c r="C153" s="254">
        <v>45988</v>
      </c>
      <c r="D153" s="253" t="s">
        <v>3337</v>
      </c>
      <c r="E153" s="253" t="s">
        <v>3338</v>
      </c>
      <c r="F153" s="253">
        <v>210.5</v>
      </c>
      <c r="G153" s="253"/>
      <c r="H153" s="253"/>
      <c r="I153" s="253"/>
      <c r="J153" s="253"/>
      <c r="K153" s="253">
        <v>15</v>
      </c>
      <c r="L153" s="253">
        <f t="shared" si="2"/>
        <v>225.5</v>
      </c>
      <c r="M153" s="253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</row>
    <row r="154" spans="1:23" ht="13.9">
      <c r="A154" s="250">
        <v>165</v>
      </c>
      <c r="B154" s="253" t="s">
        <v>3519</v>
      </c>
      <c r="C154" s="254">
        <v>45987</v>
      </c>
      <c r="D154" s="253" t="s">
        <v>3361</v>
      </c>
      <c r="E154" s="253" t="s">
        <v>3430</v>
      </c>
      <c r="F154" s="253"/>
      <c r="G154" s="253"/>
      <c r="H154" s="253">
        <v>15</v>
      </c>
      <c r="I154" s="253">
        <v>210.5</v>
      </c>
      <c r="J154" s="253">
        <v>15</v>
      </c>
      <c r="K154" s="253">
        <v>15</v>
      </c>
      <c r="L154" s="253">
        <f t="shared" si="2"/>
        <v>255.5</v>
      </c>
      <c r="M154" s="253" t="s">
        <v>3479</v>
      </c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</row>
    <row r="155" spans="1:23" ht="13.9">
      <c r="A155" s="250">
        <v>166</v>
      </c>
      <c r="B155" s="253" t="s">
        <v>3519</v>
      </c>
      <c r="C155" s="254">
        <v>45988</v>
      </c>
      <c r="D155" s="253" t="s">
        <v>3337</v>
      </c>
      <c r="E155" s="253" t="s">
        <v>3375</v>
      </c>
      <c r="F155" s="253"/>
      <c r="G155" s="253"/>
      <c r="H155" s="253">
        <v>15</v>
      </c>
      <c r="I155" s="253">
        <v>195</v>
      </c>
      <c r="J155" s="253">
        <v>15</v>
      </c>
      <c r="K155" s="253">
        <v>15</v>
      </c>
      <c r="L155" s="253">
        <f t="shared" si="2"/>
        <v>240</v>
      </c>
      <c r="M155" s="253" t="s">
        <v>3479</v>
      </c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</row>
    <row r="156" spans="1:23" ht="13.9">
      <c r="A156" s="250">
        <v>168</v>
      </c>
      <c r="B156" s="253" t="s">
        <v>3520</v>
      </c>
      <c r="C156" s="254">
        <v>45986</v>
      </c>
      <c r="D156" s="253" t="s">
        <v>3381</v>
      </c>
      <c r="E156" s="253" t="s">
        <v>3414</v>
      </c>
      <c r="F156" s="253">
        <v>509.5</v>
      </c>
      <c r="G156" s="253"/>
      <c r="H156" s="253"/>
      <c r="I156" s="253"/>
      <c r="J156" s="253"/>
      <c r="K156" s="253">
        <v>15</v>
      </c>
      <c r="L156" s="253">
        <f t="shared" si="2"/>
        <v>524.5</v>
      </c>
      <c r="M156" s="253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</row>
    <row r="157" spans="1:23" ht="13.9">
      <c r="A157" s="250">
        <v>169</v>
      </c>
      <c r="B157" s="253" t="s">
        <v>3521</v>
      </c>
      <c r="C157" s="254">
        <v>45988</v>
      </c>
      <c r="D157" s="253" t="s">
        <v>3522</v>
      </c>
      <c r="E157" s="253" t="s">
        <v>3523</v>
      </c>
      <c r="F157" s="253">
        <v>69</v>
      </c>
      <c r="G157" s="253"/>
      <c r="H157" s="253"/>
      <c r="I157" s="253"/>
      <c r="J157" s="253"/>
      <c r="K157" s="253">
        <v>15</v>
      </c>
      <c r="L157" s="253">
        <f t="shared" si="2"/>
        <v>84</v>
      </c>
      <c r="M157" s="253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</row>
    <row r="158" spans="1:23" ht="13.9">
      <c r="A158" s="250">
        <v>170</v>
      </c>
      <c r="B158" s="253" t="s">
        <v>3524</v>
      </c>
      <c r="C158" s="254">
        <v>45986</v>
      </c>
      <c r="D158" s="253" t="s">
        <v>3348</v>
      </c>
      <c r="E158" s="253" t="s">
        <v>3349</v>
      </c>
      <c r="F158" s="253">
        <v>213.5</v>
      </c>
      <c r="G158" s="253"/>
      <c r="H158" s="253"/>
      <c r="I158" s="253"/>
      <c r="J158" s="253"/>
      <c r="K158" s="253">
        <v>15</v>
      </c>
      <c r="L158" s="253">
        <f t="shared" si="2"/>
        <v>228.5</v>
      </c>
      <c r="M158" s="253"/>
      <c r="N158" s="249"/>
      <c r="O158" s="249"/>
      <c r="P158" s="249"/>
      <c r="Q158" s="249"/>
      <c r="R158" s="249"/>
      <c r="S158" s="249"/>
      <c r="T158" s="249"/>
      <c r="U158" s="249"/>
      <c r="V158" s="249"/>
      <c r="W158" s="249"/>
    </row>
    <row r="159" spans="1:23" ht="13.9">
      <c r="A159" s="250">
        <v>171</v>
      </c>
      <c r="B159" s="253" t="s">
        <v>3524</v>
      </c>
      <c r="C159" s="254">
        <v>45988</v>
      </c>
      <c r="D159" s="253" t="s">
        <v>3350</v>
      </c>
      <c r="E159" s="253" t="s">
        <v>3386</v>
      </c>
      <c r="F159" s="253"/>
      <c r="G159" s="253">
        <v>43.5</v>
      </c>
      <c r="H159" s="253">
        <v>15</v>
      </c>
      <c r="I159" s="253"/>
      <c r="J159" s="253"/>
      <c r="K159" s="253"/>
      <c r="L159" s="253">
        <f t="shared" si="2"/>
        <v>58.5</v>
      </c>
      <c r="M159" s="253" t="s">
        <v>3399</v>
      </c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</row>
    <row r="160" spans="1:23" ht="13.9">
      <c r="A160" s="250">
        <v>172</v>
      </c>
      <c r="B160" s="253" t="s">
        <v>3525</v>
      </c>
      <c r="C160" s="254">
        <v>45986</v>
      </c>
      <c r="D160" s="253" t="s">
        <v>3348</v>
      </c>
      <c r="E160" s="253" t="s">
        <v>3349</v>
      </c>
      <c r="F160" s="253">
        <v>213.5</v>
      </c>
      <c r="G160" s="253"/>
      <c r="H160" s="253"/>
      <c r="I160" s="253"/>
      <c r="J160" s="253"/>
      <c r="K160" s="253">
        <v>15</v>
      </c>
      <c r="L160" s="253">
        <f t="shared" si="2"/>
        <v>228.5</v>
      </c>
      <c r="M160" s="253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</row>
    <row r="161" spans="1:23" ht="13.9">
      <c r="A161" s="250">
        <v>173</v>
      </c>
      <c r="B161" s="253" t="s">
        <v>3525</v>
      </c>
      <c r="C161" s="254">
        <v>45988</v>
      </c>
      <c r="D161" s="253" t="s">
        <v>3350</v>
      </c>
      <c r="E161" s="253" t="s">
        <v>3412</v>
      </c>
      <c r="F161" s="253">
        <v>195.5</v>
      </c>
      <c r="G161" s="253"/>
      <c r="H161" s="253"/>
      <c r="I161" s="253"/>
      <c r="J161" s="253"/>
      <c r="K161" s="253">
        <v>15</v>
      </c>
      <c r="L161" s="253">
        <f t="shared" si="2"/>
        <v>210.5</v>
      </c>
      <c r="M161" s="253"/>
      <c r="N161" s="249"/>
      <c r="O161" s="249"/>
      <c r="P161" s="249"/>
      <c r="Q161" s="249"/>
      <c r="R161" s="249"/>
      <c r="S161" s="249"/>
      <c r="T161" s="249"/>
      <c r="U161" s="249"/>
      <c r="V161" s="249"/>
      <c r="W161" s="249"/>
    </row>
    <row r="162" spans="1:23" ht="13.9">
      <c r="A162" s="250">
        <v>174</v>
      </c>
      <c r="B162" s="253" t="s">
        <v>3526</v>
      </c>
      <c r="C162" s="254">
        <v>45986</v>
      </c>
      <c r="D162" s="253" t="s">
        <v>3361</v>
      </c>
      <c r="E162" s="253" t="s">
        <v>3465</v>
      </c>
      <c r="F162" s="253"/>
      <c r="G162" s="253"/>
      <c r="H162" s="253">
        <v>15</v>
      </c>
      <c r="I162" s="253"/>
      <c r="J162" s="253"/>
      <c r="K162" s="253"/>
      <c r="L162" s="253">
        <f t="shared" si="2"/>
        <v>15</v>
      </c>
      <c r="M162" s="253" t="s">
        <v>3399</v>
      </c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</row>
    <row r="163" spans="1:23" ht="13.9">
      <c r="A163" s="250">
        <v>175</v>
      </c>
      <c r="B163" s="253" t="s">
        <v>3526</v>
      </c>
      <c r="C163" s="254">
        <v>45988</v>
      </c>
      <c r="D163" s="253" t="s">
        <v>3337</v>
      </c>
      <c r="E163" s="253" t="s">
        <v>3466</v>
      </c>
      <c r="F163" s="253">
        <v>612</v>
      </c>
      <c r="G163" s="253"/>
      <c r="H163" s="253"/>
      <c r="I163" s="253"/>
      <c r="J163" s="253"/>
      <c r="K163" s="253">
        <v>15</v>
      </c>
      <c r="L163" s="253">
        <f t="shared" si="2"/>
        <v>627</v>
      </c>
      <c r="M163" s="253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</row>
    <row r="164" spans="1:23" ht="13.9">
      <c r="A164" s="250">
        <v>176</v>
      </c>
      <c r="B164" s="253" t="s">
        <v>3527</v>
      </c>
      <c r="C164" s="254">
        <v>45986</v>
      </c>
      <c r="D164" s="253" t="s">
        <v>3361</v>
      </c>
      <c r="E164" s="253" t="s">
        <v>3403</v>
      </c>
      <c r="F164" s="253">
        <v>210.5</v>
      </c>
      <c r="G164" s="253"/>
      <c r="H164" s="253"/>
      <c r="I164" s="253"/>
      <c r="J164" s="253"/>
      <c r="K164" s="253">
        <v>15</v>
      </c>
      <c r="L164" s="253">
        <f t="shared" si="2"/>
        <v>225.5</v>
      </c>
      <c r="M164" s="253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</row>
    <row r="165" spans="1:23" ht="13.9">
      <c r="A165" s="250">
        <v>177</v>
      </c>
      <c r="B165" s="253" t="s">
        <v>3527</v>
      </c>
      <c r="C165" s="254">
        <v>45988</v>
      </c>
      <c r="D165" s="253" t="s">
        <v>3374</v>
      </c>
      <c r="E165" s="253" t="s">
        <v>3375</v>
      </c>
      <c r="F165" s="253"/>
      <c r="G165" s="253"/>
      <c r="H165" s="253">
        <v>15</v>
      </c>
      <c r="I165" s="253"/>
      <c r="J165" s="253"/>
      <c r="K165" s="253"/>
      <c r="L165" s="253">
        <f t="shared" si="2"/>
        <v>15</v>
      </c>
      <c r="M165" s="253" t="s">
        <v>3399</v>
      </c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</row>
    <row r="166" spans="1:23" ht="13.9">
      <c r="A166" s="250">
        <v>178</v>
      </c>
      <c r="B166" s="253" t="s">
        <v>3528</v>
      </c>
      <c r="C166" s="254">
        <v>45986</v>
      </c>
      <c r="D166" s="253" t="s">
        <v>3381</v>
      </c>
      <c r="E166" s="253" t="s">
        <v>3382</v>
      </c>
      <c r="F166" s="253">
        <v>462</v>
      </c>
      <c r="G166" s="253"/>
      <c r="H166" s="253"/>
      <c r="I166" s="253"/>
      <c r="J166" s="253"/>
      <c r="K166" s="253">
        <v>15</v>
      </c>
      <c r="L166" s="253">
        <f t="shared" si="2"/>
        <v>477</v>
      </c>
      <c r="M166" s="253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</row>
    <row r="167" spans="1:23" ht="13.9">
      <c r="A167" s="250">
        <v>179</v>
      </c>
      <c r="B167" s="253" t="s">
        <v>3528</v>
      </c>
      <c r="C167" s="254">
        <v>45988</v>
      </c>
      <c r="D167" s="253" t="s">
        <v>3383</v>
      </c>
      <c r="E167" s="253" t="s">
        <v>3384</v>
      </c>
      <c r="F167" s="253">
        <v>461.5</v>
      </c>
      <c r="G167" s="253"/>
      <c r="H167" s="253"/>
      <c r="I167" s="253"/>
      <c r="J167" s="253"/>
      <c r="K167" s="253">
        <v>15</v>
      </c>
      <c r="L167" s="253">
        <f t="shared" si="2"/>
        <v>476.5</v>
      </c>
      <c r="M167" s="253"/>
      <c r="N167" s="249"/>
      <c r="O167" s="249"/>
      <c r="P167" s="249"/>
      <c r="Q167" s="249"/>
      <c r="R167" s="249"/>
      <c r="S167" s="249"/>
      <c r="T167" s="249"/>
      <c r="U167" s="249"/>
      <c r="V167" s="249"/>
      <c r="W167" s="249"/>
    </row>
    <row r="168" spans="1:23" ht="13.9">
      <c r="A168" s="250">
        <v>180</v>
      </c>
      <c r="B168" s="253" t="s">
        <v>3529</v>
      </c>
      <c r="C168" s="254">
        <v>45987</v>
      </c>
      <c r="D168" s="253" t="s">
        <v>3361</v>
      </c>
      <c r="E168" s="253" t="s">
        <v>3373</v>
      </c>
      <c r="F168" s="253">
        <v>210.5</v>
      </c>
      <c r="G168" s="253"/>
      <c r="H168" s="253"/>
      <c r="I168" s="253"/>
      <c r="J168" s="253"/>
      <c r="K168" s="253">
        <v>15</v>
      </c>
      <c r="L168" s="253">
        <f t="shared" si="2"/>
        <v>225.5</v>
      </c>
      <c r="M168" s="253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</row>
    <row r="169" spans="1:23" ht="13.9">
      <c r="A169" s="250">
        <v>181</v>
      </c>
      <c r="B169" s="253" t="s">
        <v>3530</v>
      </c>
      <c r="C169" s="254">
        <v>45987</v>
      </c>
      <c r="D169" s="253" t="s">
        <v>3361</v>
      </c>
      <c r="E169" s="253" t="s">
        <v>3373</v>
      </c>
      <c r="F169" s="253">
        <v>651</v>
      </c>
      <c r="G169" s="253"/>
      <c r="H169" s="253"/>
      <c r="I169" s="253"/>
      <c r="J169" s="253"/>
      <c r="K169" s="253">
        <v>15</v>
      </c>
      <c r="L169" s="253">
        <f t="shared" si="2"/>
        <v>666</v>
      </c>
      <c r="M169" s="253"/>
      <c r="N169" s="249"/>
      <c r="O169" s="249"/>
      <c r="P169" s="249"/>
      <c r="Q169" s="249"/>
      <c r="R169" s="249"/>
      <c r="S169" s="249"/>
      <c r="T169" s="249"/>
      <c r="U169" s="249"/>
      <c r="V169" s="249"/>
      <c r="W169" s="249"/>
    </row>
    <row r="170" spans="1:23" ht="13.9">
      <c r="A170" s="250">
        <v>182</v>
      </c>
      <c r="B170" s="253" t="s">
        <v>3531</v>
      </c>
      <c r="C170" s="254">
        <v>45986</v>
      </c>
      <c r="D170" s="253" t="s">
        <v>3356</v>
      </c>
      <c r="E170" s="253" t="s">
        <v>3428</v>
      </c>
      <c r="F170" s="253"/>
      <c r="G170" s="253"/>
      <c r="H170" s="253">
        <v>15</v>
      </c>
      <c r="I170" s="253"/>
      <c r="J170" s="253"/>
      <c r="K170" s="253"/>
      <c r="L170" s="253">
        <f t="shared" si="2"/>
        <v>15</v>
      </c>
      <c r="M170" s="253" t="s">
        <v>3399</v>
      </c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</row>
    <row r="171" spans="1:23" ht="13.9">
      <c r="A171" s="250">
        <v>183</v>
      </c>
      <c r="B171" s="253" t="s">
        <v>3532</v>
      </c>
      <c r="C171" s="254">
        <v>45986</v>
      </c>
      <c r="D171" s="253" t="s">
        <v>3356</v>
      </c>
      <c r="E171" s="253" t="s">
        <v>3357</v>
      </c>
      <c r="F171" s="253">
        <v>164</v>
      </c>
      <c r="G171" s="253"/>
      <c r="H171" s="253"/>
      <c r="I171" s="253"/>
      <c r="J171" s="253"/>
      <c r="K171" s="253">
        <v>15</v>
      </c>
      <c r="L171" s="253">
        <f t="shared" si="2"/>
        <v>179</v>
      </c>
      <c r="M171" s="253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</row>
    <row r="172" spans="1:23" ht="13.9">
      <c r="A172" s="250">
        <v>184</v>
      </c>
      <c r="B172" s="253" t="s">
        <v>3532</v>
      </c>
      <c r="C172" s="254">
        <v>45988</v>
      </c>
      <c r="D172" s="253" t="s">
        <v>3358</v>
      </c>
      <c r="E172" s="253" t="s">
        <v>3359</v>
      </c>
      <c r="F172" s="253">
        <v>198</v>
      </c>
      <c r="G172" s="253"/>
      <c r="H172" s="253"/>
      <c r="I172" s="253"/>
      <c r="J172" s="253"/>
      <c r="K172" s="253">
        <v>15</v>
      </c>
      <c r="L172" s="253">
        <f t="shared" si="2"/>
        <v>213</v>
      </c>
      <c r="M172" s="253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</row>
    <row r="173" spans="1:23" ht="13.9">
      <c r="A173" s="250">
        <v>185</v>
      </c>
      <c r="B173" s="253" t="s">
        <v>3533</v>
      </c>
      <c r="C173" s="254">
        <v>45985</v>
      </c>
      <c r="D173" s="253" t="s">
        <v>3534</v>
      </c>
      <c r="E173" s="253" t="s">
        <v>3535</v>
      </c>
      <c r="F173" s="253">
        <v>590</v>
      </c>
      <c r="G173" s="253"/>
      <c r="H173" s="253"/>
      <c r="I173" s="253"/>
      <c r="J173" s="253"/>
      <c r="K173" s="253">
        <v>15</v>
      </c>
      <c r="L173" s="253">
        <f t="shared" si="2"/>
        <v>605</v>
      </c>
      <c r="M173" s="253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</row>
    <row r="174" spans="1:23" ht="13.9">
      <c r="A174" s="250">
        <v>187</v>
      </c>
      <c r="B174" s="253" t="s">
        <v>3533</v>
      </c>
      <c r="C174" s="254">
        <v>45986</v>
      </c>
      <c r="D174" s="253" t="s">
        <v>3356</v>
      </c>
      <c r="E174" s="253" t="s">
        <v>3428</v>
      </c>
      <c r="F174" s="253"/>
      <c r="G174" s="253"/>
      <c r="H174" s="253">
        <v>15</v>
      </c>
      <c r="I174" s="253">
        <v>614.5</v>
      </c>
      <c r="J174" s="253">
        <v>15</v>
      </c>
      <c r="K174" s="253">
        <v>15</v>
      </c>
      <c r="L174" s="253">
        <f t="shared" si="2"/>
        <v>659.5</v>
      </c>
      <c r="M174" s="253" t="s">
        <v>3479</v>
      </c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</row>
    <row r="175" spans="1:23" ht="13.9">
      <c r="A175" s="250">
        <v>188</v>
      </c>
      <c r="B175" s="253" t="s">
        <v>3536</v>
      </c>
      <c r="C175" s="254">
        <v>45986</v>
      </c>
      <c r="D175" s="253" t="s">
        <v>3361</v>
      </c>
      <c r="E175" s="253" t="s">
        <v>3459</v>
      </c>
      <c r="F175" s="253">
        <v>210.5</v>
      </c>
      <c r="G175" s="253"/>
      <c r="H175" s="253"/>
      <c r="I175" s="253"/>
      <c r="J175" s="253"/>
      <c r="K175" s="253">
        <v>15</v>
      </c>
      <c r="L175" s="253">
        <f t="shared" si="2"/>
        <v>225.5</v>
      </c>
      <c r="M175" s="253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</row>
    <row r="176" spans="1:23" ht="13.9">
      <c r="A176" s="250">
        <v>189</v>
      </c>
      <c r="B176" s="253" t="s">
        <v>3536</v>
      </c>
      <c r="C176" s="254">
        <v>45988</v>
      </c>
      <c r="D176" s="253" t="s">
        <v>3337</v>
      </c>
      <c r="E176" s="253" t="s">
        <v>3363</v>
      </c>
      <c r="F176" s="253">
        <v>197.5</v>
      </c>
      <c r="G176" s="253"/>
      <c r="H176" s="253"/>
      <c r="I176" s="253"/>
      <c r="J176" s="253"/>
      <c r="K176" s="253">
        <v>15</v>
      </c>
      <c r="L176" s="253">
        <f t="shared" si="2"/>
        <v>212.5</v>
      </c>
      <c r="M176" s="253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</row>
    <row r="177" spans="1:23" ht="13.9">
      <c r="A177" s="250">
        <v>190</v>
      </c>
      <c r="B177" s="253" t="s">
        <v>3537</v>
      </c>
      <c r="C177" s="254">
        <v>45987</v>
      </c>
      <c r="D177" s="253" t="s">
        <v>3361</v>
      </c>
      <c r="E177" s="253" t="s">
        <v>3362</v>
      </c>
      <c r="F177" s="253"/>
      <c r="G177" s="253">
        <v>42</v>
      </c>
      <c r="H177" s="253">
        <v>15</v>
      </c>
      <c r="I177" s="253"/>
      <c r="J177" s="253"/>
      <c r="K177" s="253"/>
      <c r="L177" s="253">
        <f t="shared" si="2"/>
        <v>57</v>
      </c>
      <c r="M177" s="253" t="s">
        <v>3399</v>
      </c>
      <c r="N177" s="249"/>
      <c r="O177" s="249"/>
      <c r="P177" s="249"/>
      <c r="Q177" s="249"/>
      <c r="R177" s="249"/>
      <c r="S177" s="249"/>
      <c r="T177" s="249"/>
      <c r="U177" s="249"/>
      <c r="V177" s="249"/>
      <c r="W177" s="249"/>
    </row>
    <row r="178" spans="1:23" ht="13.9">
      <c r="A178" s="250">
        <v>191</v>
      </c>
      <c r="B178" s="253" t="s">
        <v>3537</v>
      </c>
      <c r="C178" s="254">
        <v>45988</v>
      </c>
      <c r="D178" s="253" t="s">
        <v>3337</v>
      </c>
      <c r="E178" s="253" t="s">
        <v>3338</v>
      </c>
      <c r="F178" s="253">
        <v>210.5</v>
      </c>
      <c r="G178" s="253"/>
      <c r="H178" s="253"/>
      <c r="I178" s="253"/>
      <c r="J178" s="253"/>
      <c r="K178" s="253">
        <v>15</v>
      </c>
      <c r="L178" s="253">
        <f t="shared" si="2"/>
        <v>225.5</v>
      </c>
      <c r="M178" s="253"/>
      <c r="N178" s="249"/>
      <c r="O178" s="249"/>
      <c r="P178" s="249"/>
      <c r="Q178" s="249"/>
      <c r="R178" s="249"/>
      <c r="S178" s="249"/>
      <c r="T178" s="249"/>
      <c r="U178" s="249"/>
      <c r="V178" s="249"/>
      <c r="W178" s="249"/>
    </row>
    <row r="179" spans="1:23" ht="13.9">
      <c r="A179" s="250">
        <v>192</v>
      </c>
      <c r="B179" s="253" t="s">
        <v>3538</v>
      </c>
      <c r="C179" s="254">
        <v>45987</v>
      </c>
      <c r="D179" s="253" t="s">
        <v>3361</v>
      </c>
      <c r="E179" s="253" t="s">
        <v>3373</v>
      </c>
      <c r="F179" s="253">
        <v>210.5</v>
      </c>
      <c r="G179" s="253"/>
      <c r="H179" s="253"/>
      <c r="I179" s="253"/>
      <c r="J179" s="253"/>
      <c r="K179" s="253">
        <v>15</v>
      </c>
      <c r="L179" s="253">
        <f t="shared" si="2"/>
        <v>225.5</v>
      </c>
      <c r="M179" s="253"/>
      <c r="N179" s="249"/>
      <c r="O179" s="249"/>
      <c r="P179" s="249"/>
      <c r="Q179" s="249"/>
      <c r="R179" s="249"/>
      <c r="S179" s="249"/>
      <c r="T179" s="249"/>
      <c r="U179" s="249"/>
      <c r="V179" s="249"/>
      <c r="W179" s="249"/>
    </row>
    <row r="180" spans="1:23" ht="13.9">
      <c r="A180" s="250">
        <v>194</v>
      </c>
      <c r="B180" s="253" t="s">
        <v>3538</v>
      </c>
      <c r="C180" s="254">
        <v>45988</v>
      </c>
      <c r="D180" s="253" t="s">
        <v>3337</v>
      </c>
      <c r="E180" s="253" t="s">
        <v>3396</v>
      </c>
      <c r="F180" s="253"/>
      <c r="G180" s="253"/>
      <c r="H180" s="253">
        <v>15</v>
      </c>
      <c r="I180" s="253">
        <v>296</v>
      </c>
      <c r="J180" s="253">
        <v>15</v>
      </c>
      <c r="K180" s="253">
        <v>15</v>
      </c>
      <c r="L180" s="253">
        <f t="shared" si="2"/>
        <v>341</v>
      </c>
      <c r="M180" s="253" t="s">
        <v>3479</v>
      </c>
      <c r="N180" s="249"/>
      <c r="O180" s="249"/>
      <c r="P180" s="249"/>
      <c r="Q180" s="249"/>
      <c r="R180" s="249"/>
      <c r="S180" s="249"/>
      <c r="T180" s="249"/>
      <c r="U180" s="249"/>
      <c r="V180" s="249"/>
      <c r="W180" s="249"/>
    </row>
    <row r="181" spans="1:23" ht="13.9">
      <c r="A181" s="250">
        <v>195</v>
      </c>
      <c r="B181" s="253" t="s">
        <v>3539</v>
      </c>
      <c r="C181" s="254">
        <v>45986</v>
      </c>
      <c r="D181" s="253" t="s">
        <v>3361</v>
      </c>
      <c r="E181" s="253" t="s">
        <v>3403</v>
      </c>
      <c r="F181" s="253">
        <v>210.5</v>
      </c>
      <c r="G181" s="253"/>
      <c r="H181" s="253"/>
      <c r="I181" s="253"/>
      <c r="J181" s="253"/>
      <c r="K181" s="253">
        <v>15</v>
      </c>
      <c r="L181" s="253">
        <f t="shared" si="2"/>
        <v>225.5</v>
      </c>
      <c r="M181" s="253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</row>
    <row r="182" spans="1:23" ht="13.9">
      <c r="A182" s="250">
        <v>196</v>
      </c>
      <c r="B182" s="253" t="s">
        <v>3539</v>
      </c>
      <c r="C182" s="254">
        <v>45988</v>
      </c>
      <c r="D182" s="253" t="s">
        <v>3407</v>
      </c>
      <c r="E182" s="253" t="s">
        <v>3408</v>
      </c>
      <c r="F182" s="253">
        <v>200.5</v>
      </c>
      <c r="G182" s="253"/>
      <c r="H182" s="253"/>
      <c r="I182" s="253"/>
      <c r="J182" s="253"/>
      <c r="K182" s="253">
        <v>15</v>
      </c>
      <c r="L182" s="253">
        <f t="shared" si="2"/>
        <v>215.5</v>
      </c>
      <c r="M182" s="253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</row>
    <row r="183" spans="1:23" ht="13.9">
      <c r="A183" s="250">
        <v>197</v>
      </c>
      <c r="B183" s="253" t="s">
        <v>3540</v>
      </c>
      <c r="C183" s="254">
        <v>45986</v>
      </c>
      <c r="D183" s="253" t="s">
        <v>3541</v>
      </c>
      <c r="E183" s="253" t="s">
        <v>3542</v>
      </c>
      <c r="F183" s="253">
        <v>456</v>
      </c>
      <c r="G183" s="253"/>
      <c r="H183" s="253"/>
      <c r="I183" s="253"/>
      <c r="J183" s="253"/>
      <c r="K183" s="253">
        <v>15</v>
      </c>
      <c r="L183" s="253">
        <f t="shared" si="2"/>
        <v>471</v>
      </c>
      <c r="M183" s="253"/>
      <c r="N183" s="249"/>
      <c r="O183" s="249"/>
      <c r="P183" s="249"/>
      <c r="Q183" s="249"/>
      <c r="R183" s="249"/>
      <c r="S183" s="249"/>
      <c r="T183" s="249"/>
      <c r="U183" s="249"/>
      <c r="V183" s="249"/>
      <c r="W183" s="249"/>
    </row>
    <row r="184" spans="1:23" ht="13.9">
      <c r="A184" s="250">
        <v>198</v>
      </c>
      <c r="B184" s="253" t="s">
        <v>3540</v>
      </c>
      <c r="C184" s="254">
        <v>45988</v>
      </c>
      <c r="D184" s="253" t="s">
        <v>3543</v>
      </c>
      <c r="E184" s="253" t="s">
        <v>3386</v>
      </c>
      <c r="F184" s="253">
        <v>470</v>
      </c>
      <c r="G184" s="253"/>
      <c r="H184" s="253"/>
      <c r="I184" s="253"/>
      <c r="J184" s="253"/>
      <c r="K184" s="253">
        <v>15</v>
      </c>
      <c r="L184" s="253">
        <f t="shared" si="2"/>
        <v>485</v>
      </c>
      <c r="M184" s="253"/>
      <c r="N184" s="249"/>
      <c r="O184" s="249"/>
      <c r="P184" s="249"/>
      <c r="Q184" s="249"/>
      <c r="R184" s="249"/>
      <c r="S184" s="249"/>
      <c r="T184" s="249"/>
      <c r="U184" s="249"/>
      <c r="V184" s="249"/>
      <c r="W184" s="249"/>
    </row>
    <row r="185" spans="1:23" ht="13.9">
      <c r="A185" s="250">
        <v>199</v>
      </c>
      <c r="B185" s="253" t="s">
        <v>3544</v>
      </c>
      <c r="C185" s="254">
        <v>45986</v>
      </c>
      <c r="D185" s="253" t="s">
        <v>3361</v>
      </c>
      <c r="E185" s="253" t="s">
        <v>3403</v>
      </c>
      <c r="F185" s="253">
        <v>210.5</v>
      </c>
      <c r="G185" s="253"/>
      <c r="H185" s="253"/>
      <c r="I185" s="253"/>
      <c r="J185" s="253"/>
      <c r="K185" s="253">
        <v>15</v>
      </c>
      <c r="L185" s="253">
        <f t="shared" si="2"/>
        <v>225.5</v>
      </c>
      <c r="M185" s="253"/>
      <c r="N185" s="249"/>
      <c r="O185" s="249"/>
      <c r="P185" s="249"/>
      <c r="Q185" s="249"/>
      <c r="R185" s="249"/>
      <c r="S185" s="249"/>
      <c r="T185" s="249"/>
      <c r="U185" s="249"/>
      <c r="V185" s="249"/>
      <c r="W185" s="249"/>
    </row>
    <row r="186" spans="1:23" ht="13.9">
      <c r="A186" s="250">
        <v>200</v>
      </c>
      <c r="B186" s="253" t="s">
        <v>3544</v>
      </c>
      <c r="C186" s="254">
        <v>45988</v>
      </c>
      <c r="D186" s="253" t="s">
        <v>3337</v>
      </c>
      <c r="E186" s="253" t="s">
        <v>3439</v>
      </c>
      <c r="F186" s="253">
        <v>184.5</v>
      </c>
      <c r="G186" s="253"/>
      <c r="H186" s="253"/>
      <c r="I186" s="253"/>
      <c r="J186" s="253"/>
      <c r="K186" s="253">
        <v>15</v>
      </c>
      <c r="L186" s="253">
        <f t="shared" si="2"/>
        <v>199.5</v>
      </c>
      <c r="M186" s="253"/>
      <c r="N186" s="249"/>
      <c r="O186" s="249"/>
      <c r="P186" s="249"/>
      <c r="Q186" s="249"/>
      <c r="R186" s="249"/>
      <c r="S186" s="249"/>
      <c r="T186" s="249"/>
      <c r="U186" s="249"/>
      <c r="V186" s="249"/>
      <c r="W186" s="249"/>
    </row>
    <row r="187" spans="1:23" ht="13.9">
      <c r="A187" s="250">
        <v>201</v>
      </c>
      <c r="B187" s="253" t="s">
        <v>3545</v>
      </c>
      <c r="C187" s="254">
        <v>45986</v>
      </c>
      <c r="D187" s="253" t="s">
        <v>3361</v>
      </c>
      <c r="E187" s="253" t="s">
        <v>3403</v>
      </c>
      <c r="F187" s="253">
        <v>210.5</v>
      </c>
      <c r="G187" s="253"/>
      <c r="H187" s="253"/>
      <c r="I187" s="253"/>
      <c r="J187" s="253"/>
      <c r="K187" s="253">
        <v>15</v>
      </c>
      <c r="L187" s="253">
        <f t="shared" si="2"/>
        <v>225.5</v>
      </c>
      <c r="M187" s="253"/>
      <c r="N187" s="249"/>
      <c r="O187" s="249"/>
      <c r="P187" s="249"/>
      <c r="Q187" s="249"/>
      <c r="R187" s="249"/>
      <c r="S187" s="249"/>
      <c r="T187" s="249"/>
      <c r="U187" s="249"/>
      <c r="V187" s="249"/>
      <c r="W187" s="249"/>
    </row>
    <row r="188" spans="1:23" ht="13.9">
      <c r="A188" s="250">
        <v>202</v>
      </c>
      <c r="B188" s="253" t="s">
        <v>3545</v>
      </c>
      <c r="C188" s="254">
        <v>45988</v>
      </c>
      <c r="D188" s="253" t="s">
        <v>3407</v>
      </c>
      <c r="E188" s="253" t="s">
        <v>3408</v>
      </c>
      <c r="F188" s="253">
        <v>200.5</v>
      </c>
      <c r="G188" s="253"/>
      <c r="H188" s="253"/>
      <c r="I188" s="253"/>
      <c r="J188" s="253"/>
      <c r="K188" s="253">
        <v>15</v>
      </c>
      <c r="L188" s="253">
        <f t="shared" si="2"/>
        <v>215.5</v>
      </c>
      <c r="M188" s="253"/>
      <c r="N188" s="249"/>
      <c r="O188" s="249"/>
      <c r="P188" s="249"/>
      <c r="Q188" s="249"/>
      <c r="R188" s="249"/>
      <c r="S188" s="249"/>
      <c r="T188" s="249"/>
      <c r="U188" s="249"/>
      <c r="V188" s="249"/>
      <c r="W188" s="249"/>
    </row>
    <row r="189" spans="1:23" ht="13.9">
      <c r="A189" s="250">
        <v>203</v>
      </c>
      <c r="B189" s="253" t="s">
        <v>3546</v>
      </c>
      <c r="C189" s="254">
        <v>45986</v>
      </c>
      <c r="D189" s="253" t="s">
        <v>3365</v>
      </c>
      <c r="E189" s="253" t="s">
        <v>3547</v>
      </c>
      <c r="F189" s="253">
        <v>178.5</v>
      </c>
      <c r="G189" s="253"/>
      <c r="H189" s="253"/>
      <c r="I189" s="253"/>
      <c r="J189" s="253"/>
      <c r="K189" s="253">
        <v>15</v>
      </c>
      <c r="L189" s="253">
        <f t="shared" si="2"/>
        <v>193.5</v>
      </c>
      <c r="M189" s="253"/>
      <c r="N189" s="249"/>
      <c r="O189" s="249"/>
      <c r="P189" s="249"/>
      <c r="Q189" s="249"/>
      <c r="R189" s="249"/>
      <c r="S189" s="249"/>
      <c r="T189" s="249"/>
      <c r="U189" s="249"/>
      <c r="V189" s="249"/>
      <c r="W189" s="249"/>
    </row>
    <row r="190" spans="1:23" ht="13.9">
      <c r="A190" s="250">
        <v>204</v>
      </c>
      <c r="B190" s="253" t="s">
        <v>3546</v>
      </c>
      <c r="C190" s="254">
        <v>45988</v>
      </c>
      <c r="D190" s="253" t="s">
        <v>3443</v>
      </c>
      <c r="E190" s="253" t="s">
        <v>3488</v>
      </c>
      <c r="F190" s="253">
        <v>188</v>
      </c>
      <c r="G190" s="253"/>
      <c r="H190" s="253"/>
      <c r="I190" s="253"/>
      <c r="J190" s="253"/>
      <c r="K190" s="253">
        <v>15</v>
      </c>
      <c r="L190" s="253">
        <f t="shared" si="2"/>
        <v>203</v>
      </c>
      <c r="M190" s="253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</row>
    <row r="191" spans="1:23" ht="13.9">
      <c r="A191" s="250">
        <v>205</v>
      </c>
      <c r="B191" s="253" t="s">
        <v>3548</v>
      </c>
      <c r="C191" s="254">
        <v>45988</v>
      </c>
      <c r="D191" s="253" t="s">
        <v>3337</v>
      </c>
      <c r="E191" s="253" t="s">
        <v>3338</v>
      </c>
      <c r="F191" s="253">
        <v>210.5</v>
      </c>
      <c r="G191" s="253"/>
      <c r="H191" s="253"/>
      <c r="I191" s="253"/>
      <c r="J191" s="253"/>
      <c r="K191" s="253">
        <v>15</v>
      </c>
      <c r="L191" s="253">
        <f t="shared" si="2"/>
        <v>225.5</v>
      </c>
      <c r="M191" s="253"/>
      <c r="N191" s="249"/>
      <c r="O191" s="249"/>
      <c r="P191" s="249"/>
      <c r="Q191" s="249"/>
      <c r="R191" s="249"/>
      <c r="S191" s="249"/>
      <c r="T191" s="249"/>
      <c r="U191" s="249"/>
      <c r="V191" s="249"/>
      <c r="W191" s="249"/>
    </row>
    <row r="192" spans="1:23" ht="13.9">
      <c r="A192" s="250">
        <v>206</v>
      </c>
      <c r="B192" s="253" t="s">
        <v>3549</v>
      </c>
      <c r="C192" s="254">
        <v>45988</v>
      </c>
      <c r="D192" s="253" t="s">
        <v>3358</v>
      </c>
      <c r="E192" s="253" t="s">
        <v>3359</v>
      </c>
      <c r="F192" s="253"/>
      <c r="G192" s="253"/>
      <c r="H192" s="253">
        <v>15</v>
      </c>
      <c r="I192" s="253"/>
      <c r="J192" s="253"/>
      <c r="K192" s="253"/>
      <c r="L192" s="253">
        <f t="shared" si="2"/>
        <v>15</v>
      </c>
      <c r="M192" s="253" t="s">
        <v>3399</v>
      </c>
      <c r="N192" s="249"/>
      <c r="O192" s="249"/>
      <c r="P192" s="249"/>
      <c r="Q192" s="249"/>
      <c r="R192" s="249"/>
      <c r="S192" s="249"/>
      <c r="T192" s="249"/>
      <c r="U192" s="249"/>
      <c r="V192" s="249"/>
      <c r="W192" s="249"/>
    </row>
    <row r="193" spans="1:23" ht="13.9">
      <c r="A193" s="250">
        <v>207</v>
      </c>
      <c r="B193" s="253" t="s">
        <v>3550</v>
      </c>
      <c r="C193" s="254">
        <v>45988</v>
      </c>
      <c r="D193" s="253" t="s">
        <v>3337</v>
      </c>
      <c r="E193" s="253" t="s">
        <v>3396</v>
      </c>
      <c r="F193" s="253">
        <v>612</v>
      </c>
      <c r="G193" s="253"/>
      <c r="H193" s="253"/>
      <c r="I193" s="253"/>
      <c r="J193" s="253"/>
      <c r="K193" s="253">
        <v>15</v>
      </c>
      <c r="L193" s="253">
        <f t="shared" si="2"/>
        <v>627</v>
      </c>
      <c r="M193" s="253"/>
      <c r="N193" s="249"/>
      <c r="O193" s="249"/>
      <c r="P193" s="249"/>
      <c r="Q193" s="249"/>
      <c r="R193" s="249"/>
      <c r="S193" s="249"/>
      <c r="T193" s="249"/>
      <c r="U193" s="249"/>
      <c r="V193" s="249"/>
      <c r="W193" s="249"/>
    </row>
    <row r="194" spans="1:23" ht="13.9">
      <c r="A194" s="250">
        <v>208</v>
      </c>
      <c r="B194" s="253" t="s">
        <v>3551</v>
      </c>
      <c r="C194" s="254">
        <v>45987</v>
      </c>
      <c r="D194" s="253" t="s">
        <v>3365</v>
      </c>
      <c r="E194" s="253" t="s">
        <v>3552</v>
      </c>
      <c r="F194" s="253">
        <v>178.5</v>
      </c>
      <c r="G194" s="253"/>
      <c r="H194" s="253"/>
      <c r="I194" s="253"/>
      <c r="J194" s="253"/>
      <c r="K194" s="253">
        <v>15</v>
      </c>
      <c r="L194" s="253">
        <f t="shared" si="2"/>
        <v>193.5</v>
      </c>
      <c r="M194" s="253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</row>
    <row r="195" spans="1:23" ht="13.9">
      <c r="A195" s="250">
        <v>209</v>
      </c>
      <c r="B195" s="253" t="s">
        <v>3551</v>
      </c>
      <c r="C195" s="254">
        <v>45988</v>
      </c>
      <c r="D195" s="253" t="s">
        <v>3443</v>
      </c>
      <c r="E195" s="253" t="s">
        <v>3553</v>
      </c>
      <c r="F195" s="253">
        <v>178.5</v>
      </c>
      <c r="G195" s="253"/>
      <c r="H195" s="253"/>
      <c r="I195" s="253"/>
      <c r="J195" s="253"/>
      <c r="K195" s="253">
        <v>15</v>
      </c>
      <c r="L195" s="253">
        <f t="shared" si="2"/>
        <v>193.5</v>
      </c>
      <c r="M195" s="253"/>
      <c r="N195" s="249"/>
      <c r="O195" s="249"/>
      <c r="P195" s="249"/>
      <c r="Q195" s="249"/>
      <c r="R195" s="249"/>
      <c r="S195" s="249"/>
      <c r="T195" s="249"/>
      <c r="U195" s="249"/>
      <c r="V195" s="249"/>
      <c r="W195" s="249"/>
    </row>
    <row r="196" spans="1:23" ht="13.9">
      <c r="A196" s="250">
        <v>210</v>
      </c>
      <c r="B196" s="253" t="s">
        <v>3554</v>
      </c>
      <c r="C196" s="254">
        <v>45986</v>
      </c>
      <c r="D196" s="253" t="s">
        <v>3432</v>
      </c>
      <c r="E196" s="253" t="s">
        <v>3403</v>
      </c>
      <c r="F196" s="253"/>
      <c r="G196" s="253"/>
      <c r="H196" s="253">
        <v>15</v>
      </c>
      <c r="I196" s="253">
        <v>210.5</v>
      </c>
      <c r="J196" s="253">
        <v>15</v>
      </c>
      <c r="K196" s="253">
        <v>15</v>
      </c>
      <c r="L196" s="253">
        <f t="shared" ref="L196:L259" si="3">SUM(F196:K196)</f>
        <v>255.5</v>
      </c>
      <c r="M196" s="253" t="s">
        <v>3479</v>
      </c>
      <c r="N196" s="249"/>
      <c r="O196" s="249"/>
      <c r="P196" s="249"/>
      <c r="Q196" s="249"/>
      <c r="R196" s="249"/>
      <c r="S196" s="249"/>
      <c r="T196" s="249"/>
      <c r="U196" s="249"/>
      <c r="V196" s="249"/>
      <c r="W196" s="249"/>
    </row>
    <row r="197" spans="1:23" ht="13.9">
      <c r="A197" s="250">
        <v>212</v>
      </c>
      <c r="B197" s="253" t="s">
        <v>3554</v>
      </c>
      <c r="C197" s="254">
        <v>45988</v>
      </c>
      <c r="D197" s="253" t="s">
        <v>3358</v>
      </c>
      <c r="E197" s="253" t="s">
        <v>3359</v>
      </c>
      <c r="F197" s="253">
        <v>198</v>
      </c>
      <c r="G197" s="253"/>
      <c r="H197" s="253"/>
      <c r="I197" s="253"/>
      <c r="J197" s="253"/>
      <c r="K197" s="253">
        <v>15</v>
      </c>
      <c r="L197" s="253">
        <f t="shared" si="3"/>
        <v>213</v>
      </c>
      <c r="M197" s="253"/>
      <c r="N197" s="249"/>
      <c r="O197" s="249"/>
      <c r="P197" s="249"/>
      <c r="Q197" s="249"/>
      <c r="R197" s="249"/>
      <c r="S197" s="249"/>
      <c r="T197" s="249"/>
      <c r="U197" s="249"/>
      <c r="V197" s="249"/>
      <c r="W197" s="249"/>
    </row>
    <row r="198" spans="1:23" ht="13.9">
      <c r="A198" s="250">
        <v>213</v>
      </c>
      <c r="B198" s="253" t="s">
        <v>3555</v>
      </c>
      <c r="C198" s="254">
        <v>45986</v>
      </c>
      <c r="D198" s="253" t="s">
        <v>3361</v>
      </c>
      <c r="E198" s="253" t="s">
        <v>3459</v>
      </c>
      <c r="F198" s="253">
        <v>651</v>
      </c>
      <c r="G198" s="253"/>
      <c r="H198" s="253"/>
      <c r="I198" s="253"/>
      <c r="J198" s="253"/>
      <c r="K198" s="253">
        <v>15</v>
      </c>
      <c r="L198" s="253">
        <f t="shared" si="3"/>
        <v>666</v>
      </c>
      <c r="M198" s="253"/>
      <c r="N198" s="249"/>
      <c r="O198" s="249"/>
      <c r="P198" s="249"/>
      <c r="Q198" s="249"/>
      <c r="R198" s="249"/>
      <c r="S198" s="249"/>
      <c r="T198" s="249"/>
      <c r="U198" s="249"/>
      <c r="V198" s="249"/>
      <c r="W198" s="249"/>
    </row>
    <row r="199" spans="1:23" ht="13.9">
      <c r="A199" s="250">
        <v>214</v>
      </c>
      <c r="B199" s="253" t="s">
        <v>3555</v>
      </c>
      <c r="C199" s="254">
        <v>45988</v>
      </c>
      <c r="D199" s="253" t="s">
        <v>3337</v>
      </c>
      <c r="E199" s="253" t="s">
        <v>3451</v>
      </c>
      <c r="F199" s="253">
        <v>612</v>
      </c>
      <c r="G199" s="253"/>
      <c r="H199" s="253"/>
      <c r="I199" s="253"/>
      <c r="J199" s="253"/>
      <c r="K199" s="253">
        <v>15</v>
      </c>
      <c r="L199" s="253">
        <f t="shared" si="3"/>
        <v>627</v>
      </c>
      <c r="M199" s="253"/>
      <c r="N199" s="249"/>
      <c r="O199" s="249"/>
      <c r="P199" s="249"/>
      <c r="Q199" s="249"/>
      <c r="R199" s="249"/>
      <c r="S199" s="249"/>
      <c r="T199" s="249"/>
      <c r="U199" s="249"/>
      <c r="V199" s="249"/>
      <c r="W199" s="249"/>
    </row>
    <row r="200" spans="1:23" ht="13.9">
      <c r="A200" s="250">
        <v>215</v>
      </c>
      <c r="B200" s="253" t="s">
        <v>3556</v>
      </c>
      <c r="C200" s="254">
        <v>45986</v>
      </c>
      <c r="D200" s="253" t="s">
        <v>3361</v>
      </c>
      <c r="E200" s="253" t="s">
        <v>3430</v>
      </c>
      <c r="F200" s="253">
        <v>651</v>
      </c>
      <c r="G200" s="253"/>
      <c r="H200" s="253"/>
      <c r="I200" s="253"/>
      <c r="J200" s="253"/>
      <c r="K200" s="253">
        <v>15</v>
      </c>
      <c r="L200" s="253">
        <f t="shared" si="3"/>
        <v>666</v>
      </c>
      <c r="M200" s="253"/>
      <c r="N200" s="249"/>
      <c r="O200" s="249"/>
      <c r="P200" s="249"/>
      <c r="Q200" s="249"/>
      <c r="R200" s="249"/>
      <c r="S200" s="249"/>
      <c r="T200" s="249"/>
      <c r="U200" s="249"/>
      <c r="V200" s="249"/>
      <c r="W200" s="249"/>
    </row>
    <row r="201" spans="1:23" ht="13.9">
      <c r="A201" s="250">
        <v>216</v>
      </c>
      <c r="B201" s="253" t="s">
        <v>3557</v>
      </c>
      <c r="C201" s="254">
        <v>45986</v>
      </c>
      <c r="D201" s="253" t="s">
        <v>3356</v>
      </c>
      <c r="E201" s="253" t="s">
        <v>3428</v>
      </c>
      <c r="F201" s="253"/>
      <c r="G201" s="253"/>
      <c r="H201" s="253">
        <v>15</v>
      </c>
      <c r="I201" s="253"/>
      <c r="J201" s="253"/>
      <c r="K201" s="253"/>
      <c r="L201" s="253">
        <f t="shared" si="3"/>
        <v>15</v>
      </c>
      <c r="M201" s="253" t="s">
        <v>3399</v>
      </c>
      <c r="N201" s="249"/>
      <c r="O201" s="249"/>
      <c r="P201" s="249"/>
      <c r="Q201" s="249"/>
      <c r="R201" s="249"/>
      <c r="S201" s="249"/>
      <c r="T201" s="249"/>
      <c r="U201" s="249"/>
      <c r="V201" s="249"/>
      <c r="W201" s="249"/>
    </row>
    <row r="202" spans="1:23" ht="13.9">
      <c r="A202" s="250">
        <v>217</v>
      </c>
      <c r="B202" s="253" t="s">
        <v>3557</v>
      </c>
      <c r="C202" s="254">
        <v>45988</v>
      </c>
      <c r="D202" s="253" t="s">
        <v>3337</v>
      </c>
      <c r="E202" s="253" t="s">
        <v>3396</v>
      </c>
      <c r="F202" s="253"/>
      <c r="G202" s="253">
        <v>9</v>
      </c>
      <c r="H202" s="253">
        <v>15</v>
      </c>
      <c r="I202" s="253"/>
      <c r="J202" s="253"/>
      <c r="K202" s="253"/>
      <c r="L202" s="253">
        <f t="shared" si="3"/>
        <v>24</v>
      </c>
      <c r="M202" s="253" t="s">
        <v>3399</v>
      </c>
      <c r="N202" s="249"/>
      <c r="O202" s="249"/>
      <c r="P202" s="249"/>
      <c r="Q202" s="249"/>
      <c r="R202" s="249"/>
      <c r="S202" s="249"/>
      <c r="T202" s="249"/>
      <c r="U202" s="249"/>
      <c r="V202" s="249"/>
      <c r="W202" s="249"/>
    </row>
    <row r="203" spans="1:23" ht="13.9">
      <c r="A203" s="250">
        <v>218</v>
      </c>
      <c r="B203" s="253" t="s">
        <v>3558</v>
      </c>
      <c r="C203" s="254">
        <v>45988</v>
      </c>
      <c r="D203" s="253" t="s">
        <v>3559</v>
      </c>
      <c r="E203" s="253" t="s">
        <v>3425</v>
      </c>
      <c r="F203" s="253">
        <v>393.5</v>
      </c>
      <c r="G203" s="253"/>
      <c r="H203" s="253"/>
      <c r="I203" s="253"/>
      <c r="J203" s="253"/>
      <c r="K203" s="253">
        <v>15</v>
      </c>
      <c r="L203" s="253">
        <f t="shared" si="3"/>
        <v>408.5</v>
      </c>
      <c r="M203" s="253"/>
      <c r="N203" s="249"/>
      <c r="O203" s="249"/>
      <c r="P203" s="249"/>
      <c r="Q203" s="249"/>
      <c r="R203" s="249"/>
      <c r="S203" s="249"/>
      <c r="T203" s="249"/>
      <c r="U203" s="249"/>
      <c r="V203" s="249"/>
      <c r="W203" s="249"/>
    </row>
    <row r="204" spans="1:23" ht="13.9">
      <c r="A204" s="250">
        <v>219</v>
      </c>
      <c r="B204" s="253" t="s">
        <v>3560</v>
      </c>
      <c r="C204" s="254">
        <v>45986</v>
      </c>
      <c r="D204" s="253" t="s">
        <v>3405</v>
      </c>
      <c r="E204" s="253" t="s">
        <v>3406</v>
      </c>
      <c r="F204" s="253">
        <v>266</v>
      </c>
      <c r="G204" s="253"/>
      <c r="H204" s="253"/>
      <c r="I204" s="253"/>
      <c r="J204" s="253"/>
      <c r="K204" s="253">
        <v>15</v>
      </c>
      <c r="L204" s="253">
        <f t="shared" si="3"/>
        <v>281</v>
      </c>
      <c r="M204" s="253"/>
      <c r="N204" s="249"/>
      <c r="O204" s="249"/>
      <c r="P204" s="249"/>
      <c r="Q204" s="249"/>
      <c r="R204" s="249"/>
      <c r="S204" s="249"/>
      <c r="T204" s="249"/>
      <c r="U204" s="249"/>
      <c r="V204" s="249"/>
      <c r="W204" s="249"/>
    </row>
    <row r="205" spans="1:23" ht="13.9">
      <c r="A205" s="250">
        <v>220</v>
      </c>
      <c r="B205" s="253" t="s">
        <v>3560</v>
      </c>
      <c r="C205" s="254">
        <v>45988</v>
      </c>
      <c r="D205" s="253" t="s">
        <v>3337</v>
      </c>
      <c r="E205" s="253" t="s">
        <v>3338</v>
      </c>
      <c r="F205" s="253">
        <v>210.5</v>
      </c>
      <c r="G205" s="253"/>
      <c r="H205" s="253"/>
      <c r="I205" s="253"/>
      <c r="J205" s="253"/>
      <c r="K205" s="253">
        <v>15</v>
      </c>
      <c r="L205" s="253">
        <f t="shared" si="3"/>
        <v>225.5</v>
      </c>
      <c r="M205" s="253"/>
      <c r="N205" s="249"/>
      <c r="O205" s="249"/>
      <c r="P205" s="249"/>
      <c r="Q205" s="249"/>
      <c r="R205" s="249"/>
      <c r="S205" s="249"/>
      <c r="T205" s="249"/>
      <c r="U205" s="249"/>
      <c r="V205" s="249"/>
      <c r="W205" s="249"/>
    </row>
    <row r="206" spans="1:23" ht="13.9">
      <c r="A206" s="250">
        <v>221</v>
      </c>
      <c r="B206" s="253" t="s">
        <v>3561</v>
      </c>
      <c r="C206" s="254">
        <v>45986</v>
      </c>
      <c r="D206" s="253" t="s">
        <v>3361</v>
      </c>
      <c r="E206" s="253" t="s">
        <v>3403</v>
      </c>
      <c r="F206" s="253">
        <v>210.5</v>
      </c>
      <c r="G206" s="253"/>
      <c r="H206" s="253"/>
      <c r="I206" s="253"/>
      <c r="J206" s="253"/>
      <c r="K206" s="253">
        <v>15</v>
      </c>
      <c r="L206" s="253">
        <f t="shared" si="3"/>
        <v>225.5</v>
      </c>
      <c r="M206" s="253"/>
      <c r="N206" s="249"/>
      <c r="O206" s="249"/>
      <c r="P206" s="249"/>
      <c r="Q206" s="249"/>
      <c r="R206" s="249"/>
      <c r="S206" s="249"/>
      <c r="T206" s="249"/>
      <c r="U206" s="249"/>
      <c r="V206" s="249"/>
      <c r="W206" s="249"/>
    </row>
    <row r="207" spans="1:23" ht="13.9">
      <c r="A207" s="250">
        <v>222</v>
      </c>
      <c r="B207" s="253" t="s">
        <v>3561</v>
      </c>
      <c r="C207" s="254">
        <v>45991</v>
      </c>
      <c r="D207" s="253" t="s">
        <v>3562</v>
      </c>
      <c r="E207" s="253" t="s">
        <v>3563</v>
      </c>
      <c r="F207" s="253">
        <v>170</v>
      </c>
      <c r="G207" s="253"/>
      <c r="H207" s="253"/>
      <c r="I207" s="253"/>
      <c r="J207" s="253"/>
      <c r="K207" s="253">
        <v>15</v>
      </c>
      <c r="L207" s="253">
        <f t="shared" si="3"/>
        <v>185</v>
      </c>
      <c r="M207" s="253"/>
      <c r="N207" s="249"/>
      <c r="O207" s="249"/>
      <c r="P207" s="249"/>
      <c r="Q207" s="249"/>
      <c r="R207" s="249"/>
      <c r="S207" s="249"/>
      <c r="T207" s="249"/>
      <c r="U207" s="249"/>
      <c r="V207" s="249"/>
      <c r="W207" s="249"/>
    </row>
    <row r="208" spans="1:23" ht="13.9">
      <c r="A208" s="250">
        <v>223</v>
      </c>
      <c r="B208" s="253" t="s">
        <v>3564</v>
      </c>
      <c r="C208" s="254">
        <v>45985</v>
      </c>
      <c r="D208" s="253" t="s">
        <v>3565</v>
      </c>
      <c r="E208" s="253" t="s">
        <v>3566</v>
      </c>
      <c r="F208" s="253">
        <v>203</v>
      </c>
      <c r="G208" s="253"/>
      <c r="H208" s="253"/>
      <c r="I208" s="253"/>
      <c r="J208" s="253"/>
      <c r="K208" s="253">
        <v>15</v>
      </c>
      <c r="L208" s="253">
        <f t="shared" si="3"/>
        <v>218</v>
      </c>
      <c r="M208" s="253"/>
      <c r="N208" s="249"/>
      <c r="O208" s="249"/>
      <c r="P208" s="249"/>
      <c r="Q208" s="249"/>
      <c r="R208" s="249"/>
      <c r="S208" s="249"/>
      <c r="T208" s="249"/>
      <c r="U208" s="249"/>
      <c r="V208" s="249"/>
      <c r="W208" s="249"/>
    </row>
    <row r="209" spans="1:23" ht="13.9">
      <c r="A209" s="250">
        <v>224</v>
      </c>
      <c r="B209" s="253" t="s">
        <v>3564</v>
      </c>
      <c r="C209" s="254">
        <v>45989</v>
      </c>
      <c r="D209" s="253" t="s">
        <v>3567</v>
      </c>
      <c r="E209" s="253" t="s">
        <v>3568</v>
      </c>
      <c r="F209" s="253">
        <v>210.5</v>
      </c>
      <c r="G209" s="253"/>
      <c r="H209" s="253"/>
      <c r="I209" s="253"/>
      <c r="J209" s="253"/>
      <c r="K209" s="253">
        <v>15</v>
      </c>
      <c r="L209" s="253">
        <f t="shared" si="3"/>
        <v>225.5</v>
      </c>
      <c r="M209" s="253"/>
      <c r="N209" s="249"/>
      <c r="O209" s="249"/>
      <c r="P209" s="249"/>
      <c r="Q209" s="249"/>
      <c r="R209" s="249"/>
      <c r="S209" s="249"/>
      <c r="T209" s="249"/>
      <c r="U209" s="249"/>
      <c r="V209" s="249"/>
      <c r="W209" s="249"/>
    </row>
    <row r="210" spans="1:23" ht="13.9">
      <c r="A210" s="250">
        <v>225</v>
      </c>
      <c r="B210" s="253" t="s">
        <v>3569</v>
      </c>
      <c r="C210" s="254">
        <v>45988</v>
      </c>
      <c r="D210" s="253" t="s">
        <v>3559</v>
      </c>
      <c r="E210" s="253" t="s">
        <v>3425</v>
      </c>
      <c r="F210" s="253">
        <v>630</v>
      </c>
      <c r="G210" s="253"/>
      <c r="H210" s="253"/>
      <c r="I210" s="253"/>
      <c r="J210" s="253"/>
      <c r="K210" s="253">
        <v>15</v>
      </c>
      <c r="L210" s="253">
        <f t="shared" si="3"/>
        <v>645</v>
      </c>
      <c r="M210" s="253"/>
      <c r="N210" s="249"/>
      <c r="O210" s="249"/>
      <c r="P210" s="249"/>
      <c r="Q210" s="249"/>
      <c r="R210" s="249"/>
      <c r="S210" s="249"/>
      <c r="T210" s="249"/>
      <c r="U210" s="249"/>
      <c r="V210" s="249"/>
      <c r="W210" s="249"/>
    </row>
    <row r="211" spans="1:23" ht="13.9">
      <c r="A211" s="250">
        <v>226</v>
      </c>
      <c r="B211" s="253" t="s">
        <v>3570</v>
      </c>
      <c r="C211" s="254">
        <v>45986</v>
      </c>
      <c r="D211" s="253" t="s">
        <v>3381</v>
      </c>
      <c r="E211" s="253" t="s">
        <v>3382</v>
      </c>
      <c r="F211" s="253">
        <v>462</v>
      </c>
      <c r="G211" s="253"/>
      <c r="H211" s="253"/>
      <c r="I211" s="253"/>
      <c r="J211" s="253"/>
      <c r="K211" s="253">
        <v>15</v>
      </c>
      <c r="L211" s="253">
        <f t="shared" si="3"/>
        <v>477</v>
      </c>
      <c r="M211" s="253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</row>
    <row r="212" spans="1:23" ht="13.9">
      <c r="A212" s="250">
        <v>227</v>
      </c>
      <c r="B212" s="253" t="s">
        <v>3570</v>
      </c>
      <c r="C212" s="254">
        <v>45988</v>
      </c>
      <c r="D212" s="253" t="s">
        <v>3383</v>
      </c>
      <c r="E212" s="253" t="s">
        <v>3384</v>
      </c>
      <c r="F212" s="253">
        <v>461.5</v>
      </c>
      <c r="G212" s="253"/>
      <c r="H212" s="253"/>
      <c r="I212" s="253"/>
      <c r="J212" s="253"/>
      <c r="K212" s="253">
        <v>15</v>
      </c>
      <c r="L212" s="253">
        <f t="shared" si="3"/>
        <v>476.5</v>
      </c>
      <c r="M212" s="253"/>
      <c r="N212" s="249"/>
      <c r="O212" s="249"/>
      <c r="P212" s="249"/>
      <c r="Q212" s="249"/>
      <c r="R212" s="249"/>
      <c r="S212" s="249"/>
      <c r="T212" s="249"/>
      <c r="U212" s="249"/>
      <c r="V212" s="249"/>
      <c r="W212" s="249"/>
    </row>
    <row r="213" spans="1:23" ht="13.9">
      <c r="A213" s="250">
        <v>228</v>
      </c>
      <c r="B213" s="253" t="s">
        <v>3571</v>
      </c>
      <c r="C213" s="254">
        <v>45986</v>
      </c>
      <c r="D213" s="253" t="s">
        <v>3572</v>
      </c>
      <c r="E213" s="253" t="s">
        <v>3573</v>
      </c>
      <c r="F213" s="253"/>
      <c r="G213" s="253"/>
      <c r="H213" s="253">
        <v>15</v>
      </c>
      <c r="I213" s="253"/>
      <c r="J213" s="253"/>
      <c r="K213" s="253"/>
      <c r="L213" s="253">
        <f t="shared" si="3"/>
        <v>15</v>
      </c>
      <c r="M213" s="253" t="s">
        <v>3399</v>
      </c>
      <c r="N213" s="249"/>
      <c r="O213" s="249"/>
      <c r="P213" s="249"/>
      <c r="Q213" s="249"/>
      <c r="R213" s="249"/>
      <c r="S213" s="249"/>
      <c r="T213" s="249"/>
      <c r="U213" s="249"/>
      <c r="V213" s="249"/>
      <c r="W213" s="249"/>
    </row>
    <row r="214" spans="1:23" ht="13.9">
      <c r="A214" s="250">
        <v>229</v>
      </c>
      <c r="B214" s="253" t="s">
        <v>3571</v>
      </c>
      <c r="C214" s="254">
        <v>45988</v>
      </c>
      <c r="D214" s="253" t="s">
        <v>3350</v>
      </c>
      <c r="E214" s="253" t="s">
        <v>3386</v>
      </c>
      <c r="F214" s="253">
        <v>216.5</v>
      </c>
      <c r="G214" s="253"/>
      <c r="H214" s="253"/>
      <c r="I214" s="253"/>
      <c r="J214" s="253"/>
      <c r="K214" s="253">
        <v>15</v>
      </c>
      <c r="L214" s="253">
        <f t="shared" si="3"/>
        <v>231.5</v>
      </c>
      <c r="M214" s="253"/>
      <c r="N214" s="249"/>
      <c r="O214" s="249"/>
      <c r="P214" s="249"/>
      <c r="Q214" s="249"/>
      <c r="R214" s="249"/>
      <c r="S214" s="249"/>
      <c r="T214" s="249"/>
      <c r="U214" s="249"/>
      <c r="V214" s="249"/>
      <c r="W214" s="249"/>
    </row>
    <row r="215" spans="1:23" ht="13.9">
      <c r="A215" s="250">
        <v>230</v>
      </c>
      <c r="B215" s="253" t="s">
        <v>3574</v>
      </c>
      <c r="C215" s="254">
        <v>45987</v>
      </c>
      <c r="D215" s="253" t="s">
        <v>3361</v>
      </c>
      <c r="E215" s="253" t="s">
        <v>3373</v>
      </c>
      <c r="F215" s="253">
        <v>651</v>
      </c>
      <c r="G215" s="253"/>
      <c r="H215" s="253"/>
      <c r="I215" s="253"/>
      <c r="J215" s="253"/>
      <c r="K215" s="253">
        <v>15</v>
      </c>
      <c r="L215" s="253">
        <f t="shared" si="3"/>
        <v>666</v>
      </c>
      <c r="M215" s="253"/>
      <c r="N215" s="249"/>
      <c r="O215" s="249"/>
      <c r="P215" s="249"/>
      <c r="Q215" s="249"/>
      <c r="R215" s="249"/>
      <c r="S215" s="249"/>
      <c r="T215" s="249"/>
      <c r="U215" s="249"/>
      <c r="V215" s="249"/>
      <c r="W215" s="249"/>
    </row>
    <row r="216" spans="1:23" ht="13.9">
      <c r="A216" s="250">
        <v>231</v>
      </c>
      <c r="B216" s="253" t="s">
        <v>3575</v>
      </c>
      <c r="C216" s="254">
        <v>45986</v>
      </c>
      <c r="D216" s="253" t="s">
        <v>3356</v>
      </c>
      <c r="E216" s="253" t="s">
        <v>3428</v>
      </c>
      <c r="F216" s="253">
        <v>198</v>
      </c>
      <c r="G216" s="253"/>
      <c r="H216" s="253"/>
      <c r="I216" s="253"/>
      <c r="J216" s="253"/>
      <c r="K216" s="253">
        <v>15</v>
      </c>
      <c r="L216" s="253">
        <f t="shared" si="3"/>
        <v>213</v>
      </c>
      <c r="M216" s="253"/>
      <c r="N216" s="249"/>
      <c r="O216" s="249"/>
      <c r="P216" s="249"/>
      <c r="Q216" s="249"/>
      <c r="R216" s="249"/>
      <c r="S216" s="249"/>
      <c r="T216" s="249"/>
      <c r="U216" s="249"/>
      <c r="V216" s="249"/>
      <c r="W216" s="249"/>
    </row>
    <row r="217" spans="1:23" ht="13.9">
      <c r="A217" s="250">
        <v>232</v>
      </c>
      <c r="B217" s="253" t="s">
        <v>3576</v>
      </c>
      <c r="C217" s="254">
        <v>45986</v>
      </c>
      <c r="D217" s="253" t="s">
        <v>3361</v>
      </c>
      <c r="E217" s="253" t="s">
        <v>3403</v>
      </c>
      <c r="F217" s="253">
        <v>210.5</v>
      </c>
      <c r="G217" s="253"/>
      <c r="H217" s="253"/>
      <c r="I217" s="253"/>
      <c r="J217" s="253"/>
      <c r="K217" s="253">
        <v>15</v>
      </c>
      <c r="L217" s="253">
        <f t="shared" si="3"/>
        <v>225.5</v>
      </c>
      <c r="M217" s="253"/>
      <c r="N217" s="249"/>
      <c r="O217" s="249"/>
      <c r="P217" s="249"/>
      <c r="Q217" s="249"/>
      <c r="R217" s="249"/>
      <c r="S217" s="249"/>
      <c r="T217" s="249"/>
      <c r="U217" s="249"/>
      <c r="V217" s="249"/>
      <c r="W217" s="249"/>
    </row>
    <row r="218" spans="1:23" ht="13.9">
      <c r="A218" s="250">
        <v>233</v>
      </c>
      <c r="B218" s="253" t="s">
        <v>3577</v>
      </c>
      <c r="C218" s="254">
        <v>45987</v>
      </c>
      <c r="D218" s="253" t="s">
        <v>3361</v>
      </c>
      <c r="E218" s="253" t="s">
        <v>3373</v>
      </c>
      <c r="F218" s="253">
        <v>210.5</v>
      </c>
      <c r="G218" s="253"/>
      <c r="H218" s="253"/>
      <c r="I218" s="253"/>
      <c r="J218" s="253"/>
      <c r="K218" s="253">
        <v>15</v>
      </c>
      <c r="L218" s="253">
        <f t="shared" si="3"/>
        <v>225.5</v>
      </c>
      <c r="M218" s="253"/>
      <c r="N218" s="249"/>
      <c r="O218" s="249"/>
      <c r="P218" s="249"/>
      <c r="Q218" s="249"/>
      <c r="R218" s="249"/>
      <c r="S218" s="249"/>
      <c r="T218" s="249"/>
      <c r="U218" s="249"/>
      <c r="V218" s="249"/>
      <c r="W218" s="249"/>
    </row>
    <row r="219" spans="1:23" ht="13.9">
      <c r="A219" s="250">
        <v>234</v>
      </c>
      <c r="B219" s="253" t="s">
        <v>3577</v>
      </c>
      <c r="C219" s="254">
        <v>45988</v>
      </c>
      <c r="D219" s="253" t="s">
        <v>3337</v>
      </c>
      <c r="E219" s="253" t="s">
        <v>3338</v>
      </c>
      <c r="F219" s="253">
        <v>210.5</v>
      </c>
      <c r="G219" s="253"/>
      <c r="H219" s="253"/>
      <c r="I219" s="253"/>
      <c r="J219" s="253"/>
      <c r="K219" s="253">
        <v>15</v>
      </c>
      <c r="L219" s="253">
        <f t="shared" si="3"/>
        <v>225.5</v>
      </c>
      <c r="M219" s="253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</row>
    <row r="220" spans="1:23" ht="13.9">
      <c r="A220" s="250">
        <v>235</v>
      </c>
      <c r="B220" s="253" t="s">
        <v>3578</v>
      </c>
      <c r="C220" s="254">
        <v>45985</v>
      </c>
      <c r="D220" s="253" t="s">
        <v>3579</v>
      </c>
      <c r="E220" s="253" t="s">
        <v>3580</v>
      </c>
      <c r="F220" s="253">
        <v>82</v>
      </c>
      <c r="G220" s="253"/>
      <c r="H220" s="253"/>
      <c r="I220" s="253"/>
      <c r="J220" s="253"/>
      <c r="K220" s="253">
        <v>15</v>
      </c>
      <c r="L220" s="253">
        <f t="shared" si="3"/>
        <v>97</v>
      </c>
      <c r="M220" s="253"/>
      <c r="N220" s="249"/>
      <c r="O220" s="249"/>
      <c r="P220" s="249"/>
      <c r="Q220" s="249"/>
      <c r="R220" s="249"/>
      <c r="S220" s="249"/>
      <c r="T220" s="249"/>
      <c r="U220" s="249"/>
      <c r="V220" s="249"/>
      <c r="W220" s="249"/>
    </row>
    <row r="221" spans="1:23" ht="13.9">
      <c r="A221" s="250">
        <v>236</v>
      </c>
      <c r="B221" s="253" t="s">
        <v>3578</v>
      </c>
      <c r="C221" s="254">
        <v>45988</v>
      </c>
      <c r="D221" s="253" t="s">
        <v>3337</v>
      </c>
      <c r="E221" s="253" t="s">
        <v>3439</v>
      </c>
      <c r="F221" s="253">
        <v>184.5</v>
      </c>
      <c r="G221" s="253"/>
      <c r="H221" s="253"/>
      <c r="I221" s="253"/>
      <c r="J221" s="253"/>
      <c r="K221" s="253">
        <v>15</v>
      </c>
      <c r="L221" s="253">
        <f t="shared" si="3"/>
        <v>199.5</v>
      </c>
      <c r="M221" s="253"/>
      <c r="N221" s="249"/>
      <c r="O221" s="249"/>
      <c r="P221" s="249"/>
      <c r="Q221" s="249"/>
      <c r="R221" s="249"/>
      <c r="S221" s="249"/>
      <c r="T221" s="249"/>
      <c r="U221" s="249"/>
      <c r="V221" s="249"/>
      <c r="W221" s="249"/>
    </row>
    <row r="222" spans="1:23" ht="13.9">
      <c r="A222" s="250">
        <v>237</v>
      </c>
      <c r="B222" s="253" t="s">
        <v>3581</v>
      </c>
      <c r="C222" s="254">
        <v>45986</v>
      </c>
      <c r="D222" s="253" t="s">
        <v>3356</v>
      </c>
      <c r="E222" s="253" t="s">
        <v>3357</v>
      </c>
      <c r="F222" s="253"/>
      <c r="G222" s="253"/>
      <c r="H222" s="253">
        <v>15</v>
      </c>
      <c r="I222" s="253"/>
      <c r="J222" s="253"/>
      <c r="K222" s="253"/>
      <c r="L222" s="253">
        <f t="shared" si="3"/>
        <v>15</v>
      </c>
      <c r="M222" s="253" t="s">
        <v>3399</v>
      </c>
      <c r="N222" s="249"/>
      <c r="O222" s="249"/>
      <c r="P222" s="249"/>
      <c r="Q222" s="249"/>
      <c r="R222" s="249"/>
      <c r="S222" s="249"/>
      <c r="T222" s="249"/>
      <c r="U222" s="249"/>
      <c r="V222" s="249"/>
      <c r="W222" s="249"/>
    </row>
    <row r="223" spans="1:23" ht="13.9">
      <c r="A223" s="250">
        <v>238</v>
      </c>
      <c r="B223" s="253" t="s">
        <v>3581</v>
      </c>
      <c r="C223" s="254">
        <v>45988</v>
      </c>
      <c r="D223" s="253" t="s">
        <v>3400</v>
      </c>
      <c r="E223" s="253" t="s">
        <v>3582</v>
      </c>
      <c r="F223" s="253">
        <v>247</v>
      </c>
      <c r="G223" s="253"/>
      <c r="H223" s="253"/>
      <c r="I223" s="253"/>
      <c r="J223" s="253"/>
      <c r="K223" s="253">
        <v>15</v>
      </c>
      <c r="L223" s="253">
        <f t="shared" si="3"/>
        <v>262</v>
      </c>
      <c r="M223" s="253"/>
      <c r="N223" s="249"/>
      <c r="O223" s="249"/>
      <c r="P223" s="249"/>
      <c r="Q223" s="249"/>
      <c r="R223" s="249"/>
      <c r="S223" s="249"/>
      <c r="T223" s="249"/>
      <c r="U223" s="249"/>
      <c r="V223" s="249"/>
      <c r="W223" s="249"/>
    </row>
    <row r="224" spans="1:23" ht="13.9">
      <c r="A224" s="250">
        <v>239</v>
      </c>
      <c r="B224" s="253" t="s">
        <v>3583</v>
      </c>
      <c r="C224" s="254">
        <v>45986</v>
      </c>
      <c r="D224" s="253" t="s">
        <v>3361</v>
      </c>
      <c r="E224" s="253" t="s">
        <v>3373</v>
      </c>
      <c r="F224" s="253">
        <v>210.5</v>
      </c>
      <c r="G224" s="253"/>
      <c r="H224" s="253"/>
      <c r="I224" s="253"/>
      <c r="J224" s="253"/>
      <c r="K224" s="253">
        <v>15</v>
      </c>
      <c r="L224" s="253">
        <f t="shared" si="3"/>
        <v>225.5</v>
      </c>
      <c r="M224" s="253"/>
      <c r="N224" s="249"/>
      <c r="O224" s="249"/>
      <c r="P224" s="249"/>
      <c r="Q224" s="249"/>
      <c r="R224" s="249"/>
      <c r="S224" s="249"/>
      <c r="T224" s="249"/>
      <c r="U224" s="249"/>
      <c r="V224" s="249"/>
      <c r="W224" s="249"/>
    </row>
    <row r="225" spans="1:23" ht="13.9">
      <c r="A225" s="250">
        <v>240</v>
      </c>
      <c r="B225" s="253" t="s">
        <v>3583</v>
      </c>
      <c r="C225" s="254">
        <v>45988</v>
      </c>
      <c r="D225" s="253" t="s">
        <v>3374</v>
      </c>
      <c r="E225" s="253" t="s">
        <v>3375</v>
      </c>
      <c r="F225" s="253">
        <v>195</v>
      </c>
      <c r="G225" s="253"/>
      <c r="H225" s="253"/>
      <c r="I225" s="253"/>
      <c r="J225" s="253"/>
      <c r="K225" s="253">
        <v>15</v>
      </c>
      <c r="L225" s="253">
        <f t="shared" si="3"/>
        <v>210</v>
      </c>
      <c r="M225" s="253"/>
      <c r="N225" s="249"/>
      <c r="O225" s="249"/>
      <c r="P225" s="249"/>
      <c r="Q225" s="249"/>
      <c r="R225" s="249"/>
      <c r="S225" s="249"/>
      <c r="T225" s="249"/>
      <c r="U225" s="249"/>
      <c r="V225" s="249"/>
      <c r="W225" s="249"/>
    </row>
    <row r="226" spans="1:23" ht="13.9">
      <c r="A226" s="250">
        <v>241</v>
      </c>
      <c r="B226" s="253" t="s">
        <v>3584</v>
      </c>
      <c r="C226" s="254">
        <v>45986</v>
      </c>
      <c r="D226" s="253" t="s">
        <v>3361</v>
      </c>
      <c r="E226" s="253" t="s">
        <v>3585</v>
      </c>
      <c r="F226" s="253">
        <v>197.5</v>
      </c>
      <c r="G226" s="253"/>
      <c r="H226" s="253"/>
      <c r="I226" s="253"/>
      <c r="J226" s="253"/>
      <c r="K226" s="253">
        <v>15</v>
      </c>
      <c r="L226" s="253">
        <f t="shared" si="3"/>
        <v>212.5</v>
      </c>
      <c r="M226" s="253"/>
      <c r="N226" s="249"/>
      <c r="O226" s="249"/>
      <c r="P226" s="249"/>
      <c r="Q226" s="249"/>
      <c r="R226" s="249"/>
      <c r="S226" s="249"/>
      <c r="T226" s="249"/>
      <c r="U226" s="249"/>
      <c r="V226" s="249"/>
      <c r="W226" s="249"/>
    </row>
    <row r="227" spans="1:23" ht="13.9">
      <c r="A227" s="250">
        <v>242</v>
      </c>
      <c r="B227" s="253" t="s">
        <v>3584</v>
      </c>
      <c r="C227" s="254">
        <v>45988</v>
      </c>
      <c r="D227" s="253" t="s">
        <v>3337</v>
      </c>
      <c r="E227" s="253" t="s">
        <v>3386</v>
      </c>
      <c r="F227" s="253"/>
      <c r="G227" s="253"/>
      <c r="H227" s="253">
        <v>15</v>
      </c>
      <c r="I227" s="253">
        <v>216.5</v>
      </c>
      <c r="J227" s="253">
        <v>15</v>
      </c>
      <c r="K227" s="253">
        <v>15</v>
      </c>
      <c r="L227" s="253">
        <f t="shared" si="3"/>
        <v>261.5</v>
      </c>
      <c r="M227" s="253" t="s">
        <v>3479</v>
      </c>
      <c r="N227" s="249"/>
      <c r="O227" s="249"/>
      <c r="P227" s="249"/>
      <c r="Q227" s="249"/>
      <c r="R227" s="249"/>
      <c r="S227" s="249"/>
      <c r="T227" s="249"/>
      <c r="U227" s="249"/>
      <c r="V227" s="249"/>
      <c r="W227" s="249"/>
    </row>
    <row r="228" spans="1:23" ht="13.9">
      <c r="A228" s="250">
        <v>244</v>
      </c>
      <c r="B228" s="253" t="s">
        <v>3586</v>
      </c>
      <c r="C228" s="254">
        <v>45986</v>
      </c>
      <c r="D228" s="253" t="s">
        <v>3348</v>
      </c>
      <c r="E228" s="253" t="s">
        <v>3349</v>
      </c>
      <c r="F228" s="253">
        <v>213.5</v>
      </c>
      <c r="G228" s="253"/>
      <c r="H228" s="253"/>
      <c r="I228" s="253"/>
      <c r="J228" s="253"/>
      <c r="K228" s="253">
        <v>15</v>
      </c>
      <c r="L228" s="253">
        <f t="shared" si="3"/>
        <v>228.5</v>
      </c>
      <c r="M228" s="253"/>
      <c r="N228" s="249"/>
      <c r="O228" s="249"/>
      <c r="P228" s="249"/>
      <c r="Q228" s="249"/>
      <c r="R228" s="249"/>
      <c r="S228" s="249"/>
      <c r="T228" s="249"/>
      <c r="U228" s="249"/>
      <c r="V228" s="249"/>
      <c r="W228" s="249"/>
    </row>
    <row r="229" spans="1:23" ht="13.9">
      <c r="A229" s="250">
        <v>245</v>
      </c>
      <c r="B229" s="253" t="s">
        <v>3586</v>
      </c>
      <c r="C229" s="254">
        <v>45988</v>
      </c>
      <c r="D229" s="253" t="s">
        <v>3350</v>
      </c>
      <c r="E229" s="253" t="s">
        <v>3587</v>
      </c>
      <c r="F229" s="253"/>
      <c r="G229" s="253">
        <v>39</v>
      </c>
      <c r="H229" s="253">
        <v>15</v>
      </c>
      <c r="I229" s="253"/>
      <c r="J229" s="253"/>
      <c r="K229" s="253"/>
      <c r="L229" s="253">
        <f t="shared" si="3"/>
        <v>54</v>
      </c>
      <c r="M229" s="253" t="s">
        <v>3399</v>
      </c>
      <c r="N229" s="249"/>
      <c r="O229" s="249"/>
      <c r="P229" s="249"/>
      <c r="Q229" s="249"/>
      <c r="R229" s="249"/>
      <c r="S229" s="249"/>
      <c r="T229" s="249"/>
      <c r="U229" s="249"/>
      <c r="V229" s="249"/>
      <c r="W229" s="249"/>
    </row>
    <row r="230" spans="1:23" ht="13.9">
      <c r="A230" s="250">
        <v>246</v>
      </c>
      <c r="B230" s="253" t="s">
        <v>3588</v>
      </c>
      <c r="C230" s="254">
        <v>45988</v>
      </c>
      <c r="D230" s="253" t="s">
        <v>3407</v>
      </c>
      <c r="E230" s="253" t="s">
        <v>3408</v>
      </c>
      <c r="F230" s="253">
        <v>200.5</v>
      </c>
      <c r="G230" s="253"/>
      <c r="H230" s="253"/>
      <c r="I230" s="253"/>
      <c r="J230" s="253"/>
      <c r="K230" s="253">
        <v>15</v>
      </c>
      <c r="L230" s="253">
        <f t="shared" si="3"/>
        <v>215.5</v>
      </c>
      <c r="M230" s="253"/>
      <c r="N230" s="249"/>
      <c r="O230" s="249"/>
      <c r="P230" s="249"/>
      <c r="Q230" s="249"/>
      <c r="R230" s="249"/>
      <c r="S230" s="249"/>
      <c r="T230" s="249"/>
      <c r="U230" s="249"/>
      <c r="V230" s="249"/>
      <c r="W230" s="249"/>
    </row>
    <row r="231" spans="1:23" ht="13.9">
      <c r="A231" s="250">
        <v>247</v>
      </c>
      <c r="B231" s="253" t="s">
        <v>3589</v>
      </c>
      <c r="C231" s="254">
        <v>45987</v>
      </c>
      <c r="D231" s="253" t="s">
        <v>3590</v>
      </c>
      <c r="E231" s="253" t="s">
        <v>3591</v>
      </c>
      <c r="F231" s="253">
        <v>136</v>
      </c>
      <c r="G231" s="253"/>
      <c r="H231" s="253"/>
      <c r="I231" s="253"/>
      <c r="J231" s="253"/>
      <c r="K231" s="253">
        <v>15</v>
      </c>
      <c r="L231" s="253">
        <f t="shared" si="3"/>
        <v>151</v>
      </c>
      <c r="M231" s="253"/>
      <c r="N231" s="249"/>
      <c r="O231" s="249"/>
      <c r="P231" s="249"/>
      <c r="Q231" s="249"/>
      <c r="R231" s="249"/>
      <c r="S231" s="249"/>
      <c r="T231" s="249"/>
      <c r="U231" s="249"/>
      <c r="V231" s="249"/>
      <c r="W231" s="249"/>
    </row>
    <row r="232" spans="1:23" ht="13.9">
      <c r="A232" s="250">
        <v>248</v>
      </c>
      <c r="B232" s="253" t="s">
        <v>3589</v>
      </c>
      <c r="C232" s="254">
        <v>45988</v>
      </c>
      <c r="D232" s="253" t="s">
        <v>3337</v>
      </c>
      <c r="E232" s="253" t="s">
        <v>3338</v>
      </c>
      <c r="F232" s="253">
        <v>210.5</v>
      </c>
      <c r="G232" s="253"/>
      <c r="H232" s="253"/>
      <c r="I232" s="253"/>
      <c r="J232" s="253"/>
      <c r="K232" s="253">
        <v>15</v>
      </c>
      <c r="L232" s="253">
        <f t="shared" si="3"/>
        <v>225.5</v>
      </c>
      <c r="M232" s="253"/>
      <c r="N232" s="249"/>
      <c r="O232" s="249"/>
      <c r="P232" s="249"/>
      <c r="Q232" s="249"/>
      <c r="R232" s="249"/>
      <c r="S232" s="249"/>
      <c r="T232" s="249"/>
      <c r="U232" s="249"/>
      <c r="V232" s="249"/>
      <c r="W232" s="249"/>
    </row>
    <row r="233" spans="1:23" ht="13.9">
      <c r="A233" s="250">
        <v>249</v>
      </c>
      <c r="B233" s="253" t="s">
        <v>3592</v>
      </c>
      <c r="C233" s="254">
        <v>45987</v>
      </c>
      <c r="D233" s="253" t="s">
        <v>3361</v>
      </c>
      <c r="E233" s="253" t="s">
        <v>3373</v>
      </c>
      <c r="F233" s="253">
        <v>210.5</v>
      </c>
      <c r="G233" s="253"/>
      <c r="H233" s="253"/>
      <c r="I233" s="253"/>
      <c r="J233" s="253"/>
      <c r="K233" s="253">
        <v>15</v>
      </c>
      <c r="L233" s="253">
        <f t="shared" si="3"/>
        <v>225.5</v>
      </c>
      <c r="M233" s="253"/>
      <c r="N233" s="249"/>
      <c r="O233" s="249"/>
      <c r="P233" s="249"/>
      <c r="Q233" s="249"/>
      <c r="R233" s="249"/>
      <c r="S233" s="249"/>
      <c r="T233" s="249"/>
      <c r="U233" s="249"/>
      <c r="V233" s="249"/>
      <c r="W233" s="249"/>
    </row>
    <row r="234" spans="1:23" ht="13.9">
      <c r="A234" s="250">
        <v>250</v>
      </c>
      <c r="B234" s="253" t="s">
        <v>3593</v>
      </c>
      <c r="C234" s="254">
        <v>45986</v>
      </c>
      <c r="D234" s="253" t="s">
        <v>3365</v>
      </c>
      <c r="E234" s="253" t="s">
        <v>3504</v>
      </c>
      <c r="F234" s="253">
        <v>178.5</v>
      </c>
      <c r="G234" s="253"/>
      <c r="H234" s="253"/>
      <c r="I234" s="253"/>
      <c r="J234" s="253"/>
      <c r="K234" s="253">
        <v>15</v>
      </c>
      <c r="L234" s="253">
        <f t="shared" si="3"/>
        <v>193.5</v>
      </c>
      <c r="M234" s="253"/>
      <c r="N234" s="249"/>
      <c r="O234" s="249"/>
      <c r="P234" s="249"/>
      <c r="Q234" s="249"/>
      <c r="R234" s="249"/>
      <c r="S234" s="249"/>
      <c r="T234" s="249"/>
      <c r="U234" s="249"/>
      <c r="V234" s="249"/>
      <c r="W234" s="249"/>
    </row>
    <row r="235" spans="1:23" ht="13.9">
      <c r="A235" s="250">
        <v>251</v>
      </c>
      <c r="B235" s="253" t="s">
        <v>3593</v>
      </c>
      <c r="C235" s="254">
        <v>45988</v>
      </c>
      <c r="D235" s="253" t="s">
        <v>3594</v>
      </c>
      <c r="E235" s="253" t="s">
        <v>3595</v>
      </c>
      <c r="F235" s="253">
        <v>184.5</v>
      </c>
      <c r="G235" s="253"/>
      <c r="H235" s="253"/>
      <c r="I235" s="253"/>
      <c r="J235" s="253"/>
      <c r="K235" s="253">
        <v>15</v>
      </c>
      <c r="L235" s="253">
        <f t="shared" si="3"/>
        <v>199.5</v>
      </c>
      <c r="M235" s="253"/>
      <c r="N235" s="249"/>
      <c r="O235" s="249"/>
      <c r="P235" s="249"/>
      <c r="Q235" s="249"/>
      <c r="R235" s="249"/>
      <c r="S235" s="249"/>
      <c r="T235" s="249"/>
      <c r="U235" s="249"/>
      <c r="V235" s="249"/>
      <c r="W235" s="249"/>
    </row>
    <row r="236" spans="1:23" ht="13.9">
      <c r="A236" s="250">
        <v>252</v>
      </c>
      <c r="B236" s="253" t="s">
        <v>3596</v>
      </c>
      <c r="C236" s="254">
        <v>45986</v>
      </c>
      <c r="D236" s="253" t="s">
        <v>3356</v>
      </c>
      <c r="E236" s="253" t="s">
        <v>3428</v>
      </c>
      <c r="F236" s="253">
        <v>198</v>
      </c>
      <c r="G236" s="253"/>
      <c r="H236" s="253"/>
      <c r="I236" s="253"/>
      <c r="J236" s="253"/>
      <c r="K236" s="253">
        <v>15</v>
      </c>
      <c r="L236" s="253">
        <f t="shared" si="3"/>
        <v>213</v>
      </c>
      <c r="M236" s="253"/>
      <c r="N236" s="249"/>
      <c r="O236" s="249"/>
      <c r="P236" s="249"/>
      <c r="Q236" s="249"/>
      <c r="R236" s="249"/>
      <c r="S236" s="249"/>
      <c r="T236" s="249"/>
      <c r="U236" s="249"/>
      <c r="V236" s="249"/>
      <c r="W236" s="249"/>
    </row>
    <row r="237" spans="1:23" ht="13.9">
      <c r="A237" s="250">
        <v>253</v>
      </c>
      <c r="B237" s="253" t="s">
        <v>3596</v>
      </c>
      <c r="C237" s="254">
        <v>45988</v>
      </c>
      <c r="D237" s="253" t="s">
        <v>3597</v>
      </c>
      <c r="E237" s="253" t="s">
        <v>3598</v>
      </c>
      <c r="F237" s="253"/>
      <c r="G237" s="253">
        <v>13.5</v>
      </c>
      <c r="H237" s="253">
        <v>15</v>
      </c>
      <c r="I237" s="253"/>
      <c r="J237" s="253"/>
      <c r="K237" s="253"/>
      <c r="L237" s="253">
        <f t="shared" si="3"/>
        <v>28.5</v>
      </c>
      <c r="M237" s="253" t="s">
        <v>3399</v>
      </c>
      <c r="N237" s="249"/>
      <c r="O237" s="249"/>
      <c r="P237" s="249"/>
      <c r="Q237" s="249"/>
      <c r="R237" s="249"/>
      <c r="S237" s="249"/>
      <c r="T237" s="249"/>
      <c r="U237" s="249"/>
      <c r="V237" s="249"/>
      <c r="W237" s="249"/>
    </row>
    <row r="238" spans="1:23" ht="13.9">
      <c r="A238" s="250">
        <v>254</v>
      </c>
      <c r="B238" s="253" t="s">
        <v>3599</v>
      </c>
      <c r="C238" s="254">
        <v>45986</v>
      </c>
      <c r="D238" s="253" t="s">
        <v>3600</v>
      </c>
      <c r="E238" s="253" t="s">
        <v>3601</v>
      </c>
      <c r="F238" s="253">
        <v>74</v>
      </c>
      <c r="G238" s="253"/>
      <c r="H238" s="253"/>
      <c r="I238" s="253"/>
      <c r="J238" s="253"/>
      <c r="K238" s="253">
        <v>15</v>
      </c>
      <c r="L238" s="253">
        <f t="shared" si="3"/>
        <v>89</v>
      </c>
      <c r="M238" s="253"/>
      <c r="N238" s="249"/>
      <c r="O238" s="249"/>
      <c r="P238" s="249"/>
      <c r="Q238" s="249"/>
      <c r="R238" s="249"/>
      <c r="S238" s="249"/>
      <c r="T238" s="249"/>
      <c r="U238" s="249"/>
      <c r="V238" s="249"/>
      <c r="W238" s="249"/>
    </row>
    <row r="239" spans="1:23" ht="13.9">
      <c r="A239" s="250">
        <v>255</v>
      </c>
      <c r="B239" s="253" t="s">
        <v>3599</v>
      </c>
      <c r="C239" s="254">
        <v>45988</v>
      </c>
      <c r="D239" s="253" t="s">
        <v>3602</v>
      </c>
      <c r="E239" s="253" t="s">
        <v>3603</v>
      </c>
      <c r="F239" s="253">
        <v>71.5</v>
      </c>
      <c r="G239" s="253"/>
      <c r="H239" s="253"/>
      <c r="I239" s="253"/>
      <c r="J239" s="253"/>
      <c r="K239" s="253">
        <v>15</v>
      </c>
      <c r="L239" s="253">
        <f t="shared" si="3"/>
        <v>86.5</v>
      </c>
      <c r="M239" s="253"/>
      <c r="N239" s="249"/>
      <c r="O239" s="249"/>
      <c r="P239" s="249"/>
      <c r="Q239" s="249"/>
      <c r="R239" s="249"/>
      <c r="S239" s="249"/>
      <c r="T239" s="249"/>
      <c r="U239" s="249"/>
      <c r="V239" s="249"/>
      <c r="W239" s="249"/>
    </row>
    <row r="240" spans="1:23" ht="13.9">
      <c r="A240" s="250">
        <v>256</v>
      </c>
      <c r="B240" s="253" t="s">
        <v>3604</v>
      </c>
      <c r="C240" s="254">
        <v>45986</v>
      </c>
      <c r="D240" s="253" t="s">
        <v>3361</v>
      </c>
      <c r="E240" s="253" t="s">
        <v>3373</v>
      </c>
      <c r="F240" s="253"/>
      <c r="G240" s="253">
        <v>42</v>
      </c>
      <c r="H240" s="253">
        <v>15</v>
      </c>
      <c r="I240" s="253"/>
      <c r="J240" s="253"/>
      <c r="K240" s="253"/>
      <c r="L240" s="253">
        <f t="shared" si="3"/>
        <v>57</v>
      </c>
      <c r="M240" s="253" t="s">
        <v>3399</v>
      </c>
      <c r="N240" s="249"/>
      <c r="O240" s="249"/>
      <c r="P240" s="249"/>
      <c r="Q240" s="249"/>
      <c r="R240" s="249"/>
      <c r="S240" s="249"/>
      <c r="T240" s="249"/>
      <c r="U240" s="249"/>
      <c r="V240" s="249"/>
      <c r="W240" s="249"/>
    </row>
    <row r="241" spans="1:23" ht="13.9">
      <c r="A241" s="250">
        <v>257</v>
      </c>
      <c r="B241" s="253" t="s">
        <v>3604</v>
      </c>
      <c r="C241" s="254">
        <v>45988</v>
      </c>
      <c r="D241" s="253" t="s">
        <v>3407</v>
      </c>
      <c r="E241" s="253" t="s">
        <v>3408</v>
      </c>
      <c r="F241" s="253"/>
      <c r="G241" s="253">
        <v>10</v>
      </c>
      <c r="H241" s="253">
        <v>15</v>
      </c>
      <c r="I241" s="253"/>
      <c r="J241" s="253"/>
      <c r="K241" s="253"/>
      <c r="L241" s="253">
        <f t="shared" si="3"/>
        <v>25</v>
      </c>
      <c r="M241" s="253" t="s">
        <v>3399</v>
      </c>
      <c r="N241" s="249"/>
      <c r="O241" s="249"/>
      <c r="P241" s="249"/>
      <c r="Q241" s="249"/>
      <c r="R241" s="249"/>
      <c r="S241" s="249"/>
      <c r="T241" s="249"/>
      <c r="U241" s="249"/>
      <c r="V241" s="249"/>
      <c r="W241" s="249"/>
    </row>
    <row r="242" spans="1:23" ht="13.9">
      <c r="A242" s="250">
        <v>258</v>
      </c>
      <c r="B242" s="253" t="s">
        <v>3605</v>
      </c>
      <c r="C242" s="254">
        <v>45986</v>
      </c>
      <c r="D242" s="253" t="s">
        <v>3606</v>
      </c>
      <c r="E242" s="253" t="s">
        <v>3607</v>
      </c>
      <c r="F242" s="253">
        <v>214.5</v>
      </c>
      <c r="G242" s="253"/>
      <c r="H242" s="253"/>
      <c r="I242" s="253"/>
      <c r="J242" s="253"/>
      <c r="K242" s="253">
        <v>15</v>
      </c>
      <c r="L242" s="253">
        <f t="shared" si="3"/>
        <v>229.5</v>
      </c>
      <c r="M242" s="253"/>
      <c r="N242" s="249"/>
      <c r="O242" s="249"/>
      <c r="P242" s="249"/>
      <c r="Q242" s="249"/>
      <c r="R242" s="249"/>
      <c r="S242" s="249"/>
      <c r="T242" s="249"/>
      <c r="U242" s="249"/>
      <c r="V242" s="249"/>
      <c r="W242" s="249"/>
    </row>
    <row r="243" spans="1:23" ht="13.9">
      <c r="A243" s="250">
        <v>259</v>
      </c>
      <c r="B243" s="253" t="s">
        <v>3605</v>
      </c>
      <c r="C243" s="254">
        <v>45988</v>
      </c>
      <c r="D243" s="253" t="s">
        <v>3471</v>
      </c>
      <c r="E243" s="253" t="s">
        <v>3608</v>
      </c>
      <c r="F243" s="253">
        <v>222.5</v>
      </c>
      <c r="G243" s="253"/>
      <c r="H243" s="253"/>
      <c r="I243" s="253"/>
      <c r="J243" s="253"/>
      <c r="K243" s="253">
        <v>15</v>
      </c>
      <c r="L243" s="253">
        <f t="shared" si="3"/>
        <v>237.5</v>
      </c>
      <c r="M243" s="253"/>
      <c r="N243" s="249"/>
      <c r="O243" s="249"/>
      <c r="P243" s="249"/>
      <c r="Q243" s="249"/>
      <c r="R243" s="249"/>
      <c r="S243" s="249"/>
      <c r="T243" s="249"/>
      <c r="U243" s="249"/>
      <c r="V243" s="249"/>
      <c r="W243" s="249"/>
    </row>
    <row r="244" spans="1:23" ht="13.9">
      <c r="A244" s="250">
        <v>260</v>
      </c>
      <c r="B244" s="253" t="s">
        <v>3609</v>
      </c>
      <c r="C244" s="254">
        <v>45987</v>
      </c>
      <c r="D244" s="253" t="s">
        <v>3361</v>
      </c>
      <c r="E244" s="253" t="s">
        <v>3373</v>
      </c>
      <c r="F244" s="253">
        <v>651</v>
      </c>
      <c r="G244" s="253"/>
      <c r="H244" s="253"/>
      <c r="I244" s="253"/>
      <c r="J244" s="253"/>
      <c r="K244" s="253">
        <v>15</v>
      </c>
      <c r="L244" s="253">
        <f t="shared" si="3"/>
        <v>666</v>
      </c>
      <c r="M244" s="253"/>
      <c r="N244" s="249"/>
      <c r="O244" s="249"/>
      <c r="P244" s="249"/>
      <c r="Q244" s="249"/>
      <c r="R244" s="249"/>
      <c r="S244" s="249"/>
      <c r="T244" s="249"/>
      <c r="U244" s="249"/>
      <c r="V244" s="249"/>
      <c r="W244" s="249"/>
    </row>
    <row r="245" spans="1:23" ht="13.9">
      <c r="A245" s="250">
        <v>261</v>
      </c>
      <c r="B245" s="253" t="s">
        <v>3610</v>
      </c>
      <c r="C245" s="254">
        <v>45986</v>
      </c>
      <c r="D245" s="253" t="s">
        <v>3365</v>
      </c>
      <c r="E245" s="253" t="s">
        <v>3442</v>
      </c>
      <c r="F245" s="253">
        <v>178.5</v>
      </c>
      <c r="G245" s="253"/>
      <c r="H245" s="253"/>
      <c r="I245" s="253"/>
      <c r="J245" s="253"/>
      <c r="K245" s="253">
        <v>15</v>
      </c>
      <c r="L245" s="253">
        <f t="shared" si="3"/>
        <v>193.5</v>
      </c>
      <c r="M245" s="253"/>
      <c r="N245" s="249"/>
      <c r="O245" s="249"/>
      <c r="P245" s="249"/>
      <c r="Q245" s="249"/>
      <c r="R245" s="249"/>
      <c r="S245" s="249"/>
      <c r="T245" s="249"/>
      <c r="U245" s="249"/>
      <c r="V245" s="249"/>
      <c r="W245" s="249"/>
    </row>
    <row r="246" spans="1:23" ht="13.9">
      <c r="A246" s="250">
        <v>262</v>
      </c>
      <c r="B246" s="253" t="s">
        <v>3610</v>
      </c>
      <c r="C246" s="254">
        <v>45988</v>
      </c>
      <c r="D246" s="253" t="s">
        <v>3443</v>
      </c>
      <c r="E246" s="253" t="s">
        <v>3444</v>
      </c>
      <c r="F246" s="253">
        <v>178.5</v>
      </c>
      <c r="G246" s="253"/>
      <c r="H246" s="253"/>
      <c r="I246" s="253"/>
      <c r="J246" s="253"/>
      <c r="K246" s="253">
        <v>15</v>
      </c>
      <c r="L246" s="253">
        <f t="shared" si="3"/>
        <v>193.5</v>
      </c>
      <c r="M246" s="253"/>
      <c r="N246" s="249"/>
      <c r="O246" s="249"/>
      <c r="P246" s="249"/>
      <c r="Q246" s="249"/>
      <c r="R246" s="249"/>
      <c r="S246" s="249"/>
      <c r="T246" s="249"/>
      <c r="U246" s="249"/>
      <c r="V246" s="249"/>
      <c r="W246" s="249"/>
    </row>
    <row r="247" spans="1:23" ht="13.9">
      <c r="A247" s="250">
        <v>263</v>
      </c>
      <c r="B247" s="253" t="s">
        <v>3611</v>
      </c>
      <c r="C247" s="254">
        <v>45986</v>
      </c>
      <c r="D247" s="253" t="s">
        <v>3361</v>
      </c>
      <c r="E247" s="253" t="s">
        <v>3403</v>
      </c>
      <c r="F247" s="253">
        <v>210.5</v>
      </c>
      <c r="G247" s="253"/>
      <c r="H247" s="253"/>
      <c r="I247" s="253"/>
      <c r="J247" s="253"/>
      <c r="K247" s="253">
        <v>15</v>
      </c>
      <c r="L247" s="253">
        <f t="shared" si="3"/>
        <v>225.5</v>
      </c>
      <c r="M247" s="253"/>
      <c r="N247" s="249"/>
      <c r="O247" s="249"/>
      <c r="P247" s="249"/>
      <c r="Q247" s="249"/>
      <c r="R247" s="249"/>
      <c r="S247" s="249"/>
      <c r="T247" s="249"/>
      <c r="U247" s="249"/>
      <c r="V247" s="249"/>
      <c r="W247" s="249"/>
    </row>
    <row r="248" spans="1:23" ht="13.9">
      <c r="A248" s="250">
        <v>264</v>
      </c>
      <c r="B248" s="253" t="s">
        <v>3611</v>
      </c>
      <c r="C248" s="254">
        <v>45988</v>
      </c>
      <c r="D248" s="253" t="s">
        <v>3358</v>
      </c>
      <c r="E248" s="253" t="s">
        <v>3359</v>
      </c>
      <c r="F248" s="253">
        <v>198</v>
      </c>
      <c r="G248" s="253"/>
      <c r="H248" s="253"/>
      <c r="I248" s="253"/>
      <c r="J248" s="253"/>
      <c r="K248" s="253">
        <v>15</v>
      </c>
      <c r="L248" s="253">
        <f t="shared" si="3"/>
        <v>213</v>
      </c>
      <c r="M248" s="253"/>
      <c r="N248" s="249"/>
      <c r="O248" s="249"/>
      <c r="P248" s="249"/>
      <c r="Q248" s="249"/>
      <c r="R248" s="249"/>
      <c r="S248" s="249"/>
      <c r="T248" s="249"/>
      <c r="U248" s="249"/>
      <c r="V248" s="249"/>
      <c r="W248" s="249"/>
    </row>
    <row r="249" spans="1:23" ht="13.9">
      <c r="A249" s="250">
        <v>265</v>
      </c>
      <c r="B249" s="253" t="s">
        <v>3612</v>
      </c>
      <c r="C249" s="254">
        <v>45986</v>
      </c>
      <c r="D249" s="253" t="s">
        <v>3613</v>
      </c>
      <c r="E249" s="253" t="s">
        <v>3369</v>
      </c>
      <c r="F249" s="253">
        <v>410.5</v>
      </c>
      <c r="G249" s="253"/>
      <c r="H249" s="253"/>
      <c r="I249" s="253"/>
      <c r="J249" s="253"/>
      <c r="K249" s="253">
        <v>15</v>
      </c>
      <c r="L249" s="253">
        <f t="shared" si="3"/>
        <v>425.5</v>
      </c>
      <c r="M249" s="253"/>
      <c r="N249" s="249"/>
      <c r="O249" s="249"/>
      <c r="P249" s="249"/>
      <c r="Q249" s="249"/>
      <c r="R249" s="249"/>
      <c r="S249" s="249"/>
      <c r="T249" s="249"/>
      <c r="U249" s="249"/>
      <c r="V249" s="249"/>
      <c r="W249" s="249"/>
    </row>
    <row r="250" spans="1:23" ht="13.9">
      <c r="A250" s="250">
        <v>266</v>
      </c>
      <c r="B250" s="253" t="s">
        <v>3612</v>
      </c>
      <c r="C250" s="254">
        <v>45986</v>
      </c>
      <c r="D250" s="253" t="s">
        <v>3614</v>
      </c>
      <c r="E250" s="253" t="s">
        <v>3615</v>
      </c>
      <c r="F250" s="253">
        <v>95</v>
      </c>
      <c r="G250" s="253"/>
      <c r="H250" s="253"/>
      <c r="I250" s="253"/>
      <c r="J250" s="253"/>
      <c r="K250" s="253">
        <v>15</v>
      </c>
      <c r="L250" s="253">
        <f t="shared" si="3"/>
        <v>110</v>
      </c>
      <c r="M250" s="253"/>
      <c r="N250" s="249"/>
      <c r="O250" s="249"/>
      <c r="P250" s="249"/>
      <c r="Q250" s="249"/>
      <c r="R250" s="249"/>
      <c r="S250" s="249"/>
      <c r="T250" s="249"/>
      <c r="U250" s="249"/>
      <c r="V250" s="249"/>
      <c r="W250" s="249"/>
    </row>
    <row r="251" spans="1:23" ht="13.9">
      <c r="A251" s="250">
        <v>267</v>
      </c>
      <c r="B251" s="253" t="s">
        <v>3616</v>
      </c>
      <c r="C251" s="254">
        <v>45986</v>
      </c>
      <c r="D251" s="253" t="s">
        <v>3361</v>
      </c>
      <c r="E251" s="253" t="s">
        <v>3373</v>
      </c>
      <c r="F251" s="253">
        <v>210.5</v>
      </c>
      <c r="G251" s="253"/>
      <c r="H251" s="253"/>
      <c r="I251" s="253"/>
      <c r="J251" s="253"/>
      <c r="K251" s="253">
        <v>15</v>
      </c>
      <c r="L251" s="253">
        <f t="shared" si="3"/>
        <v>225.5</v>
      </c>
      <c r="M251" s="253"/>
      <c r="N251" s="249"/>
      <c r="O251" s="249"/>
      <c r="P251" s="249"/>
      <c r="Q251" s="249"/>
      <c r="R251" s="249"/>
      <c r="S251" s="249"/>
      <c r="T251" s="249"/>
      <c r="U251" s="249"/>
      <c r="V251" s="249"/>
      <c r="W251" s="249"/>
    </row>
    <row r="252" spans="1:23" ht="13.9">
      <c r="A252" s="250">
        <v>268</v>
      </c>
      <c r="B252" s="253" t="s">
        <v>3616</v>
      </c>
      <c r="C252" s="254">
        <v>45988</v>
      </c>
      <c r="D252" s="253" t="s">
        <v>3407</v>
      </c>
      <c r="E252" s="253" t="s">
        <v>3408</v>
      </c>
      <c r="F252" s="253">
        <v>200.5</v>
      </c>
      <c r="G252" s="253"/>
      <c r="H252" s="253"/>
      <c r="I252" s="253"/>
      <c r="J252" s="253"/>
      <c r="K252" s="253">
        <v>15</v>
      </c>
      <c r="L252" s="253">
        <f t="shared" si="3"/>
        <v>215.5</v>
      </c>
      <c r="M252" s="253"/>
      <c r="N252" s="249"/>
      <c r="O252" s="249"/>
      <c r="P252" s="249"/>
      <c r="Q252" s="249"/>
      <c r="R252" s="249"/>
      <c r="S252" s="249"/>
      <c r="T252" s="249"/>
      <c r="U252" s="249"/>
      <c r="V252" s="249"/>
      <c r="W252" s="249"/>
    </row>
    <row r="253" spans="1:23" ht="13.9">
      <c r="A253" s="250">
        <v>269</v>
      </c>
      <c r="B253" s="253" t="s">
        <v>3617</v>
      </c>
      <c r="C253" s="254">
        <v>45986</v>
      </c>
      <c r="D253" s="253" t="s">
        <v>3356</v>
      </c>
      <c r="E253" s="253" t="s">
        <v>3428</v>
      </c>
      <c r="F253" s="253">
        <v>198</v>
      </c>
      <c r="G253" s="253"/>
      <c r="H253" s="253"/>
      <c r="I253" s="253"/>
      <c r="J253" s="253"/>
      <c r="K253" s="253">
        <v>15</v>
      </c>
      <c r="L253" s="253">
        <f t="shared" si="3"/>
        <v>213</v>
      </c>
      <c r="M253" s="253"/>
      <c r="N253" s="249"/>
      <c r="O253" s="249"/>
      <c r="P253" s="249"/>
      <c r="Q253" s="249"/>
      <c r="R253" s="249"/>
      <c r="S253" s="249"/>
      <c r="T253" s="249"/>
      <c r="U253" s="249"/>
      <c r="V253" s="249"/>
      <c r="W253" s="249"/>
    </row>
    <row r="254" spans="1:23" ht="13.9">
      <c r="A254" s="250">
        <v>270</v>
      </c>
      <c r="B254" s="253" t="s">
        <v>3617</v>
      </c>
      <c r="C254" s="254">
        <v>45988</v>
      </c>
      <c r="D254" s="253" t="s">
        <v>3337</v>
      </c>
      <c r="E254" s="253" t="s">
        <v>3363</v>
      </c>
      <c r="F254" s="253">
        <v>197.5</v>
      </c>
      <c r="G254" s="253"/>
      <c r="H254" s="253"/>
      <c r="I254" s="253"/>
      <c r="J254" s="253"/>
      <c r="K254" s="253">
        <v>15</v>
      </c>
      <c r="L254" s="253">
        <f t="shared" si="3"/>
        <v>212.5</v>
      </c>
      <c r="M254" s="253"/>
      <c r="N254" s="249"/>
      <c r="O254" s="249"/>
      <c r="P254" s="249"/>
      <c r="Q254" s="249"/>
      <c r="R254" s="249"/>
      <c r="S254" s="249"/>
      <c r="T254" s="249"/>
      <c r="U254" s="249"/>
      <c r="V254" s="249"/>
      <c r="W254" s="249"/>
    </row>
    <row r="255" spans="1:23" ht="13.9">
      <c r="A255" s="250">
        <v>271</v>
      </c>
      <c r="B255" s="253" t="s">
        <v>3618</v>
      </c>
      <c r="C255" s="254">
        <v>45986</v>
      </c>
      <c r="D255" s="253" t="s">
        <v>3365</v>
      </c>
      <c r="E255" s="253" t="s">
        <v>3504</v>
      </c>
      <c r="F255" s="253">
        <v>178.5</v>
      </c>
      <c r="G255" s="253"/>
      <c r="H255" s="253"/>
      <c r="I255" s="253"/>
      <c r="J255" s="253"/>
      <c r="K255" s="253">
        <v>15</v>
      </c>
      <c r="L255" s="253">
        <f t="shared" si="3"/>
        <v>193.5</v>
      </c>
      <c r="M255" s="253"/>
      <c r="N255" s="249"/>
      <c r="O255" s="249"/>
      <c r="P255" s="249"/>
      <c r="Q255" s="249"/>
      <c r="R255" s="249"/>
      <c r="S255" s="249"/>
      <c r="T255" s="249"/>
      <c r="U255" s="249"/>
      <c r="V255" s="249"/>
      <c r="W255" s="249"/>
    </row>
    <row r="256" spans="1:23" ht="13.9">
      <c r="A256" s="250">
        <v>272</v>
      </c>
      <c r="B256" s="253" t="s">
        <v>3618</v>
      </c>
      <c r="C256" s="254">
        <v>45988</v>
      </c>
      <c r="D256" s="253" t="s">
        <v>3443</v>
      </c>
      <c r="E256" s="253" t="s">
        <v>3447</v>
      </c>
      <c r="F256" s="253">
        <v>178.5</v>
      </c>
      <c r="G256" s="253"/>
      <c r="H256" s="253"/>
      <c r="I256" s="253"/>
      <c r="J256" s="253"/>
      <c r="K256" s="253">
        <v>15</v>
      </c>
      <c r="L256" s="253">
        <f t="shared" si="3"/>
        <v>193.5</v>
      </c>
      <c r="M256" s="253"/>
      <c r="N256" s="249"/>
      <c r="O256" s="249"/>
      <c r="P256" s="249"/>
      <c r="Q256" s="249"/>
      <c r="R256" s="249"/>
      <c r="S256" s="249"/>
      <c r="T256" s="249"/>
      <c r="U256" s="249"/>
      <c r="V256" s="249"/>
      <c r="W256" s="249"/>
    </row>
    <row r="257" spans="1:23" ht="13.9">
      <c r="A257" s="250">
        <v>273</v>
      </c>
      <c r="B257" s="253" t="s">
        <v>3619</v>
      </c>
      <c r="C257" s="254">
        <v>45986</v>
      </c>
      <c r="D257" s="253" t="s">
        <v>3368</v>
      </c>
      <c r="E257" s="253" t="s">
        <v>3369</v>
      </c>
      <c r="F257" s="253">
        <v>640</v>
      </c>
      <c r="G257" s="253"/>
      <c r="H257" s="253"/>
      <c r="I257" s="253"/>
      <c r="J257" s="253"/>
      <c r="K257" s="253">
        <v>15</v>
      </c>
      <c r="L257" s="253">
        <f t="shared" si="3"/>
        <v>655</v>
      </c>
      <c r="M257" s="253"/>
      <c r="N257" s="249"/>
      <c r="O257" s="249"/>
      <c r="P257" s="249"/>
      <c r="Q257" s="249"/>
      <c r="R257" s="249"/>
      <c r="S257" s="249"/>
      <c r="T257" s="249"/>
      <c r="U257" s="249"/>
      <c r="V257" s="249"/>
      <c r="W257" s="249"/>
    </row>
    <row r="258" spans="1:23" ht="13.9">
      <c r="A258" s="250">
        <v>274</v>
      </c>
      <c r="B258" s="253" t="s">
        <v>3619</v>
      </c>
      <c r="C258" s="254">
        <v>45988</v>
      </c>
      <c r="D258" s="253" t="s">
        <v>3370</v>
      </c>
      <c r="E258" s="253" t="s">
        <v>3371</v>
      </c>
      <c r="F258" s="253">
        <v>634</v>
      </c>
      <c r="G258" s="253"/>
      <c r="H258" s="253"/>
      <c r="I258" s="253"/>
      <c r="J258" s="253"/>
      <c r="K258" s="253">
        <v>15</v>
      </c>
      <c r="L258" s="253">
        <f t="shared" si="3"/>
        <v>649</v>
      </c>
      <c r="M258" s="253"/>
      <c r="N258" s="249"/>
      <c r="O258" s="249"/>
      <c r="P258" s="249"/>
      <c r="Q258" s="249"/>
      <c r="R258" s="249"/>
      <c r="S258" s="249"/>
      <c r="T258" s="249"/>
      <c r="U258" s="249"/>
      <c r="V258" s="249"/>
      <c r="W258" s="249"/>
    </row>
    <row r="259" spans="1:23" ht="13.9">
      <c r="A259" s="250">
        <v>275</v>
      </c>
      <c r="B259" s="253" t="s">
        <v>3620</v>
      </c>
      <c r="C259" s="254">
        <v>45986</v>
      </c>
      <c r="D259" s="253" t="s">
        <v>3365</v>
      </c>
      <c r="E259" s="253" t="s">
        <v>3621</v>
      </c>
      <c r="F259" s="253">
        <v>188</v>
      </c>
      <c r="G259" s="253"/>
      <c r="H259" s="253"/>
      <c r="I259" s="253"/>
      <c r="J259" s="253"/>
      <c r="K259" s="253">
        <v>15</v>
      </c>
      <c r="L259" s="253">
        <f t="shared" si="3"/>
        <v>203</v>
      </c>
      <c r="M259" s="253"/>
      <c r="N259" s="249"/>
      <c r="O259" s="249"/>
      <c r="P259" s="249"/>
      <c r="Q259" s="249"/>
      <c r="R259" s="249"/>
      <c r="S259" s="249"/>
      <c r="T259" s="249"/>
      <c r="U259" s="249"/>
      <c r="V259" s="249"/>
      <c r="W259" s="249"/>
    </row>
    <row r="260" spans="1:23" ht="13.9">
      <c r="A260" s="250">
        <v>276</v>
      </c>
      <c r="B260" s="253" t="s">
        <v>3620</v>
      </c>
      <c r="C260" s="254">
        <v>45988</v>
      </c>
      <c r="D260" s="253" t="s">
        <v>3443</v>
      </c>
      <c r="E260" s="253" t="s">
        <v>3447</v>
      </c>
      <c r="F260" s="253">
        <v>178.5</v>
      </c>
      <c r="G260" s="253"/>
      <c r="H260" s="253"/>
      <c r="I260" s="253"/>
      <c r="J260" s="253"/>
      <c r="K260" s="253">
        <v>15</v>
      </c>
      <c r="L260" s="253">
        <f t="shared" ref="L260:L323" si="4">SUM(F260:K260)</f>
        <v>193.5</v>
      </c>
      <c r="M260" s="253"/>
      <c r="N260" s="249"/>
      <c r="O260" s="249"/>
      <c r="P260" s="249"/>
      <c r="Q260" s="249"/>
      <c r="R260" s="249"/>
      <c r="S260" s="249"/>
      <c r="T260" s="249"/>
      <c r="U260" s="249"/>
      <c r="V260" s="249"/>
      <c r="W260" s="249"/>
    </row>
    <row r="261" spans="1:23" ht="13.9">
      <c r="A261" s="250">
        <v>277</v>
      </c>
      <c r="B261" s="253" t="s">
        <v>3622</v>
      </c>
      <c r="C261" s="254">
        <v>45986</v>
      </c>
      <c r="D261" s="253" t="s">
        <v>3361</v>
      </c>
      <c r="E261" s="253" t="s">
        <v>3623</v>
      </c>
      <c r="F261" s="253">
        <v>210.5</v>
      </c>
      <c r="G261" s="253"/>
      <c r="H261" s="253"/>
      <c r="I261" s="253"/>
      <c r="J261" s="253"/>
      <c r="K261" s="253">
        <v>15</v>
      </c>
      <c r="L261" s="253">
        <f t="shared" si="4"/>
        <v>225.5</v>
      </c>
      <c r="M261" s="253"/>
      <c r="N261" s="249"/>
      <c r="O261" s="249"/>
      <c r="P261" s="249"/>
      <c r="Q261" s="249"/>
      <c r="R261" s="249"/>
      <c r="S261" s="249"/>
      <c r="T261" s="249"/>
      <c r="U261" s="249"/>
      <c r="V261" s="249"/>
      <c r="W261" s="249"/>
    </row>
    <row r="262" spans="1:23" ht="13.9">
      <c r="A262" s="250">
        <v>278</v>
      </c>
      <c r="B262" s="253" t="s">
        <v>3624</v>
      </c>
      <c r="C262" s="254">
        <v>45986</v>
      </c>
      <c r="D262" s="253" t="s">
        <v>3361</v>
      </c>
      <c r="E262" s="253" t="s">
        <v>3459</v>
      </c>
      <c r="F262" s="253">
        <v>210.5</v>
      </c>
      <c r="G262" s="253"/>
      <c r="H262" s="253"/>
      <c r="I262" s="253"/>
      <c r="J262" s="253"/>
      <c r="K262" s="253">
        <v>15</v>
      </c>
      <c r="L262" s="253">
        <f t="shared" si="4"/>
        <v>225.5</v>
      </c>
      <c r="M262" s="253"/>
      <c r="N262" s="249"/>
      <c r="O262" s="249"/>
      <c r="P262" s="249"/>
      <c r="Q262" s="249"/>
      <c r="R262" s="249"/>
      <c r="S262" s="249"/>
      <c r="T262" s="249"/>
      <c r="U262" s="249"/>
      <c r="V262" s="249"/>
      <c r="W262" s="249"/>
    </row>
    <row r="263" spans="1:23" ht="13.9">
      <c r="A263" s="250">
        <v>279</v>
      </c>
      <c r="B263" s="253" t="s">
        <v>3624</v>
      </c>
      <c r="C263" s="254">
        <v>45988</v>
      </c>
      <c r="D263" s="253" t="s">
        <v>3337</v>
      </c>
      <c r="E263" s="253" t="s">
        <v>3451</v>
      </c>
      <c r="F263" s="253">
        <v>184.5</v>
      </c>
      <c r="G263" s="253"/>
      <c r="H263" s="253"/>
      <c r="I263" s="253"/>
      <c r="J263" s="253"/>
      <c r="K263" s="253">
        <v>15</v>
      </c>
      <c r="L263" s="253">
        <f t="shared" si="4"/>
        <v>199.5</v>
      </c>
      <c r="M263" s="253"/>
      <c r="N263" s="249"/>
      <c r="O263" s="249"/>
      <c r="P263" s="249"/>
      <c r="Q263" s="249"/>
      <c r="R263" s="249"/>
      <c r="S263" s="249"/>
      <c r="T263" s="249"/>
      <c r="U263" s="249"/>
      <c r="V263" s="249"/>
      <c r="W263" s="249"/>
    </row>
    <row r="264" spans="1:23" ht="13.9">
      <c r="A264" s="250">
        <v>280</v>
      </c>
      <c r="B264" s="253" t="s">
        <v>3625</v>
      </c>
      <c r="C264" s="254">
        <v>45986</v>
      </c>
      <c r="D264" s="253" t="s">
        <v>3365</v>
      </c>
      <c r="E264" s="253" t="s">
        <v>3626</v>
      </c>
      <c r="F264" s="253">
        <v>188</v>
      </c>
      <c r="G264" s="253"/>
      <c r="H264" s="253"/>
      <c r="I264" s="253"/>
      <c r="J264" s="253"/>
      <c r="K264" s="253">
        <v>15</v>
      </c>
      <c r="L264" s="253">
        <f t="shared" si="4"/>
        <v>203</v>
      </c>
      <c r="M264" s="253"/>
      <c r="N264" s="249"/>
      <c r="O264" s="249"/>
      <c r="P264" s="249"/>
      <c r="Q264" s="249"/>
      <c r="R264" s="249"/>
      <c r="S264" s="249"/>
      <c r="T264" s="249"/>
      <c r="U264" s="249"/>
      <c r="V264" s="249"/>
      <c r="W264" s="249"/>
    </row>
    <row r="265" spans="1:23" ht="13.9">
      <c r="A265" s="250">
        <v>282</v>
      </c>
      <c r="B265" s="253" t="s">
        <v>3627</v>
      </c>
      <c r="C265" s="254">
        <v>45986</v>
      </c>
      <c r="D265" s="253" t="s">
        <v>3356</v>
      </c>
      <c r="E265" s="253" t="s">
        <v>3428</v>
      </c>
      <c r="F265" s="253"/>
      <c r="G265" s="253"/>
      <c r="H265" s="253">
        <v>15</v>
      </c>
      <c r="I265" s="253">
        <v>614.5</v>
      </c>
      <c r="J265" s="253">
        <v>15</v>
      </c>
      <c r="K265" s="253">
        <v>15</v>
      </c>
      <c r="L265" s="253">
        <f t="shared" si="4"/>
        <v>659.5</v>
      </c>
      <c r="M265" s="253" t="s">
        <v>3479</v>
      </c>
      <c r="N265" s="249"/>
      <c r="O265" s="249"/>
      <c r="P265" s="249"/>
      <c r="Q265" s="249"/>
      <c r="R265" s="249"/>
      <c r="S265" s="249"/>
      <c r="T265" s="249"/>
      <c r="U265" s="249"/>
      <c r="V265" s="249"/>
      <c r="W265" s="249"/>
    </row>
    <row r="266" spans="1:23" ht="13.9">
      <c r="A266" s="250">
        <v>283</v>
      </c>
      <c r="B266" s="253" t="s">
        <v>3627</v>
      </c>
      <c r="C266" s="254">
        <v>45987</v>
      </c>
      <c r="D266" s="253" t="s">
        <v>3337</v>
      </c>
      <c r="E266" s="253" t="s">
        <v>3449</v>
      </c>
      <c r="F266" s="253">
        <v>612</v>
      </c>
      <c r="G266" s="253"/>
      <c r="H266" s="253"/>
      <c r="I266" s="253"/>
      <c r="J266" s="253"/>
      <c r="K266" s="253">
        <v>15</v>
      </c>
      <c r="L266" s="253">
        <f t="shared" si="4"/>
        <v>627</v>
      </c>
      <c r="M266" s="253"/>
      <c r="N266" s="249"/>
      <c r="O266" s="249"/>
      <c r="P266" s="249"/>
      <c r="Q266" s="249"/>
      <c r="R266" s="249"/>
      <c r="S266" s="249"/>
      <c r="T266" s="249"/>
      <c r="U266" s="249"/>
      <c r="V266" s="249"/>
      <c r="W266" s="249"/>
    </row>
    <row r="267" spans="1:23" ht="13.9">
      <c r="A267" s="250">
        <v>284</v>
      </c>
      <c r="B267" s="253" t="s">
        <v>3628</v>
      </c>
      <c r="C267" s="254">
        <v>45986</v>
      </c>
      <c r="D267" s="253" t="s">
        <v>3365</v>
      </c>
      <c r="E267" s="253" t="s">
        <v>3621</v>
      </c>
      <c r="F267" s="253">
        <v>188</v>
      </c>
      <c r="G267" s="253"/>
      <c r="H267" s="253"/>
      <c r="I267" s="253"/>
      <c r="J267" s="253"/>
      <c r="K267" s="253">
        <v>15</v>
      </c>
      <c r="L267" s="253">
        <f t="shared" si="4"/>
        <v>203</v>
      </c>
      <c r="M267" s="253"/>
      <c r="N267" s="249"/>
      <c r="O267" s="249"/>
      <c r="P267" s="249"/>
      <c r="Q267" s="249"/>
      <c r="R267" s="249"/>
      <c r="S267" s="249"/>
      <c r="T267" s="249"/>
      <c r="U267" s="249"/>
      <c r="V267" s="249"/>
      <c r="W267" s="249"/>
    </row>
    <row r="268" spans="1:23" ht="13.9">
      <c r="A268" s="250">
        <v>285</v>
      </c>
      <c r="B268" s="253" t="s">
        <v>3628</v>
      </c>
      <c r="C268" s="254">
        <v>45988</v>
      </c>
      <c r="D268" s="253" t="s">
        <v>3443</v>
      </c>
      <c r="E268" s="253" t="s">
        <v>3447</v>
      </c>
      <c r="F268" s="253">
        <v>178.5</v>
      </c>
      <c r="G268" s="253"/>
      <c r="H268" s="253"/>
      <c r="I268" s="253"/>
      <c r="J268" s="253"/>
      <c r="K268" s="253">
        <v>15</v>
      </c>
      <c r="L268" s="253">
        <f t="shared" si="4"/>
        <v>193.5</v>
      </c>
      <c r="M268" s="253"/>
      <c r="N268" s="249"/>
      <c r="O268" s="249"/>
      <c r="P268" s="249"/>
      <c r="Q268" s="249"/>
      <c r="R268" s="249"/>
      <c r="S268" s="249"/>
      <c r="T268" s="249"/>
      <c r="U268" s="249"/>
      <c r="V268" s="249"/>
      <c r="W268" s="249"/>
    </row>
    <row r="269" spans="1:23" ht="13.9">
      <c r="A269" s="250">
        <v>286</v>
      </c>
      <c r="B269" s="253" t="s">
        <v>3629</v>
      </c>
      <c r="C269" s="254">
        <v>45987</v>
      </c>
      <c r="D269" s="253" t="s">
        <v>3361</v>
      </c>
      <c r="E269" s="253" t="s">
        <v>3630</v>
      </c>
      <c r="F269" s="253">
        <v>197.5</v>
      </c>
      <c r="G269" s="253"/>
      <c r="H269" s="253"/>
      <c r="I269" s="253"/>
      <c r="J269" s="253"/>
      <c r="K269" s="253">
        <v>15</v>
      </c>
      <c r="L269" s="253">
        <f t="shared" si="4"/>
        <v>212.5</v>
      </c>
      <c r="M269" s="253"/>
      <c r="N269" s="249"/>
      <c r="O269" s="249"/>
      <c r="P269" s="249"/>
      <c r="Q269" s="249"/>
      <c r="R269" s="249"/>
      <c r="S269" s="249"/>
      <c r="T269" s="249"/>
      <c r="U269" s="249"/>
      <c r="V269" s="249"/>
      <c r="W269" s="249"/>
    </row>
    <row r="270" spans="1:23" ht="13.9">
      <c r="A270" s="250">
        <v>287</v>
      </c>
      <c r="B270" s="253" t="s">
        <v>3629</v>
      </c>
      <c r="C270" s="254">
        <v>45988</v>
      </c>
      <c r="D270" s="253" t="s">
        <v>3337</v>
      </c>
      <c r="E270" s="253" t="s">
        <v>3338</v>
      </c>
      <c r="F270" s="253">
        <v>210.5</v>
      </c>
      <c r="G270" s="253"/>
      <c r="H270" s="253"/>
      <c r="I270" s="253"/>
      <c r="J270" s="253"/>
      <c r="K270" s="253">
        <v>15</v>
      </c>
      <c r="L270" s="253">
        <f t="shared" si="4"/>
        <v>225.5</v>
      </c>
      <c r="M270" s="253"/>
      <c r="N270" s="249"/>
      <c r="O270" s="249"/>
      <c r="P270" s="249"/>
      <c r="Q270" s="249"/>
      <c r="R270" s="249"/>
      <c r="S270" s="249"/>
      <c r="T270" s="249"/>
      <c r="U270" s="249"/>
      <c r="V270" s="249"/>
      <c r="W270" s="249"/>
    </row>
    <row r="271" spans="1:23" ht="13.9">
      <c r="A271" s="250">
        <v>288</v>
      </c>
      <c r="B271" s="253" t="s">
        <v>3631</v>
      </c>
      <c r="C271" s="254">
        <v>45986</v>
      </c>
      <c r="D271" s="253" t="s">
        <v>3361</v>
      </c>
      <c r="E271" s="253" t="s">
        <v>3362</v>
      </c>
      <c r="F271" s="253">
        <v>210.5</v>
      </c>
      <c r="G271" s="253"/>
      <c r="H271" s="253"/>
      <c r="I271" s="253"/>
      <c r="J271" s="253"/>
      <c r="K271" s="253">
        <v>15</v>
      </c>
      <c r="L271" s="253">
        <f t="shared" si="4"/>
        <v>225.5</v>
      </c>
      <c r="M271" s="253"/>
      <c r="N271" s="249"/>
      <c r="O271" s="249"/>
      <c r="P271" s="249"/>
      <c r="Q271" s="249"/>
      <c r="R271" s="249"/>
      <c r="S271" s="249"/>
      <c r="T271" s="249"/>
      <c r="U271" s="249"/>
      <c r="V271" s="249"/>
      <c r="W271" s="249"/>
    </row>
    <row r="272" spans="1:23" ht="13.9">
      <c r="A272" s="250">
        <v>289</v>
      </c>
      <c r="B272" s="253" t="s">
        <v>3631</v>
      </c>
      <c r="C272" s="254">
        <v>45988</v>
      </c>
      <c r="D272" s="253" t="s">
        <v>3337</v>
      </c>
      <c r="E272" s="253" t="s">
        <v>3439</v>
      </c>
      <c r="F272" s="253">
        <v>184.5</v>
      </c>
      <c r="G272" s="253"/>
      <c r="H272" s="253"/>
      <c r="I272" s="253"/>
      <c r="J272" s="253"/>
      <c r="K272" s="253">
        <v>15</v>
      </c>
      <c r="L272" s="253">
        <f t="shared" si="4"/>
        <v>199.5</v>
      </c>
      <c r="M272" s="253"/>
      <c r="N272" s="249"/>
      <c r="O272" s="249"/>
      <c r="P272" s="249"/>
      <c r="Q272" s="249"/>
      <c r="R272" s="249"/>
      <c r="S272" s="249"/>
      <c r="T272" s="249"/>
      <c r="U272" s="249"/>
      <c r="V272" s="249"/>
      <c r="W272" s="249"/>
    </row>
    <row r="273" spans="1:23" ht="13.9">
      <c r="A273" s="250">
        <v>290</v>
      </c>
      <c r="B273" s="253" t="s">
        <v>3632</v>
      </c>
      <c r="C273" s="254">
        <v>45986</v>
      </c>
      <c r="D273" s="253" t="s">
        <v>3633</v>
      </c>
      <c r="E273" s="253" t="s">
        <v>3634</v>
      </c>
      <c r="F273" s="253">
        <v>209</v>
      </c>
      <c r="G273" s="253"/>
      <c r="H273" s="253"/>
      <c r="I273" s="253"/>
      <c r="J273" s="253"/>
      <c r="K273" s="253">
        <v>15</v>
      </c>
      <c r="L273" s="253">
        <f t="shared" si="4"/>
        <v>224</v>
      </c>
      <c r="M273" s="253"/>
      <c r="N273" s="249"/>
      <c r="O273" s="249"/>
      <c r="P273" s="249"/>
      <c r="Q273" s="249"/>
      <c r="R273" s="249"/>
      <c r="S273" s="249"/>
      <c r="T273" s="249"/>
      <c r="U273" s="249"/>
      <c r="V273" s="249"/>
      <c r="W273" s="249"/>
    </row>
    <row r="274" spans="1:23" ht="13.9">
      <c r="A274" s="250">
        <v>291</v>
      </c>
      <c r="B274" s="253" t="s">
        <v>3632</v>
      </c>
      <c r="C274" s="254">
        <v>45988</v>
      </c>
      <c r="D274" s="253" t="s">
        <v>3635</v>
      </c>
      <c r="E274" s="253" t="s">
        <v>3568</v>
      </c>
      <c r="F274" s="253">
        <v>201.5</v>
      </c>
      <c r="G274" s="253"/>
      <c r="H274" s="253"/>
      <c r="I274" s="253"/>
      <c r="J274" s="253"/>
      <c r="K274" s="253">
        <v>15</v>
      </c>
      <c r="L274" s="253">
        <f t="shared" si="4"/>
        <v>216.5</v>
      </c>
      <c r="M274" s="253"/>
      <c r="N274" s="249"/>
      <c r="O274" s="249"/>
      <c r="P274" s="249"/>
      <c r="Q274" s="249"/>
      <c r="R274" s="249"/>
      <c r="S274" s="249"/>
      <c r="T274" s="249"/>
      <c r="U274" s="249"/>
      <c r="V274" s="249"/>
      <c r="W274" s="249"/>
    </row>
    <row r="275" spans="1:23" ht="13.9">
      <c r="A275" s="250">
        <v>292</v>
      </c>
      <c r="B275" s="253" t="s">
        <v>3636</v>
      </c>
      <c r="C275" s="254">
        <v>45986</v>
      </c>
      <c r="D275" s="253" t="s">
        <v>3361</v>
      </c>
      <c r="E275" s="253" t="s">
        <v>3393</v>
      </c>
      <c r="F275" s="253">
        <v>197.5</v>
      </c>
      <c r="G275" s="253"/>
      <c r="H275" s="253"/>
      <c r="I275" s="253"/>
      <c r="J275" s="253"/>
      <c r="K275" s="253">
        <v>15</v>
      </c>
      <c r="L275" s="253">
        <f t="shared" si="4"/>
        <v>212.5</v>
      </c>
      <c r="M275" s="253"/>
      <c r="N275" s="249"/>
      <c r="O275" s="249"/>
      <c r="P275" s="249"/>
      <c r="Q275" s="249"/>
      <c r="R275" s="249"/>
      <c r="S275" s="249"/>
      <c r="T275" s="249"/>
      <c r="U275" s="249"/>
      <c r="V275" s="249"/>
      <c r="W275" s="249"/>
    </row>
    <row r="276" spans="1:23" ht="13.9">
      <c r="A276" s="250">
        <v>293</v>
      </c>
      <c r="B276" s="253" t="s">
        <v>3636</v>
      </c>
      <c r="C276" s="254">
        <v>45987</v>
      </c>
      <c r="D276" s="253" t="s">
        <v>3337</v>
      </c>
      <c r="E276" s="253" t="s">
        <v>3396</v>
      </c>
      <c r="F276" s="253">
        <v>184.5</v>
      </c>
      <c r="G276" s="253"/>
      <c r="H276" s="253"/>
      <c r="I276" s="253"/>
      <c r="J276" s="253"/>
      <c r="K276" s="253">
        <v>15</v>
      </c>
      <c r="L276" s="253">
        <f t="shared" si="4"/>
        <v>199.5</v>
      </c>
      <c r="M276" s="253"/>
      <c r="N276" s="249"/>
      <c r="O276" s="249"/>
      <c r="P276" s="249"/>
      <c r="Q276" s="249"/>
      <c r="R276" s="249"/>
      <c r="S276" s="249"/>
      <c r="T276" s="249"/>
      <c r="U276" s="249"/>
      <c r="V276" s="249"/>
      <c r="W276" s="249"/>
    </row>
    <row r="277" spans="1:23" ht="13.9">
      <c r="A277" s="250">
        <v>294</v>
      </c>
      <c r="B277" s="253" t="s">
        <v>3637</v>
      </c>
      <c r="C277" s="254">
        <v>45986</v>
      </c>
      <c r="D277" s="253" t="s">
        <v>3361</v>
      </c>
      <c r="E277" s="253" t="s">
        <v>3430</v>
      </c>
      <c r="F277" s="253">
        <v>210.5</v>
      </c>
      <c r="G277" s="253"/>
      <c r="H277" s="253"/>
      <c r="I277" s="253"/>
      <c r="J277" s="253"/>
      <c r="K277" s="253">
        <v>15</v>
      </c>
      <c r="L277" s="253">
        <f t="shared" si="4"/>
        <v>225.5</v>
      </c>
      <c r="M277" s="253"/>
      <c r="N277" s="249"/>
      <c r="O277" s="249"/>
      <c r="P277" s="249"/>
      <c r="Q277" s="249"/>
      <c r="R277" s="249"/>
      <c r="S277" s="249"/>
      <c r="T277" s="249"/>
      <c r="U277" s="249"/>
      <c r="V277" s="249"/>
      <c r="W277" s="249"/>
    </row>
    <row r="278" spans="1:23" ht="13.9">
      <c r="A278" s="250">
        <v>295</v>
      </c>
      <c r="B278" s="253" t="s">
        <v>3638</v>
      </c>
      <c r="C278" s="254">
        <v>45986</v>
      </c>
      <c r="D278" s="253" t="s">
        <v>3365</v>
      </c>
      <c r="E278" s="253" t="s">
        <v>3442</v>
      </c>
      <c r="F278" s="253">
        <v>178.5</v>
      </c>
      <c r="G278" s="253"/>
      <c r="H278" s="253"/>
      <c r="I278" s="253"/>
      <c r="J278" s="253"/>
      <c r="K278" s="253">
        <v>15</v>
      </c>
      <c r="L278" s="253">
        <f t="shared" si="4"/>
        <v>193.5</v>
      </c>
      <c r="M278" s="253"/>
      <c r="N278" s="249"/>
      <c r="O278" s="249"/>
      <c r="P278" s="249"/>
      <c r="Q278" s="249"/>
      <c r="R278" s="249"/>
      <c r="S278" s="249"/>
      <c r="T278" s="249"/>
      <c r="U278" s="249"/>
      <c r="V278" s="249"/>
      <c r="W278" s="249"/>
    </row>
    <row r="279" spans="1:23" ht="13.9">
      <c r="A279" s="250">
        <v>296</v>
      </c>
      <c r="B279" s="253" t="s">
        <v>3638</v>
      </c>
      <c r="C279" s="254">
        <v>45988</v>
      </c>
      <c r="D279" s="253" t="s">
        <v>3443</v>
      </c>
      <c r="E279" s="253" t="s">
        <v>3444</v>
      </c>
      <c r="F279" s="253">
        <v>178.5</v>
      </c>
      <c r="G279" s="253"/>
      <c r="H279" s="253"/>
      <c r="I279" s="253"/>
      <c r="J279" s="253"/>
      <c r="K279" s="253">
        <v>15</v>
      </c>
      <c r="L279" s="253">
        <f t="shared" si="4"/>
        <v>193.5</v>
      </c>
      <c r="M279" s="253"/>
      <c r="N279" s="249"/>
      <c r="O279" s="249"/>
      <c r="P279" s="249"/>
      <c r="Q279" s="249"/>
      <c r="R279" s="249"/>
      <c r="S279" s="249"/>
      <c r="T279" s="249"/>
      <c r="U279" s="249"/>
      <c r="V279" s="249"/>
      <c r="W279" s="249"/>
    </row>
    <row r="280" spans="1:23" ht="13.9">
      <c r="A280" s="250">
        <v>297</v>
      </c>
      <c r="B280" s="253" t="s">
        <v>3639</v>
      </c>
      <c r="C280" s="254">
        <v>45985</v>
      </c>
      <c r="D280" s="253" t="s">
        <v>3432</v>
      </c>
      <c r="E280" s="253" t="s">
        <v>3357</v>
      </c>
      <c r="F280" s="253"/>
      <c r="G280" s="253"/>
      <c r="H280" s="253">
        <v>15</v>
      </c>
      <c r="I280" s="253"/>
      <c r="J280" s="253"/>
      <c r="K280" s="253"/>
      <c r="L280" s="253">
        <f t="shared" si="4"/>
        <v>15</v>
      </c>
      <c r="M280" s="253" t="s">
        <v>3399</v>
      </c>
      <c r="N280" s="249"/>
      <c r="O280" s="249"/>
      <c r="P280" s="249"/>
      <c r="Q280" s="249"/>
      <c r="R280" s="249"/>
      <c r="S280" s="249"/>
      <c r="T280" s="249"/>
      <c r="U280" s="249"/>
      <c r="V280" s="249"/>
      <c r="W280" s="249"/>
    </row>
    <row r="281" spans="1:23" ht="13.9">
      <c r="A281" s="250">
        <v>298</v>
      </c>
      <c r="B281" s="253" t="s">
        <v>3639</v>
      </c>
      <c r="C281" s="254">
        <v>45988</v>
      </c>
      <c r="D281" s="253" t="s">
        <v>3407</v>
      </c>
      <c r="E281" s="253" t="s">
        <v>3408</v>
      </c>
      <c r="F281" s="253"/>
      <c r="G281" s="253">
        <v>10</v>
      </c>
      <c r="H281" s="253">
        <v>15</v>
      </c>
      <c r="I281" s="253"/>
      <c r="J281" s="253"/>
      <c r="K281" s="253"/>
      <c r="L281" s="253">
        <f t="shared" si="4"/>
        <v>25</v>
      </c>
      <c r="M281" s="253" t="s">
        <v>3399</v>
      </c>
      <c r="N281" s="249"/>
      <c r="O281" s="249"/>
      <c r="P281" s="249"/>
      <c r="Q281" s="249"/>
      <c r="R281" s="249"/>
      <c r="S281" s="249"/>
      <c r="T281" s="249"/>
      <c r="U281" s="249"/>
      <c r="V281" s="249"/>
      <c r="W281" s="249"/>
    </row>
    <row r="282" spans="1:23" ht="13.9">
      <c r="A282" s="250">
        <v>299</v>
      </c>
      <c r="B282" s="253" t="s">
        <v>3640</v>
      </c>
      <c r="C282" s="254">
        <v>45986</v>
      </c>
      <c r="D282" s="253" t="s">
        <v>3356</v>
      </c>
      <c r="E282" s="253" t="s">
        <v>3428</v>
      </c>
      <c r="F282" s="253">
        <v>198</v>
      </c>
      <c r="G282" s="253"/>
      <c r="H282" s="253"/>
      <c r="I282" s="253"/>
      <c r="J282" s="253"/>
      <c r="K282" s="253">
        <v>15</v>
      </c>
      <c r="L282" s="253">
        <f t="shared" si="4"/>
        <v>213</v>
      </c>
      <c r="M282" s="253"/>
      <c r="N282" s="249"/>
      <c r="O282" s="249"/>
      <c r="P282" s="249"/>
      <c r="Q282" s="249"/>
      <c r="R282" s="249"/>
      <c r="S282" s="249"/>
      <c r="T282" s="249"/>
      <c r="U282" s="249"/>
      <c r="V282" s="249"/>
      <c r="W282" s="249"/>
    </row>
    <row r="283" spans="1:23" ht="13.9">
      <c r="A283" s="250">
        <v>300</v>
      </c>
      <c r="B283" s="253" t="s">
        <v>3640</v>
      </c>
      <c r="C283" s="254">
        <v>45987</v>
      </c>
      <c r="D283" s="253" t="s">
        <v>3337</v>
      </c>
      <c r="E283" s="253" t="s">
        <v>3439</v>
      </c>
      <c r="F283" s="253">
        <v>184.5</v>
      </c>
      <c r="G283" s="253"/>
      <c r="H283" s="253"/>
      <c r="I283" s="253"/>
      <c r="J283" s="253"/>
      <c r="K283" s="253">
        <v>15</v>
      </c>
      <c r="L283" s="253">
        <f t="shared" si="4"/>
        <v>199.5</v>
      </c>
      <c r="M283" s="253"/>
      <c r="N283" s="249"/>
      <c r="O283" s="249"/>
      <c r="P283" s="249"/>
      <c r="Q283" s="249"/>
      <c r="R283" s="249"/>
      <c r="S283" s="249"/>
      <c r="T283" s="249"/>
      <c r="U283" s="249"/>
      <c r="V283" s="249"/>
      <c r="W283" s="249"/>
    </row>
    <row r="284" spans="1:23" ht="13.9">
      <c r="A284" s="250">
        <v>301</v>
      </c>
      <c r="B284" s="253" t="s">
        <v>3641</v>
      </c>
      <c r="C284" s="254">
        <v>45986</v>
      </c>
      <c r="D284" s="253" t="s">
        <v>3361</v>
      </c>
      <c r="E284" s="253" t="s">
        <v>3393</v>
      </c>
      <c r="F284" s="253">
        <v>197.5</v>
      </c>
      <c r="G284" s="253"/>
      <c r="H284" s="253"/>
      <c r="I284" s="253"/>
      <c r="J284" s="253"/>
      <c r="K284" s="253">
        <v>15</v>
      </c>
      <c r="L284" s="253">
        <f t="shared" si="4"/>
        <v>212.5</v>
      </c>
      <c r="M284" s="253"/>
      <c r="N284" s="249"/>
      <c r="O284" s="249"/>
      <c r="P284" s="249"/>
      <c r="Q284" s="249"/>
      <c r="R284" s="249"/>
      <c r="S284" s="249"/>
      <c r="T284" s="249"/>
      <c r="U284" s="249"/>
      <c r="V284" s="249"/>
      <c r="W284" s="249"/>
    </row>
    <row r="285" spans="1:23" ht="13.9">
      <c r="A285" s="250">
        <v>302</v>
      </c>
      <c r="B285" s="253" t="s">
        <v>3641</v>
      </c>
      <c r="C285" s="254">
        <v>45988</v>
      </c>
      <c r="D285" s="253" t="s">
        <v>3337</v>
      </c>
      <c r="E285" s="253" t="s">
        <v>3338</v>
      </c>
      <c r="F285" s="253">
        <v>210.5</v>
      </c>
      <c r="G285" s="253"/>
      <c r="H285" s="253"/>
      <c r="I285" s="253"/>
      <c r="J285" s="253"/>
      <c r="K285" s="253">
        <v>15</v>
      </c>
      <c r="L285" s="253">
        <f t="shared" si="4"/>
        <v>225.5</v>
      </c>
      <c r="M285" s="253"/>
      <c r="N285" s="249"/>
      <c r="O285" s="249"/>
      <c r="P285" s="249"/>
      <c r="Q285" s="249"/>
      <c r="R285" s="249"/>
      <c r="S285" s="249"/>
      <c r="T285" s="249"/>
      <c r="U285" s="249"/>
      <c r="V285" s="249"/>
      <c r="W285" s="249"/>
    </row>
    <row r="286" spans="1:23" ht="13.9">
      <c r="A286" s="250">
        <v>303</v>
      </c>
      <c r="B286" s="253" t="s">
        <v>3642</v>
      </c>
      <c r="C286" s="254">
        <v>45988</v>
      </c>
      <c r="D286" s="253" t="s">
        <v>3443</v>
      </c>
      <c r="E286" s="253" t="s">
        <v>3444</v>
      </c>
      <c r="F286" s="253">
        <v>178.5</v>
      </c>
      <c r="G286" s="253"/>
      <c r="H286" s="253"/>
      <c r="I286" s="253"/>
      <c r="J286" s="253"/>
      <c r="K286" s="253">
        <v>15</v>
      </c>
      <c r="L286" s="253">
        <f t="shared" si="4"/>
        <v>193.5</v>
      </c>
      <c r="M286" s="253"/>
      <c r="N286" s="249"/>
      <c r="O286" s="249"/>
      <c r="P286" s="249"/>
      <c r="Q286" s="249"/>
      <c r="R286" s="249"/>
      <c r="S286" s="249"/>
      <c r="T286" s="249"/>
      <c r="U286" s="249"/>
      <c r="V286" s="249"/>
      <c r="W286" s="249"/>
    </row>
    <row r="287" spans="1:23" ht="13.9">
      <c r="A287" s="250">
        <v>305</v>
      </c>
      <c r="B287" s="253" t="s">
        <v>3643</v>
      </c>
      <c r="C287" s="254">
        <v>45986</v>
      </c>
      <c r="D287" s="253" t="s">
        <v>3361</v>
      </c>
      <c r="E287" s="253" t="s">
        <v>3430</v>
      </c>
      <c r="F287" s="253"/>
      <c r="G287" s="253"/>
      <c r="H287" s="253">
        <v>15</v>
      </c>
      <c r="I287" s="253">
        <v>337</v>
      </c>
      <c r="J287" s="253">
        <v>15</v>
      </c>
      <c r="K287" s="253">
        <v>15</v>
      </c>
      <c r="L287" s="253">
        <f t="shared" si="4"/>
        <v>382</v>
      </c>
      <c r="M287" s="253" t="s">
        <v>3479</v>
      </c>
      <c r="N287" s="249"/>
      <c r="O287" s="249"/>
      <c r="P287" s="249"/>
      <c r="Q287" s="249"/>
      <c r="R287" s="249"/>
      <c r="S287" s="249"/>
      <c r="T287" s="249"/>
      <c r="U287" s="249"/>
      <c r="V287" s="249"/>
      <c r="W287" s="249"/>
    </row>
    <row r="288" spans="1:23" ht="13.9">
      <c r="A288" s="250">
        <v>306</v>
      </c>
      <c r="B288" s="253" t="s">
        <v>3643</v>
      </c>
      <c r="C288" s="254">
        <v>45988</v>
      </c>
      <c r="D288" s="253" t="s">
        <v>3407</v>
      </c>
      <c r="E288" s="253" t="s">
        <v>3408</v>
      </c>
      <c r="F288" s="253">
        <v>321</v>
      </c>
      <c r="G288" s="253"/>
      <c r="H288" s="253"/>
      <c r="I288" s="253"/>
      <c r="J288" s="253"/>
      <c r="K288" s="253">
        <v>15</v>
      </c>
      <c r="L288" s="253">
        <f t="shared" si="4"/>
        <v>336</v>
      </c>
      <c r="M288" s="253"/>
      <c r="N288" s="249"/>
      <c r="O288" s="249"/>
      <c r="P288" s="249"/>
      <c r="Q288" s="249"/>
      <c r="R288" s="249"/>
      <c r="S288" s="249"/>
      <c r="T288" s="249"/>
      <c r="U288" s="249"/>
      <c r="V288" s="249"/>
      <c r="W288" s="249"/>
    </row>
    <row r="289" spans="1:23" ht="13.9">
      <c r="A289" s="250">
        <v>307</v>
      </c>
      <c r="B289" s="253" t="s">
        <v>3644</v>
      </c>
      <c r="C289" s="254">
        <v>45986</v>
      </c>
      <c r="D289" s="253" t="s">
        <v>3368</v>
      </c>
      <c r="E289" s="253" t="s">
        <v>3369</v>
      </c>
      <c r="F289" s="253">
        <v>640</v>
      </c>
      <c r="G289" s="253"/>
      <c r="H289" s="253"/>
      <c r="I289" s="253"/>
      <c r="J289" s="253"/>
      <c r="K289" s="253">
        <v>15</v>
      </c>
      <c r="L289" s="253">
        <f t="shared" si="4"/>
        <v>655</v>
      </c>
      <c r="M289" s="253"/>
      <c r="N289" s="249"/>
      <c r="O289" s="249"/>
      <c r="P289" s="249"/>
      <c r="Q289" s="249"/>
      <c r="R289" s="249"/>
      <c r="S289" s="249"/>
      <c r="T289" s="249"/>
      <c r="U289" s="249"/>
      <c r="V289" s="249"/>
      <c r="W289" s="249"/>
    </row>
    <row r="290" spans="1:23" ht="13.9">
      <c r="A290" s="250">
        <v>308</v>
      </c>
      <c r="B290" s="253" t="s">
        <v>3644</v>
      </c>
      <c r="C290" s="254">
        <v>45988</v>
      </c>
      <c r="D290" s="253" t="s">
        <v>3370</v>
      </c>
      <c r="E290" s="253" t="s">
        <v>3371</v>
      </c>
      <c r="F290" s="253">
        <v>634</v>
      </c>
      <c r="G290" s="253"/>
      <c r="H290" s="253"/>
      <c r="I290" s="253"/>
      <c r="J290" s="253"/>
      <c r="K290" s="253">
        <v>15</v>
      </c>
      <c r="L290" s="253">
        <f t="shared" si="4"/>
        <v>649</v>
      </c>
      <c r="M290" s="253"/>
      <c r="N290" s="249"/>
      <c r="O290" s="249"/>
      <c r="P290" s="249"/>
      <c r="Q290" s="249"/>
      <c r="R290" s="249"/>
      <c r="S290" s="249"/>
      <c r="T290" s="249"/>
      <c r="U290" s="249"/>
      <c r="V290" s="249"/>
      <c r="W290" s="249"/>
    </row>
    <row r="291" spans="1:23" ht="13.9">
      <c r="A291" s="250">
        <v>309</v>
      </c>
      <c r="B291" s="253" t="s">
        <v>3645</v>
      </c>
      <c r="C291" s="254">
        <v>45988</v>
      </c>
      <c r="D291" s="253" t="s">
        <v>3337</v>
      </c>
      <c r="E291" s="253" t="s">
        <v>3451</v>
      </c>
      <c r="F291" s="253">
        <v>612</v>
      </c>
      <c r="G291" s="253"/>
      <c r="H291" s="253"/>
      <c r="I291" s="253"/>
      <c r="J291" s="253"/>
      <c r="K291" s="253">
        <v>15</v>
      </c>
      <c r="L291" s="253">
        <f t="shared" si="4"/>
        <v>627</v>
      </c>
      <c r="M291" s="253"/>
      <c r="N291" s="249"/>
      <c r="O291" s="249"/>
      <c r="P291" s="249"/>
      <c r="Q291" s="249"/>
      <c r="R291" s="249"/>
      <c r="S291" s="249"/>
      <c r="T291" s="249"/>
      <c r="U291" s="249"/>
      <c r="V291" s="249"/>
      <c r="W291" s="249"/>
    </row>
    <row r="292" spans="1:23" ht="13.9">
      <c r="A292" s="250">
        <v>310</v>
      </c>
      <c r="B292" s="253" t="s">
        <v>3646</v>
      </c>
      <c r="C292" s="254">
        <v>45986</v>
      </c>
      <c r="D292" s="253" t="s">
        <v>3361</v>
      </c>
      <c r="E292" s="253" t="s">
        <v>3362</v>
      </c>
      <c r="F292" s="253">
        <v>210.5</v>
      </c>
      <c r="G292" s="253"/>
      <c r="H292" s="253"/>
      <c r="I292" s="253"/>
      <c r="J292" s="253"/>
      <c r="K292" s="253">
        <v>15</v>
      </c>
      <c r="L292" s="253">
        <f t="shared" si="4"/>
        <v>225.5</v>
      </c>
      <c r="M292" s="253"/>
      <c r="N292" s="249"/>
      <c r="O292" s="249"/>
      <c r="P292" s="249"/>
      <c r="Q292" s="249"/>
      <c r="R292" s="249"/>
      <c r="S292" s="249"/>
      <c r="T292" s="249"/>
      <c r="U292" s="249"/>
      <c r="V292" s="249"/>
      <c r="W292" s="249"/>
    </row>
    <row r="293" spans="1:23" ht="13.9">
      <c r="A293" s="250">
        <v>311</v>
      </c>
      <c r="B293" s="253" t="s">
        <v>3646</v>
      </c>
      <c r="C293" s="254">
        <v>45988</v>
      </c>
      <c r="D293" s="253" t="s">
        <v>3337</v>
      </c>
      <c r="E293" s="253" t="s">
        <v>3647</v>
      </c>
      <c r="F293" s="253"/>
      <c r="G293" s="253"/>
      <c r="H293" s="253">
        <v>15</v>
      </c>
      <c r="I293" s="253"/>
      <c r="J293" s="253"/>
      <c r="K293" s="253"/>
      <c r="L293" s="253">
        <f t="shared" si="4"/>
        <v>15</v>
      </c>
      <c r="M293" s="253" t="s">
        <v>3399</v>
      </c>
      <c r="N293" s="249"/>
      <c r="O293" s="249"/>
      <c r="P293" s="249"/>
      <c r="Q293" s="249"/>
      <c r="R293" s="249"/>
      <c r="S293" s="249"/>
      <c r="T293" s="249"/>
      <c r="U293" s="249"/>
      <c r="V293" s="249"/>
      <c r="W293" s="249"/>
    </row>
    <row r="294" spans="1:23" ht="13.9">
      <c r="A294" s="250">
        <v>312</v>
      </c>
      <c r="B294" s="253" t="s">
        <v>3648</v>
      </c>
      <c r="C294" s="254">
        <v>45986</v>
      </c>
      <c r="D294" s="253" t="s">
        <v>3361</v>
      </c>
      <c r="E294" s="253" t="s">
        <v>3430</v>
      </c>
      <c r="F294" s="253">
        <v>210.5</v>
      </c>
      <c r="G294" s="253"/>
      <c r="H294" s="253"/>
      <c r="I294" s="253"/>
      <c r="J294" s="253"/>
      <c r="K294" s="253">
        <v>15</v>
      </c>
      <c r="L294" s="253">
        <f t="shared" si="4"/>
        <v>225.5</v>
      </c>
      <c r="M294" s="253"/>
      <c r="N294" s="249"/>
      <c r="O294" s="249"/>
      <c r="P294" s="249"/>
      <c r="Q294" s="249"/>
      <c r="R294" s="249"/>
      <c r="S294" s="249"/>
      <c r="T294" s="249"/>
      <c r="U294" s="249"/>
      <c r="V294" s="249"/>
      <c r="W294" s="249"/>
    </row>
    <row r="295" spans="1:23" ht="13.9">
      <c r="A295" s="250">
        <v>313</v>
      </c>
      <c r="B295" s="253" t="s">
        <v>3648</v>
      </c>
      <c r="C295" s="254">
        <v>45988</v>
      </c>
      <c r="D295" s="253" t="s">
        <v>3407</v>
      </c>
      <c r="E295" s="253" t="s">
        <v>3408</v>
      </c>
      <c r="F295" s="253">
        <v>200.5</v>
      </c>
      <c r="G295" s="253"/>
      <c r="H295" s="253"/>
      <c r="I295" s="253"/>
      <c r="J295" s="253"/>
      <c r="K295" s="253">
        <v>15</v>
      </c>
      <c r="L295" s="253">
        <f t="shared" si="4"/>
        <v>215.5</v>
      </c>
      <c r="M295" s="253"/>
      <c r="N295" s="249"/>
      <c r="O295" s="249"/>
      <c r="P295" s="249"/>
      <c r="Q295" s="249"/>
      <c r="R295" s="249"/>
      <c r="S295" s="249"/>
      <c r="T295" s="249"/>
      <c r="U295" s="249"/>
      <c r="V295" s="249"/>
      <c r="W295" s="249"/>
    </row>
    <row r="296" spans="1:23" ht="13.9">
      <c r="A296" s="250">
        <v>314</v>
      </c>
      <c r="B296" s="253" t="s">
        <v>3649</v>
      </c>
      <c r="C296" s="254">
        <v>45986</v>
      </c>
      <c r="D296" s="253" t="s">
        <v>3365</v>
      </c>
      <c r="E296" s="253" t="s">
        <v>3598</v>
      </c>
      <c r="F296" s="253">
        <v>188</v>
      </c>
      <c r="G296" s="253"/>
      <c r="H296" s="253"/>
      <c r="I296" s="253"/>
      <c r="J296" s="253"/>
      <c r="K296" s="253">
        <v>15</v>
      </c>
      <c r="L296" s="253">
        <f t="shared" si="4"/>
        <v>203</v>
      </c>
      <c r="M296" s="253"/>
      <c r="N296" s="249"/>
      <c r="O296" s="249"/>
      <c r="P296" s="249"/>
      <c r="Q296" s="249"/>
      <c r="R296" s="249"/>
      <c r="S296" s="249"/>
      <c r="T296" s="249"/>
      <c r="U296" s="249"/>
      <c r="V296" s="249"/>
      <c r="W296" s="249"/>
    </row>
    <row r="297" spans="1:23" ht="13.9">
      <c r="A297" s="250">
        <v>315</v>
      </c>
      <c r="B297" s="253" t="s">
        <v>3650</v>
      </c>
      <c r="C297" s="254">
        <v>45988</v>
      </c>
      <c r="D297" s="253" t="s">
        <v>3407</v>
      </c>
      <c r="E297" s="253" t="s">
        <v>3408</v>
      </c>
      <c r="F297" s="253">
        <v>200.5</v>
      </c>
      <c r="G297" s="253"/>
      <c r="H297" s="253"/>
      <c r="I297" s="253"/>
      <c r="J297" s="253"/>
      <c r="K297" s="253">
        <v>15</v>
      </c>
      <c r="L297" s="253">
        <f t="shared" si="4"/>
        <v>215.5</v>
      </c>
      <c r="M297" s="253"/>
      <c r="N297" s="249"/>
      <c r="O297" s="249"/>
      <c r="P297" s="249"/>
      <c r="Q297" s="249"/>
      <c r="R297" s="249"/>
      <c r="S297" s="249"/>
      <c r="T297" s="249"/>
      <c r="U297" s="249"/>
      <c r="V297" s="249"/>
      <c r="W297" s="249"/>
    </row>
    <row r="298" spans="1:23" ht="13.9">
      <c r="A298" s="250">
        <v>316</v>
      </c>
      <c r="B298" s="253" t="s">
        <v>3651</v>
      </c>
      <c r="C298" s="254">
        <v>45986</v>
      </c>
      <c r="D298" s="253" t="s">
        <v>3356</v>
      </c>
      <c r="E298" s="253" t="s">
        <v>3357</v>
      </c>
      <c r="F298" s="253">
        <v>164</v>
      </c>
      <c r="G298" s="253"/>
      <c r="H298" s="253"/>
      <c r="I298" s="253"/>
      <c r="J298" s="253"/>
      <c r="K298" s="253">
        <v>15</v>
      </c>
      <c r="L298" s="253">
        <f t="shared" si="4"/>
        <v>179</v>
      </c>
      <c r="M298" s="253"/>
      <c r="N298" s="249"/>
      <c r="O298" s="249"/>
      <c r="P298" s="249"/>
      <c r="Q298" s="249"/>
      <c r="R298" s="249"/>
      <c r="S298" s="249"/>
      <c r="T298" s="249"/>
      <c r="U298" s="249"/>
      <c r="V298" s="249"/>
      <c r="W298" s="249"/>
    </row>
    <row r="299" spans="1:23" ht="13.9">
      <c r="A299" s="250">
        <v>317</v>
      </c>
      <c r="B299" s="253" t="s">
        <v>3652</v>
      </c>
      <c r="C299" s="254">
        <v>45986</v>
      </c>
      <c r="D299" s="253" t="s">
        <v>3361</v>
      </c>
      <c r="E299" s="253" t="s">
        <v>3459</v>
      </c>
      <c r="F299" s="253">
        <v>210.5</v>
      </c>
      <c r="G299" s="253"/>
      <c r="H299" s="253"/>
      <c r="I299" s="253"/>
      <c r="J299" s="253"/>
      <c r="K299" s="253">
        <v>15</v>
      </c>
      <c r="L299" s="253">
        <f t="shared" si="4"/>
        <v>225.5</v>
      </c>
      <c r="M299" s="253"/>
      <c r="N299" s="249"/>
      <c r="O299" s="249"/>
      <c r="P299" s="249"/>
      <c r="Q299" s="249"/>
      <c r="R299" s="249"/>
      <c r="S299" s="249"/>
      <c r="T299" s="249"/>
      <c r="U299" s="249"/>
      <c r="V299" s="249"/>
      <c r="W299" s="249"/>
    </row>
    <row r="300" spans="1:23" ht="13.9">
      <c r="A300" s="250">
        <v>318</v>
      </c>
      <c r="B300" s="253" t="s">
        <v>3652</v>
      </c>
      <c r="C300" s="254">
        <v>45988</v>
      </c>
      <c r="D300" s="253" t="s">
        <v>3337</v>
      </c>
      <c r="E300" s="253" t="s">
        <v>3451</v>
      </c>
      <c r="F300" s="253">
        <v>184.5</v>
      </c>
      <c r="G300" s="253"/>
      <c r="H300" s="253"/>
      <c r="I300" s="253"/>
      <c r="J300" s="253"/>
      <c r="K300" s="253">
        <v>15</v>
      </c>
      <c r="L300" s="253">
        <f t="shared" si="4"/>
        <v>199.5</v>
      </c>
      <c r="M300" s="253"/>
      <c r="N300" s="249"/>
      <c r="O300" s="249"/>
      <c r="P300" s="249"/>
      <c r="Q300" s="249"/>
      <c r="R300" s="249"/>
      <c r="S300" s="249"/>
      <c r="T300" s="249"/>
      <c r="U300" s="249"/>
      <c r="V300" s="249"/>
      <c r="W300" s="249"/>
    </row>
    <row r="301" spans="1:23" ht="13.9">
      <c r="A301" s="250">
        <v>319</v>
      </c>
      <c r="B301" s="253" t="s">
        <v>3653</v>
      </c>
      <c r="C301" s="254">
        <v>45986</v>
      </c>
      <c r="D301" s="253" t="s">
        <v>3356</v>
      </c>
      <c r="E301" s="253" t="s">
        <v>3428</v>
      </c>
      <c r="F301" s="253">
        <v>198</v>
      </c>
      <c r="G301" s="253"/>
      <c r="H301" s="253"/>
      <c r="I301" s="253"/>
      <c r="J301" s="253"/>
      <c r="K301" s="253">
        <v>15</v>
      </c>
      <c r="L301" s="253">
        <f t="shared" si="4"/>
        <v>213</v>
      </c>
      <c r="M301" s="253"/>
      <c r="N301" s="249"/>
      <c r="O301" s="249"/>
      <c r="P301" s="249"/>
      <c r="Q301" s="249"/>
      <c r="R301" s="249"/>
      <c r="S301" s="249"/>
      <c r="T301" s="249"/>
      <c r="U301" s="249"/>
      <c r="V301" s="249"/>
      <c r="W301" s="249"/>
    </row>
    <row r="302" spans="1:23" ht="13.9">
      <c r="A302" s="250">
        <v>320</v>
      </c>
      <c r="B302" s="253" t="s">
        <v>3653</v>
      </c>
      <c r="C302" s="254">
        <v>45988</v>
      </c>
      <c r="D302" s="253" t="s">
        <v>3407</v>
      </c>
      <c r="E302" s="253" t="s">
        <v>3408</v>
      </c>
      <c r="F302" s="253">
        <v>200.5</v>
      </c>
      <c r="G302" s="253"/>
      <c r="H302" s="253"/>
      <c r="I302" s="253"/>
      <c r="J302" s="253"/>
      <c r="K302" s="253">
        <v>15</v>
      </c>
      <c r="L302" s="253">
        <f t="shared" si="4"/>
        <v>215.5</v>
      </c>
      <c r="M302" s="253"/>
      <c r="N302" s="249"/>
      <c r="O302" s="249"/>
      <c r="P302" s="249"/>
      <c r="Q302" s="249"/>
      <c r="R302" s="249"/>
      <c r="S302" s="249"/>
      <c r="T302" s="249"/>
      <c r="U302" s="249"/>
      <c r="V302" s="249"/>
      <c r="W302" s="249"/>
    </row>
    <row r="303" spans="1:23" ht="13.9">
      <c r="A303" s="250">
        <v>321</v>
      </c>
      <c r="B303" s="253" t="s">
        <v>3654</v>
      </c>
      <c r="C303" s="254">
        <v>45986</v>
      </c>
      <c r="D303" s="253" t="s">
        <v>3361</v>
      </c>
      <c r="E303" s="253" t="s">
        <v>3373</v>
      </c>
      <c r="F303" s="253">
        <v>651</v>
      </c>
      <c r="G303" s="253"/>
      <c r="H303" s="253"/>
      <c r="I303" s="253"/>
      <c r="J303" s="253"/>
      <c r="K303" s="253">
        <v>15</v>
      </c>
      <c r="L303" s="253">
        <f t="shared" si="4"/>
        <v>666</v>
      </c>
      <c r="M303" s="253"/>
      <c r="N303" s="249"/>
      <c r="O303" s="249"/>
      <c r="P303" s="249"/>
      <c r="Q303" s="249"/>
      <c r="R303" s="249"/>
      <c r="S303" s="249"/>
      <c r="T303" s="249"/>
      <c r="U303" s="249"/>
      <c r="V303" s="249"/>
      <c r="W303" s="249"/>
    </row>
    <row r="304" spans="1:23" ht="13.9">
      <c r="A304" s="250">
        <v>322</v>
      </c>
      <c r="B304" s="253" t="s">
        <v>3655</v>
      </c>
      <c r="C304" s="254">
        <v>45986</v>
      </c>
      <c r="D304" s="253" t="s">
        <v>3361</v>
      </c>
      <c r="E304" s="253" t="s">
        <v>3403</v>
      </c>
      <c r="F304" s="253"/>
      <c r="G304" s="253">
        <v>46.5</v>
      </c>
      <c r="H304" s="253">
        <v>15</v>
      </c>
      <c r="I304" s="253">
        <v>164</v>
      </c>
      <c r="J304" s="253">
        <v>15</v>
      </c>
      <c r="K304" s="253">
        <v>15</v>
      </c>
      <c r="L304" s="253">
        <f t="shared" si="4"/>
        <v>255.5</v>
      </c>
      <c r="M304" s="253" t="s">
        <v>3479</v>
      </c>
      <c r="N304" s="249"/>
      <c r="O304" s="249"/>
      <c r="P304" s="249"/>
      <c r="Q304" s="249"/>
      <c r="R304" s="249"/>
      <c r="S304" s="249"/>
      <c r="T304" s="249"/>
      <c r="U304" s="249"/>
      <c r="V304" s="249"/>
      <c r="W304" s="249"/>
    </row>
    <row r="305" spans="1:23" ht="13.9">
      <c r="A305" s="250">
        <v>325</v>
      </c>
      <c r="B305" s="253" t="s">
        <v>3655</v>
      </c>
      <c r="C305" s="254">
        <v>45988</v>
      </c>
      <c r="D305" s="253" t="s">
        <v>3374</v>
      </c>
      <c r="E305" s="253" t="s">
        <v>3359</v>
      </c>
      <c r="F305" s="253"/>
      <c r="G305" s="253"/>
      <c r="H305" s="253">
        <v>15</v>
      </c>
      <c r="I305" s="253">
        <v>198</v>
      </c>
      <c r="J305" s="253">
        <v>15</v>
      </c>
      <c r="K305" s="253">
        <v>15</v>
      </c>
      <c r="L305" s="253">
        <f t="shared" si="4"/>
        <v>243</v>
      </c>
      <c r="M305" s="253" t="s">
        <v>3479</v>
      </c>
      <c r="N305" s="249"/>
      <c r="O305" s="249"/>
      <c r="P305" s="249"/>
      <c r="Q305" s="249"/>
      <c r="R305" s="249"/>
      <c r="S305" s="249"/>
      <c r="T305" s="249"/>
      <c r="U305" s="249"/>
      <c r="V305" s="249"/>
      <c r="W305" s="249"/>
    </row>
    <row r="306" spans="1:23" ht="13.9">
      <c r="A306" s="250">
        <v>326</v>
      </c>
      <c r="B306" s="253" t="s">
        <v>3656</v>
      </c>
      <c r="C306" s="254">
        <v>45986</v>
      </c>
      <c r="D306" s="253" t="s">
        <v>3361</v>
      </c>
      <c r="E306" s="253" t="s">
        <v>3430</v>
      </c>
      <c r="F306" s="253">
        <v>651</v>
      </c>
      <c r="G306" s="253"/>
      <c r="H306" s="253"/>
      <c r="I306" s="253"/>
      <c r="J306" s="253"/>
      <c r="K306" s="253">
        <v>15</v>
      </c>
      <c r="L306" s="253">
        <f t="shared" si="4"/>
        <v>666</v>
      </c>
      <c r="M306" s="253"/>
      <c r="N306" s="249"/>
      <c r="O306" s="249"/>
      <c r="P306" s="249"/>
      <c r="Q306" s="249"/>
      <c r="R306" s="249"/>
      <c r="S306" s="249"/>
      <c r="T306" s="249"/>
      <c r="U306" s="249"/>
      <c r="V306" s="249"/>
      <c r="W306" s="249"/>
    </row>
    <row r="307" spans="1:23" ht="13.9">
      <c r="A307" s="250">
        <v>327</v>
      </c>
      <c r="B307" s="253" t="s">
        <v>3656</v>
      </c>
      <c r="C307" s="254">
        <v>45988</v>
      </c>
      <c r="D307" s="253" t="s">
        <v>3337</v>
      </c>
      <c r="E307" s="253" t="s">
        <v>3363</v>
      </c>
      <c r="F307" s="253">
        <v>612</v>
      </c>
      <c r="G307" s="253"/>
      <c r="H307" s="253"/>
      <c r="I307" s="253"/>
      <c r="J307" s="253"/>
      <c r="K307" s="253">
        <v>15</v>
      </c>
      <c r="L307" s="253">
        <f t="shared" si="4"/>
        <v>627</v>
      </c>
      <c r="M307" s="253"/>
      <c r="N307" s="249"/>
      <c r="O307" s="249"/>
      <c r="P307" s="249"/>
      <c r="Q307" s="249"/>
      <c r="R307" s="249"/>
      <c r="S307" s="249"/>
      <c r="T307" s="249"/>
      <c r="U307" s="249"/>
      <c r="V307" s="249"/>
      <c r="W307" s="249"/>
    </row>
    <row r="308" spans="1:23" ht="13.9">
      <c r="A308" s="250">
        <v>328</v>
      </c>
      <c r="B308" s="253" t="s">
        <v>3657</v>
      </c>
      <c r="C308" s="254">
        <v>45986</v>
      </c>
      <c r="D308" s="253" t="s">
        <v>3356</v>
      </c>
      <c r="E308" s="253" t="s">
        <v>3428</v>
      </c>
      <c r="F308" s="253">
        <v>198</v>
      </c>
      <c r="G308" s="253"/>
      <c r="H308" s="253"/>
      <c r="I308" s="253"/>
      <c r="J308" s="253"/>
      <c r="K308" s="253">
        <v>15</v>
      </c>
      <c r="L308" s="253">
        <f t="shared" si="4"/>
        <v>213</v>
      </c>
      <c r="M308" s="253"/>
      <c r="N308" s="249"/>
      <c r="O308" s="249"/>
      <c r="P308" s="249"/>
      <c r="Q308" s="249"/>
      <c r="R308" s="249"/>
      <c r="S308" s="249"/>
      <c r="T308" s="249"/>
      <c r="U308" s="249"/>
      <c r="V308" s="249"/>
      <c r="W308" s="249"/>
    </row>
    <row r="309" spans="1:23" ht="13.9">
      <c r="A309" s="250">
        <v>329</v>
      </c>
      <c r="B309" s="253" t="s">
        <v>3657</v>
      </c>
      <c r="C309" s="254">
        <v>45988</v>
      </c>
      <c r="D309" s="253" t="s">
        <v>3374</v>
      </c>
      <c r="E309" s="253" t="s">
        <v>3647</v>
      </c>
      <c r="F309" s="253">
        <v>195</v>
      </c>
      <c r="G309" s="253"/>
      <c r="H309" s="253"/>
      <c r="I309" s="253"/>
      <c r="J309" s="253"/>
      <c r="K309" s="253">
        <v>15</v>
      </c>
      <c r="L309" s="253">
        <f t="shared" si="4"/>
        <v>210</v>
      </c>
      <c r="M309" s="253"/>
      <c r="N309" s="249"/>
      <c r="O309" s="249"/>
      <c r="P309" s="249"/>
      <c r="Q309" s="249"/>
      <c r="R309" s="249"/>
      <c r="S309" s="249"/>
      <c r="T309" s="249"/>
      <c r="U309" s="249"/>
      <c r="V309" s="249"/>
      <c r="W309" s="249"/>
    </row>
    <row r="310" spans="1:23" ht="13.9">
      <c r="A310" s="250">
        <v>330</v>
      </c>
      <c r="B310" s="253" t="s">
        <v>3658</v>
      </c>
      <c r="C310" s="254">
        <v>45986</v>
      </c>
      <c r="D310" s="253" t="s">
        <v>3361</v>
      </c>
      <c r="E310" s="253" t="s">
        <v>3430</v>
      </c>
      <c r="F310" s="253">
        <v>210.5</v>
      </c>
      <c r="G310" s="253"/>
      <c r="H310" s="253"/>
      <c r="I310" s="253"/>
      <c r="J310" s="253"/>
      <c r="K310" s="253">
        <v>15</v>
      </c>
      <c r="L310" s="253">
        <f t="shared" si="4"/>
        <v>225.5</v>
      </c>
      <c r="M310" s="253"/>
      <c r="N310" s="249"/>
      <c r="O310" s="249"/>
      <c r="P310" s="249"/>
      <c r="Q310" s="249"/>
      <c r="R310" s="249"/>
      <c r="S310" s="249"/>
      <c r="T310" s="249"/>
      <c r="U310" s="249"/>
      <c r="V310" s="249"/>
      <c r="W310" s="249"/>
    </row>
    <row r="311" spans="1:23" ht="13.9">
      <c r="A311" s="250">
        <v>331</v>
      </c>
      <c r="B311" s="253" t="s">
        <v>3658</v>
      </c>
      <c r="C311" s="254">
        <v>45988</v>
      </c>
      <c r="D311" s="253" t="s">
        <v>3374</v>
      </c>
      <c r="E311" s="253" t="s">
        <v>3466</v>
      </c>
      <c r="F311" s="253">
        <v>195</v>
      </c>
      <c r="G311" s="253"/>
      <c r="H311" s="253"/>
      <c r="I311" s="253"/>
      <c r="J311" s="253"/>
      <c r="K311" s="253">
        <v>15</v>
      </c>
      <c r="L311" s="253">
        <f t="shared" si="4"/>
        <v>210</v>
      </c>
      <c r="M311" s="253"/>
      <c r="N311" s="249"/>
      <c r="O311" s="249"/>
      <c r="P311" s="249"/>
      <c r="Q311" s="249"/>
      <c r="R311" s="249"/>
      <c r="S311" s="249"/>
      <c r="T311" s="249"/>
      <c r="U311" s="249"/>
      <c r="V311" s="249"/>
      <c r="W311" s="249"/>
    </row>
    <row r="312" spans="1:23" ht="13.9">
      <c r="A312" s="250">
        <v>332</v>
      </c>
      <c r="B312" s="253" t="s">
        <v>3659</v>
      </c>
      <c r="C312" s="254">
        <v>45986</v>
      </c>
      <c r="D312" s="253" t="s">
        <v>3606</v>
      </c>
      <c r="E312" s="253" t="s">
        <v>3607</v>
      </c>
      <c r="F312" s="253">
        <v>214.5</v>
      </c>
      <c r="G312" s="253"/>
      <c r="H312" s="253"/>
      <c r="I312" s="253"/>
      <c r="J312" s="253"/>
      <c r="K312" s="253">
        <v>15</v>
      </c>
      <c r="L312" s="253">
        <f t="shared" si="4"/>
        <v>229.5</v>
      </c>
      <c r="M312" s="253"/>
      <c r="N312" s="249"/>
      <c r="O312" s="249"/>
      <c r="P312" s="249"/>
      <c r="Q312" s="249"/>
      <c r="R312" s="249"/>
      <c r="S312" s="249"/>
      <c r="T312" s="249"/>
      <c r="U312" s="249"/>
      <c r="V312" s="249"/>
      <c r="W312" s="249"/>
    </row>
    <row r="313" spans="1:23" ht="13.9">
      <c r="A313" s="250">
        <v>333</v>
      </c>
      <c r="B313" s="253" t="s">
        <v>3659</v>
      </c>
      <c r="C313" s="254">
        <v>45986</v>
      </c>
      <c r="D313" s="253" t="s">
        <v>3660</v>
      </c>
      <c r="E313" s="253" t="s">
        <v>3661</v>
      </c>
      <c r="F313" s="253">
        <v>124</v>
      </c>
      <c r="G313" s="253"/>
      <c r="H313" s="253"/>
      <c r="I313" s="253"/>
      <c r="J313" s="253"/>
      <c r="K313" s="253">
        <v>15</v>
      </c>
      <c r="L313" s="253">
        <f t="shared" si="4"/>
        <v>139</v>
      </c>
      <c r="M313" s="253"/>
      <c r="N313" s="249"/>
      <c r="O313" s="249"/>
      <c r="P313" s="249"/>
      <c r="Q313" s="249"/>
      <c r="R313" s="249"/>
      <c r="S313" s="249"/>
      <c r="T313" s="249"/>
      <c r="U313" s="249"/>
      <c r="V313" s="249"/>
      <c r="W313" s="249"/>
    </row>
    <row r="314" spans="1:23" ht="13.9">
      <c r="A314" s="250">
        <v>334</v>
      </c>
      <c r="B314" s="253" t="s">
        <v>3659</v>
      </c>
      <c r="C314" s="254">
        <v>45988</v>
      </c>
      <c r="D314" s="253" t="s">
        <v>3471</v>
      </c>
      <c r="E314" s="253" t="s">
        <v>3412</v>
      </c>
      <c r="F314" s="253"/>
      <c r="G314" s="253"/>
      <c r="H314" s="253">
        <v>15</v>
      </c>
      <c r="I314" s="253"/>
      <c r="J314" s="253"/>
      <c r="K314" s="253"/>
      <c r="L314" s="253">
        <f t="shared" si="4"/>
        <v>15</v>
      </c>
      <c r="M314" s="253" t="s">
        <v>3399</v>
      </c>
      <c r="N314" s="249"/>
      <c r="O314" s="249"/>
      <c r="P314" s="249"/>
      <c r="Q314" s="249"/>
      <c r="R314" s="249"/>
      <c r="S314" s="249"/>
      <c r="T314" s="249"/>
      <c r="U314" s="249"/>
      <c r="V314" s="249"/>
      <c r="W314" s="249"/>
    </row>
    <row r="315" spans="1:23" ht="13.9">
      <c r="A315" s="250">
        <v>335</v>
      </c>
      <c r="B315" s="253" t="s">
        <v>3659</v>
      </c>
      <c r="C315" s="254">
        <v>45988</v>
      </c>
      <c r="D315" s="253" t="s">
        <v>3662</v>
      </c>
      <c r="E315" s="253" t="s">
        <v>3663</v>
      </c>
      <c r="F315" s="253"/>
      <c r="G315" s="253"/>
      <c r="H315" s="253">
        <v>15</v>
      </c>
      <c r="I315" s="253"/>
      <c r="J315" s="253"/>
      <c r="K315" s="253"/>
      <c r="L315" s="253">
        <f t="shared" si="4"/>
        <v>15</v>
      </c>
      <c r="M315" s="253" t="s">
        <v>3399</v>
      </c>
      <c r="N315" s="249"/>
      <c r="O315" s="249"/>
      <c r="P315" s="249"/>
      <c r="Q315" s="249"/>
      <c r="R315" s="249"/>
      <c r="S315" s="249"/>
      <c r="T315" s="249"/>
      <c r="U315" s="249"/>
      <c r="V315" s="249"/>
      <c r="W315" s="249"/>
    </row>
    <row r="316" spans="1:23" ht="13.9">
      <c r="A316" s="250">
        <v>336</v>
      </c>
      <c r="B316" s="253" t="s">
        <v>3664</v>
      </c>
      <c r="C316" s="254">
        <v>45986</v>
      </c>
      <c r="D316" s="253" t="s">
        <v>3348</v>
      </c>
      <c r="E316" s="253" t="s">
        <v>3349</v>
      </c>
      <c r="F316" s="253">
        <v>213.5</v>
      </c>
      <c r="G316" s="253"/>
      <c r="H316" s="253"/>
      <c r="I316" s="253"/>
      <c r="J316" s="253"/>
      <c r="K316" s="253">
        <v>15</v>
      </c>
      <c r="L316" s="253">
        <f t="shared" si="4"/>
        <v>228.5</v>
      </c>
      <c r="M316" s="253"/>
      <c r="N316" s="249"/>
      <c r="O316" s="249"/>
      <c r="P316" s="249"/>
      <c r="Q316" s="249"/>
      <c r="R316" s="249"/>
      <c r="S316" s="249"/>
      <c r="T316" s="249"/>
      <c r="U316" s="249"/>
      <c r="V316" s="249"/>
      <c r="W316" s="249"/>
    </row>
    <row r="317" spans="1:23" ht="13.9">
      <c r="A317" s="250">
        <v>337</v>
      </c>
      <c r="B317" s="253" t="s">
        <v>3664</v>
      </c>
      <c r="C317" s="254">
        <v>45988</v>
      </c>
      <c r="D317" s="253" t="s">
        <v>3350</v>
      </c>
      <c r="E317" s="253" t="s">
        <v>3472</v>
      </c>
      <c r="F317" s="253"/>
      <c r="G317" s="253"/>
      <c r="H317" s="253">
        <v>15</v>
      </c>
      <c r="I317" s="253"/>
      <c r="J317" s="253"/>
      <c r="K317" s="253"/>
      <c r="L317" s="253">
        <f t="shared" si="4"/>
        <v>15</v>
      </c>
      <c r="M317" s="253" t="s">
        <v>3399</v>
      </c>
      <c r="N317" s="249"/>
      <c r="O317" s="249"/>
      <c r="P317" s="249"/>
      <c r="Q317" s="249"/>
      <c r="R317" s="249"/>
      <c r="S317" s="249"/>
      <c r="T317" s="249"/>
      <c r="U317" s="249"/>
      <c r="V317" s="249"/>
      <c r="W317" s="249"/>
    </row>
    <row r="318" spans="1:23" ht="13.9">
      <c r="A318" s="250">
        <v>338</v>
      </c>
      <c r="B318" s="253" t="s">
        <v>3665</v>
      </c>
      <c r="C318" s="254">
        <v>45986</v>
      </c>
      <c r="D318" s="253" t="s">
        <v>3361</v>
      </c>
      <c r="E318" s="253" t="s">
        <v>3362</v>
      </c>
      <c r="F318" s="253">
        <v>210.5</v>
      </c>
      <c r="G318" s="253"/>
      <c r="H318" s="253"/>
      <c r="I318" s="253"/>
      <c r="J318" s="253"/>
      <c r="K318" s="253">
        <v>15</v>
      </c>
      <c r="L318" s="253">
        <f t="shared" si="4"/>
        <v>225.5</v>
      </c>
      <c r="M318" s="253"/>
      <c r="N318" s="249"/>
      <c r="O318" s="249"/>
      <c r="P318" s="249"/>
      <c r="Q318" s="249"/>
      <c r="R318" s="249"/>
      <c r="S318" s="249"/>
      <c r="T318" s="249"/>
      <c r="U318" s="249"/>
      <c r="V318" s="249"/>
      <c r="W318" s="249"/>
    </row>
    <row r="319" spans="1:23" ht="13.9">
      <c r="A319" s="250">
        <v>339</v>
      </c>
      <c r="B319" s="253" t="s">
        <v>3665</v>
      </c>
      <c r="C319" s="254">
        <v>45988</v>
      </c>
      <c r="D319" s="253" t="s">
        <v>3374</v>
      </c>
      <c r="E319" s="253" t="s">
        <v>3375</v>
      </c>
      <c r="F319" s="253">
        <v>195</v>
      </c>
      <c r="G319" s="253"/>
      <c r="H319" s="253"/>
      <c r="I319" s="253"/>
      <c r="J319" s="253"/>
      <c r="K319" s="253">
        <v>15</v>
      </c>
      <c r="L319" s="253">
        <f t="shared" si="4"/>
        <v>210</v>
      </c>
      <c r="M319" s="253"/>
      <c r="N319" s="249"/>
      <c r="O319" s="249"/>
      <c r="P319" s="249"/>
      <c r="Q319" s="249"/>
      <c r="R319" s="249"/>
      <c r="S319" s="249"/>
      <c r="T319" s="249"/>
      <c r="U319" s="249"/>
      <c r="V319" s="249"/>
      <c r="W319" s="249"/>
    </row>
    <row r="320" spans="1:23" ht="13.9">
      <c r="A320" s="250">
        <v>340</v>
      </c>
      <c r="B320" s="253" t="s">
        <v>3666</v>
      </c>
      <c r="C320" s="254">
        <v>45986</v>
      </c>
      <c r="D320" s="253" t="s">
        <v>3365</v>
      </c>
      <c r="E320" s="253" t="s">
        <v>3667</v>
      </c>
      <c r="F320" s="253">
        <v>178.5</v>
      </c>
      <c r="G320" s="253"/>
      <c r="H320" s="253"/>
      <c r="I320" s="253"/>
      <c r="J320" s="253"/>
      <c r="K320" s="253">
        <v>15</v>
      </c>
      <c r="L320" s="253">
        <f t="shared" si="4"/>
        <v>193.5</v>
      </c>
      <c r="M320" s="253"/>
      <c r="N320" s="249"/>
      <c r="O320" s="249"/>
      <c r="P320" s="249"/>
      <c r="Q320" s="249"/>
      <c r="R320" s="249"/>
      <c r="S320" s="249"/>
      <c r="T320" s="249"/>
      <c r="U320" s="249"/>
      <c r="V320" s="249"/>
      <c r="W320" s="249"/>
    </row>
    <row r="321" spans="1:23" ht="13.9">
      <c r="A321" s="250">
        <v>341</v>
      </c>
      <c r="B321" s="253" t="s">
        <v>3668</v>
      </c>
      <c r="C321" s="254">
        <v>45986</v>
      </c>
      <c r="D321" s="253" t="s">
        <v>3356</v>
      </c>
      <c r="E321" s="253" t="s">
        <v>3428</v>
      </c>
      <c r="F321" s="253">
        <v>198</v>
      </c>
      <c r="G321" s="253"/>
      <c r="H321" s="253"/>
      <c r="I321" s="253"/>
      <c r="J321" s="253"/>
      <c r="K321" s="253">
        <v>15</v>
      </c>
      <c r="L321" s="253">
        <f t="shared" si="4"/>
        <v>213</v>
      </c>
      <c r="M321" s="253"/>
      <c r="N321" s="249"/>
      <c r="O321" s="249"/>
      <c r="P321" s="249"/>
      <c r="Q321" s="249"/>
      <c r="R321" s="249"/>
      <c r="S321" s="249"/>
      <c r="T321" s="249"/>
      <c r="U321" s="249"/>
      <c r="V321" s="249"/>
      <c r="W321" s="249"/>
    </row>
    <row r="322" spans="1:23" ht="13.9">
      <c r="A322" s="250">
        <v>342</v>
      </c>
      <c r="B322" s="253" t="s">
        <v>3668</v>
      </c>
      <c r="C322" s="254">
        <v>45988</v>
      </c>
      <c r="D322" s="253" t="s">
        <v>3374</v>
      </c>
      <c r="E322" s="253" t="s">
        <v>3375</v>
      </c>
      <c r="F322" s="253">
        <v>195</v>
      </c>
      <c r="G322" s="253"/>
      <c r="H322" s="253"/>
      <c r="I322" s="253"/>
      <c r="J322" s="253"/>
      <c r="K322" s="253">
        <v>15</v>
      </c>
      <c r="L322" s="253">
        <f t="shared" si="4"/>
        <v>210</v>
      </c>
      <c r="M322" s="253"/>
      <c r="N322" s="249"/>
      <c r="O322" s="249"/>
      <c r="P322" s="249"/>
      <c r="Q322" s="249"/>
      <c r="R322" s="249"/>
      <c r="S322" s="249"/>
      <c r="T322" s="249"/>
      <c r="U322" s="249"/>
      <c r="V322" s="249"/>
      <c r="W322" s="249"/>
    </row>
    <row r="323" spans="1:23" ht="13.9">
      <c r="A323" s="250">
        <v>343</v>
      </c>
      <c r="B323" s="253" t="s">
        <v>3669</v>
      </c>
      <c r="C323" s="254">
        <v>45988</v>
      </c>
      <c r="D323" s="253" t="s">
        <v>3374</v>
      </c>
      <c r="E323" s="253" t="s">
        <v>3647</v>
      </c>
      <c r="F323" s="253">
        <v>195</v>
      </c>
      <c r="G323" s="253"/>
      <c r="H323" s="253"/>
      <c r="I323" s="253"/>
      <c r="J323" s="253"/>
      <c r="K323" s="253">
        <v>15</v>
      </c>
      <c r="L323" s="253">
        <f t="shared" si="4"/>
        <v>210</v>
      </c>
      <c r="M323" s="253"/>
      <c r="N323" s="249"/>
      <c r="O323" s="249"/>
      <c r="P323" s="249"/>
      <c r="Q323" s="249"/>
      <c r="R323" s="249"/>
      <c r="S323" s="249"/>
      <c r="T323" s="249"/>
      <c r="U323" s="249"/>
      <c r="V323" s="249"/>
      <c r="W323" s="249"/>
    </row>
    <row r="324" spans="1:23" ht="13.9">
      <c r="A324" s="250">
        <v>344</v>
      </c>
      <c r="B324" s="253" t="s">
        <v>3670</v>
      </c>
      <c r="C324" s="254">
        <v>45986</v>
      </c>
      <c r="D324" s="253" t="s">
        <v>3432</v>
      </c>
      <c r="E324" s="253" t="s">
        <v>3357</v>
      </c>
      <c r="F324" s="253">
        <v>166.5</v>
      </c>
      <c r="G324" s="253"/>
      <c r="H324" s="253"/>
      <c r="I324" s="253"/>
      <c r="J324" s="253"/>
      <c r="K324" s="253">
        <v>15</v>
      </c>
      <c r="L324" s="253">
        <f t="shared" ref="L324:L353" si="5">SUM(F324:K324)</f>
        <v>181.5</v>
      </c>
      <c r="M324" s="253"/>
      <c r="N324" s="249"/>
      <c r="O324" s="249"/>
      <c r="P324" s="249"/>
      <c r="Q324" s="249"/>
      <c r="R324" s="249"/>
      <c r="S324" s="249"/>
      <c r="T324" s="249"/>
      <c r="U324" s="249"/>
      <c r="V324" s="249"/>
      <c r="W324" s="249"/>
    </row>
    <row r="325" spans="1:23" ht="13.9">
      <c r="A325" s="250">
        <v>345</v>
      </c>
      <c r="B325" s="253" t="s">
        <v>3670</v>
      </c>
      <c r="C325" s="254">
        <v>45988</v>
      </c>
      <c r="D325" s="253" t="s">
        <v>3374</v>
      </c>
      <c r="E325" s="253" t="s">
        <v>3647</v>
      </c>
      <c r="F325" s="253"/>
      <c r="G325" s="253"/>
      <c r="H325" s="253">
        <v>15</v>
      </c>
      <c r="I325" s="253">
        <v>195</v>
      </c>
      <c r="J325" s="253">
        <v>15</v>
      </c>
      <c r="K325" s="253">
        <v>15</v>
      </c>
      <c r="L325" s="253">
        <f t="shared" si="5"/>
        <v>240</v>
      </c>
      <c r="M325" s="253" t="s">
        <v>3479</v>
      </c>
      <c r="N325" s="249"/>
      <c r="O325" s="249"/>
      <c r="P325" s="249"/>
      <c r="Q325" s="249"/>
      <c r="R325" s="249"/>
      <c r="S325" s="249"/>
      <c r="T325" s="249"/>
      <c r="U325" s="249"/>
      <c r="V325" s="249"/>
      <c r="W325" s="249"/>
    </row>
    <row r="326" spans="1:23" ht="13.9">
      <c r="A326" s="250">
        <v>347</v>
      </c>
      <c r="B326" s="253" t="s">
        <v>3671</v>
      </c>
      <c r="C326" s="254">
        <v>45986</v>
      </c>
      <c r="D326" s="253" t="s">
        <v>3365</v>
      </c>
      <c r="E326" s="253" t="s">
        <v>3487</v>
      </c>
      <c r="F326" s="253">
        <v>178.5</v>
      </c>
      <c r="G326" s="253"/>
      <c r="H326" s="253"/>
      <c r="I326" s="253"/>
      <c r="J326" s="253"/>
      <c r="K326" s="253">
        <v>15</v>
      </c>
      <c r="L326" s="253">
        <f t="shared" si="5"/>
        <v>193.5</v>
      </c>
      <c r="M326" s="253"/>
      <c r="N326" s="249"/>
      <c r="O326" s="249"/>
      <c r="P326" s="249"/>
      <c r="Q326" s="249"/>
      <c r="R326" s="249"/>
      <c r="S326" s="249"/>
      <c r="T326" s="249"/>
      <c r="U326" s="249"/>
      <c r="V326" s="249"/>
      <c r="W326" s="249"/>
    </row>
    <row r="327" spans="1:23" ht="13.9">
      <c r="A327" s="250">
        <v>348</v>
      </c>
      <c r="B327" s="253" t="s">
        <v>3671</v>
      </c>
      <c r="C327" s="254">
        <v>45988</v>
      </c>
      <c r="D327" s="253" t="s">
        <v>3443</v>
      </c>
      <c r="E327" s="253" t="s">
        <v>3488</v>
      </c>
      <c r="F327" s="253">
        <v>188</v>
      </c>
      <c r="G327" s="253"/>
      <c r="H327" s="253"/>
      <c r="I327" s="253"/>
      <c r="J327" s="253"/>
      <c r="K327" s="253">
        <v>15</v>
      </c>
      <c r="L327" s="253">
        <f t="shared" si="5"/>
        <v>203</v>
      </c>
      <c r="M327" s="253"/>
      <c r="N327" s="249"/>
      <c r="O327" s="249"/>
      <c r="P327" s="249"/>
      <c r="Q327" s="249"/>
      <c r="R327" s="249"/>
      <c r="S327" s="249"/>
      <c r="T327" s="249"/>
      <c r="U327" s="249"/>
      <c r="V327" s="249"/>
      <c r="W327" s="249"/>
    </row>
    <row r="328" spans="1:23" ht="13.9">
      <c r="A328" s="250">
        <v>349</v>
      </c>
      <c r="B328" s="253" t="s">
        <v>3672</v>
      </c>
      <c r="C328" s="254">
        <v>45986</v>
      </c>
      <c r="D328" s="253" t="s">
        <v>3361</v>
      </c>
      <c r="E328" s="253" t="s">
        <v>3398</v>
      </c>
      <c r="F328" s="253">
        <v>197.5</v>
      </c>
      <c r="G328" s="253"/>
      <c r="H328" s="253"/>
      <c r="I328" s="253"/>
      <c r="J328" s="253"/>
      <c r="K328" s="253">
        <v>15</v>
      </c>
      <c r="L328" s="253">
        <f t="shared" si="5"/>
        <v>212.5</v>
      </c>
      <c r="M328" s="253"/>
      <c r="N328" s="249"/>
      <c r="O328" s="249"/>
      <c r="P328" s="249"/>
      <c r="Q328" s="249"/>
      <c r="R328" s="249"/>
      <c r="S328" s="249"/>
      <c r="T328" s="249"/>
      <c r="U328" s="249"/>
      <c r="V328" s="249"/>
      <c r="W328" s="249"/>
    </row>
    <row r="329" spans="1:23" ht="13.9">
      <c r="A329" s="250">
        <v>350</v>
      </c>
      <c r="B329" s="253" t="s">
        <v>3672</v>
      </c>
      <c r="C329" s="254">
        <v>45988</v>
      </c>
      <c r="D329" s="253" t="s">
        <v>3337</v>
      </c>
      <c r="E329" s="253" t="s">
        <v>3338</v>
      </c>
      <c r="F329" s="253">
        <v>210.5</v>
      </c>
      <c r="G329" s="253"/>
      <c r="H329" s="253"/>
      <c r="I329" s="253"/>
      <c r="J329" s="253"/>
      <c r="K329" s="253">
        <v>15</v>
      </c>
      <c r="L329" s="253">
        <f t="shared" si="5"/>
        <v>225.5</v>
      </c>
      <c r="M329" s="253"/>
      <c r="N329" s="249"/>
      <c r="O329" s="249"/>
      <c r="P329" s="249"/>
      <c r="Q329" s="249"/>
      <c r="R329" s="249"/>
      <c r="S329" s="249"/>
      <c r="T329" s="249"/>
      <c r="U329" s="249"/>
      <c r="V329" s="249"/>
      <c r="W329" s="249"/>
    </row>
    <row r="330" spans="1:23" ht="13.9">
      <c r="A330" s="250">
        <v>351</v>
      </c>
      <c r="B330" s="253" t="s">
        <v>3673</v>
      </c>
      <c r="C330" s="254">
        <v>45986</v>
      </c>
      <c r="D330" s="253" t="s">
        <v>3361</v>
      </c>
      <c r="E330" s="253" t="s">
        <v>3430</v>
      </c>
      <c r="F330" s="253">
        <v>651</v>
      </c>
      <c r="G330" s="253"/>
      <c r="H330" s="253"/>
      <c r="I330" s="253"/>
      <c r="J330" s="253"/>
      <c r="K330" s="253">
        <v>15</v>
      </c>
      <c r="L330" s="253">
        <f t="shared" si="5"/>
        <v>666</v>
      </c>
      <c r="M330" s="253"/>
      <c r="N330" s="249"/>
      <c r="O330" s="249"/>
      <c r="P330" s="249"/>
      <c r="Q330" s="249"/>
      <c r="R330" s="249"/>
      <c r="S330" s="249"/>
      <c r="T330" s="249"/>
      <c r="U330" s="249"/>
      <c r="V330" s="249"/>
      <c r="W330" s="249"/>
    </row>
    <row r="331" spans="1:23" ht="13.9">
      <c r="A331" s="250">
        <v>352</v>
      </c>
      <c r="B331" s="253" t="s">
        <v>3673</v>
      </c>
      <c r="C331" s="254">
        <v>45988</v>
      </c>
      <c r="D331" s="253" t="s">
        <v>3407</v>
      </c>
      <c r="E331" s="253" t="s">
        <v>3408</v>
      </c>
      <c r="F331" s="253">
        <v>321</v>
      </c>
      <c r="G331" s="253"/>
      <c r="H331" s="253"/>
      <c r="I331" s="253"/>
      <c r="J331" s="253"/>
      <c r="K331" s="253">
        <v>15</v>
      </c>
      <c r="L331" s="253">
        <f t="shared" si="5"/>
        <v>336</v>
      </c>
      <c r="M331" s="253"/>
      <c r="N331" s="249"/>
      <c r="O331" s="249"/>
      <c r="P331" s="249"/>
      <c r="Q331" s="249"/>
      <c r="R331" s="249"/>
      <c r="S331" s="249"/>
      <c r="T331" s="249"/>
      <c r="U331" s="249"/>
      <c r="V331" s="249"/>
      <c r="W331" s="249"/>
    </row>
    <row r="332" spans="1:23" ht="13.9">
      <c r="A332" s="250">
        <v>353</v>
      </c>
      <c r="B332" s="253" t="s">
        <v>3674</v>
      </c>
      <c r="C332" s="254">
        <v>45986</v>
      </c>
      <c r="D332" s="253" t="s">
        <v>3361</v>
      </c>
      <c r="E332" s="253" t="s">
        <v>3403</v>
      </c>
      <c r="F332" s="253"/>
      <c r="G332" s="253"/>
      <c r="H332" s="253"/>
      <c r="I332" s="253">
        <v>164</v>
      </c>
      <c r="J332" s="253">
        <v>15</v>
      </c>
      <c r="K332" s="253">
        <v>15</v>
      </c>
      <c r="L332" s="253">
        <f t="shared" si="5"/>
        <v>194</v>
      </c>
      <c r="M332" s="253" t="s">
        <v>3346</v>
      </c>
      <c r="N332" s="249"/>
      <c r="O332" s="249"/>
      <c r="P332" s="249"/>
      <c r="Q332" s="249"/>
      <c r="R332" s="249"/>
      <c r="S332" s="249"/>
      <c r="T332" s="249"/>
      <c r="U332" s="249"/>
      <c r="V332" s="249"/>
      <c r="W332" s="249"/>
    </row>
    <row r="333" spans="1:23" ht="13.9">
      <c r="A333" s="250">
        <v>355</v>
      </c>
      <c r="B333" s="253" t="s">
        <v>3674</v>
      </c>
      <c r="C333" s="254">
        <v>45988</v>
      </c>
      <c r="D333" s="253" t="s">
        <v>3374</v>
      </c>
      <c r="E333" s="253" t="s">
        <v>3375</v>
      </c>
      <c r="F333" s="253"/>
      <c r="G333" s="253"/>
      <c r="H333" s="253">
        <v>15</v>
      </c>
      <c r="I333" s="253"/>
      <c r="J333" s="253"/>
      <c r="K333" s="253"/>
      <c r="L333" s="253">
        <f t="shared" si="5"/>
        <v>15</v>
      </c>
      <c r="M333" s="253" t="s">
        <v>3399</v>
      </c>
      <c r="N333" s="249"/>
      <c r="O333" s="249"/>
      <c r="P333" s="249"/>
      <c r="Q333" s="249"/>
      <c r="R333" s="249"/>
      <c r="S333" s="249"/>
      <c r="T333" s="249"/>
      <c r="U333" s="249"/>
      <c r="V333" s="249"/>
      <c r="W333" s="249"/>
    </row>
    <row r="334" spans="1:23" ht="13.9">
      <c r="A334" s="250">
        <v>356</v>
      </c>
      <c r="B334" s="253" t="s">
        <v>3675</v>
      </c>
      <c r="C334" s="254">
        <v>45986</v>
      </c>
      <c r="D334" s="253" t="s">
        <v>3361</v>
      </c>
      <c r="E334" s="253" t="s">
        <v>3362</v>
      </c>
      <c r="F334" s="253">
        <v>210.5</v>
      </c>
      <c r="G334" s="253"/>
      <c r="H334" s="253"/>
      <c r="I334" s="253"/>
      <c r="J334" s="253"/>
      <c r="K334" s="253">
        <v>15</v>
      </c>
      <c r="L334" s="253">
        <f t="shared" si="5"/>
        <v>225.5</v>
      </c>
      <c r="M334" s="253"/>
      <c r="N334" s="249"/>
      <c r="O334" s="249"/>
      <c r="P334" s="249"/>
      <c r="Q334" s="249"/>
      <c r="R334" s="249"/>
      <c r="S334" s="249"/>
      <c r="T334" s="249"/>
      <c r="U334" s="249"/>
      <c r="V334" s="249"/>
      <c r="W334" s="249"/>
    </row>
    <row r="335" spans="1:23" ht="13.9">
      <c r="A335" s="250">
        <v>357</v>
      </c>
      <c r="B335" s="253" t="s">
        <v>3675</v>
      </c>
      <c r="C335" s="254">
        <v>45988</v>
      </c>
      <c r="D335" s="253" t="s">
        <v>3337</v>
      </c>
      <c r="E335" s="253" t="s">
        <v>3363</v>
      </c>
      <c r="F335" s="253">
        <v>197.5</v>
      </c>
      <c r="G335" s="253"/>
      <c r="H335" s="253"/>
      <c r="I335" s="253"/>
      <c r="J335" s="253"/>
      <c r="K335" s="253">
        <v>15</v>
      </c>
      <c r="L335" s="253">
        <f t="shared" si="5"/>
        <v>212.5</v>
      </c>
      <c r="M335" s="253"/>
      <c r="N335" s="249"/>
      <c r="O335" s="249"/>
      <c r="P335" s="249"/>
      <c r="Q335" s="249"/>
      <c r="R335" s="249"/>
      <c r="S335" s="249"/>
      <c r="T335" s="249"/>
      <c r="U335" s="249"/>
      <c r="V335" s="249"/>
      <c r="W335" s="249"/>
    </row>
    <row r="336" spans="1:23" ht="13.9">
      <c r="A336" s="250">
        <v>358</v>
      </c>
      <c r="B336" s="253" t="s">
        <v>3676</v>
      </c>
      <c r="C336" s="254">
        <v>45986</v>
      </c>
      <c r="D336" s="253" t="s">
        <v>3365</v>
      </c>
      <c r="E336" s="253" t="s">
        <v>3504</v>
      </c>
      <c r="F336" s="253">
        <v>178.5</v>
      </c>
      <c r="G336" s="253"/>
      <c r="H336" s="253"/>
      <c r="I336" s="253"/>
      <c r="J336" s="253"/>
      <c r="K336" s="253">
        <v>15</v>
      </c>
      <c r="L336" s="253">
        <f t="shared" si="5"/>
        <v>193.5</v>
      </c>
      <c r="M336" s="253"/>
      <c r="N336" s="249"/>
      <c r="O336" s="249"/>
      <c r="P336" s="249"/>
      <c r="Q336" s="249"/>
      <c r="R336" s="249"/>
      <c r="S336" s="249"/>
      <c r="T336" s="249"/>
      <c r="U336" s="249"/>
      <c r="V336" s="249"/>
      <c r="W336" s="249"/>
    </row>
    <row r="337" spans="1:23" ht="13.9">
      <c r="A337" s="250">
        <v>359</v>
      </c>
      <c r="B337" s="253" t="s">
        <v>3676</v>
      </c>
      <c r="C337" s="254">
        <v>45988</v>
      </c>
      <c r="D337" s="253" t="s">
        <v>3443</v>
      </c>
      <c r="E337" s="253" t="s">
        <v>3447</v>
      </c>
      <c r="F337" s="253">
        <v>178.5</v>
      </c>
      <c r="G337" s="253"/>
      <c r="H337" s="253"/>
      <c r="I337" s="253"/>
      <c r="J337" s="253"/>
      <c r="K337" s="253">
        <v>15</v>
      </c>
      <c r="L337" s="253">
        <f t="shared" si="5"/>
        <v>193.5</v>
      </c>
      <c r="M337" s="253"/>
      <c r="N337" s="249"/>
      <c r="O337" s="249"/>
      <c r="P337" s="249"/>
      <c r="Q337" s="249"/>
      <c r="R337" s="249"/>
      <c r="S337" s="249"/>
      <c r="T337" s="249"/>
      <c r="U337" s="249"/>
      <c r="V337" s="249"/>
      <c r="W337" s="249"/>
    </row>
    <row r="338" spans="1:23" ht="13.9">
      <c r="A338" s="250">
        <v>360</v>
      </c>
      <c r="B338" s="253" t="s">
        <v>3677</v>
      </c>
      <c r="C338" s="254">
        <v>45986</v>
      </c>
      <c r="D338" s="253" t="s">
        <v>3365</v>
      </c>
      <c r="E338" s="253" t="s">
        <v>3626</v>
      </c>
      <c r="F338" s="253">
        <v>188</v>
      </c>
      <c r="G338" s="253"/>
      <c r="H338" s="253"/>
      <c r="I338" s="253"/>
      <c r="J338" s="253"/>
      <c r="K338" s="253">
        <v>15</v>
      </c>
      <c r="L338" s="253">
        <f t="shared" si="5"/>
        <v>203</v>
      </c>
      <c r="M338" s="253"/>
      <c r="N338" s="249"/>
      <c r="O338" s="249"/>
      <c r="P338" s="249"/>
      <c r="Q338" s="249"/>
      <c r="R338" s="249"/>
      <c r="S338" s="249"/>
      <c r="T338" s="249"/>
      <c r="U338" s="249"/>
      <c r="V338" s="249"/>
      <c r="W338" s="249"/>
    </row>
    <row r="339" spans="1:23" ht="13.9">
      <c r="A339" s="250">
        <v>361</v>
      </c>
      <c r="B339" s="253" t="s">
        <v>3678</v>
      </c>
      <c r="C339" s="254">
        <v>45986</v>
      </c>
      <c r="D339" s="253" t="s">
        <v>3679</v>
      </c>
      <c r="E339" s="253" t="s">
        <v>3680</v>
      </c>
      <c r="F339" s="253">
        <v>434.5</v>
      </c>
      <c r="G339" s="253"/>
      <c r="H339" s="253"/>
      <c r="I339" s="253"/>
      <c r="J339" s="253"/>
      <c r="K339" s="253">
        <v>15</v>
      </c>
      <c r="L339" s="253">
        <f t="shared" si="5"/>
        <v>449.5</v>
      </c>
      <c r="M339" s="253"/>
      <c r="N339" s="249"/>
      <c r="O339" s="249"/>
      <c r="P339" s="249"/>
      <c r="Q339" s="249"/>
      <c r="R339" s="249"/>
      <c r="S339" s="249"/>
      <c r="T339" s="249"/>
      <c r="U339" s="249"/>
      <c r="V339" s="249"/>
      <c r="W339" s="249"/>
    </row>
    <row r="340" spans="1:23" ht="13.9">
      <c r="A340" s="250">
        <v>362</v>
      </c>
      <c r="B340" s="253" t="s">
        <v>3681</v>
      </c>
      <c r="C340" s="254">
        <v>45988</v>
      </c>
      <c r="D340" s="253" t="s">
        <v>3407</v>
      </c>
      <c r="E340" s="253" t="s">
        <v>3408</v>
      </c>
      <c r="F340" s="253"/>
      <c r="G340" s="253">
        <v>2</v>
      </c>
      <c r="H340" s="253">
        <v>15</v>
      </c>
      <c r="I340" s="253">
        <v>296</v>
      </c>
      <c r="J340" s="253">
        <v>15</v>
      </c>
      <c r="K340" s="253">
        <v>15</v>
      </c>
      <c r="L340" s="253">
        <f t="shared" si="5"/>
        <v>343</v>
      </c>
      <c r="M340" s="253" t="s">
        <v>3479</v>
      </c>
      <c r="N340" s="249"/>
      <c r="O340" s="249"/>
      <c r="P340" s="249"/>
      <c r="Q340" s="249"/>
      <c r="R340" s="249"/>
      <c r="S340" s="249"/>
      <c r="T340" s="249"/>
      <c r="U340" s="249"/>
      <c r="V340" s="249"/>
      <c r="W340" s="249"/>
    </row>
    <row r="341" spans="1:23" ht="13.9">
      <c r="A341" s="250">
        <v>363</v>
      </c>
      <c r="B341" s="253" t="s">
        <v>3681</v>
      </c>
      <c r="C341" s="254">
        <v>45988</v>
      </c>
      <c r="D341" s="253" t="s">
        <v>3337</v>
      </c>
      <c r="E341" s="253" t="s">
        <v>3396</v>
      </c>
      <c r="F341" s="253"/>
      <c r="G341" s="253">
        <v>29.5</v>
      </c>
      <c r="H341" s="253">
        <v>15</v>
      </c>
      <c r="I341" s="253"/>
      <c r="J341" s="253"/>
      <c r="K341" s="253"/>
      <c r="L341" s="253">
        <f t="shared" si="5"/>
        <v>44.5</v>
      </c>
      <c r="M341" s="253" t="s">
        <v>3399</v>
      </c>
      <c r="N341" s="249"/>
      <c r="O341" s="249"/>
      <c r="P341" s="249"/>
      <c r="Q341" s="249"/>
      <c r="R341" s="249"/>
      <c r="S341" s="249"/>
      <c r="T341" s="249"/>
      <c r="U341" s="249"/>
      <c r="V341" s="249"/>
      <c r="W341" s="249"/>
    </row>
    <row r="342" spans="1:23" ht="13.9">
      <c r="A342" s="250">
        <v>365</v>
      </c>
      <c r="B342" s="253" t="s">
        <v>3682</v>
      </c>
      <c r="C342" s="254">
        <v>45986</v>
      </c>
      <c r="D342" s="253" t="s">
        <v>3361</v>
      </c>
      <c r="E342" s="253" t="s">
        <v>3403</v>
      </c>
      <c r="F342" s="253">
        <v>210.5</v>
      </c>
      <c r="G342" s="253"/>
      <c r="H342" s="253"/>
      <c r="I342" s="253"/>
      <c r="J342" s="253"/>
      <c r="K342" s="253">
        <v>15</v>
      </c>
      <c r="L342" s="253">
        <f t="shared" si="5"/>
        <v>225.5</v>
      </c>
      <c r="M342" s="253"/>
      <c r="N342" s="249"/>
      <c r="O342" s="249"/>
      <c r="P342" s="249"/>
      <c r="Q342" s="249"/>
      <c r="R342" s="249"/>
      <c r="S342" s="249"/>
      <c r="T342" s="249"/>
      <c r="U342" s="249"/>
      <c r="V342" s="249"/>
      <c r="W342" s="249"/>
    </row>
    <row r="343" spans="1:23" ht="13.9">
      <c r="A343" s="250">
        <v>366</v>
      </c>
      <c r="B343" s="253" t="s">
        <v>3683</v>
      </c>
      <c r="C343" s="254">
        <v>45986</v>
      </c>
      <c r="D343" s="253" t="s">
        <v>3365</v>
      </c>
      <c r="E343" s="253" t="s">
        <v>3504</v>
      </c>
      <c r="F343" s="253">
        <v>178.5</v>
      </c>
      <c r="G343" s="253"/>
      <c r="H343" s="253"/>
      <c r="I343" s="253"/>
      <c r="J343" s="253"/>
      <c r="K343" s="253">
        <v>15</v>
      </c>
      <c r="L343" s="253">
        <f t="shared" si="5"/>
        <v>193.5</v>
      </c>
      <c r="M343" s="253"/>
      <c r="N343" s="249"/>
      <c r="O343" s="249"/>
      <c r="P343" s="249"/>
      <c r="Q343" s="249"/>
      <c r="R343" s="249"/>
      <c r="S343" s="249"/>
      <c r="T343" s="249"/>
      <c r="U343" s="249"/>
      <c r="V343" s="249"/>
      <c r="W343" s="249"/>
    </row>
    <row r="344" spans="1:23" ht="13.9">
      <c r="A344" s="250">
        <v>367</v>
      </c>
      <c r="B344" s="253" t="s">
        <v>3683</v>
      </c>
      <c r="C344" s="254">
        <v>45988</v>
      </c>
      <c r="D344" s="253" t="s">
        <v>3443</v>
      </c>
      <c r="E344" s="253" t="s">
        <v>3447</v>
      </c>
      <c r="F344" s="253">
        <v>178.5</v>
      </c>
      <c r="G344" s="253"/>
      <c r="H344" s="253"/>
      <c r="I344" s="253"/>
      <c r="J344" s="253"/>
      <c r="K344" s="253">
        <v>15</v>
      </c>
      <c r="L344" s="253">
        <f t="shared" si="5"/>
        <v>193.5</v>
      </c>
      <c r="M344" s="253"/>
      <c r="N344" s="249"/>
      <c r="O344" s="249"/>
      <c r="P344" s="249"/>
      <c r="Q344" s="249"/>
      <c r="R344" s="249"/>
      <c r="S344" s="249"/>
      <c r="T344" s="249"/>
      <c r="U344" s="249"/>
      <c r="V344" s="249"/>
      <c r="W344" s="249"/>
    </row>
    <row r="345" spans="1:23" ht="13.9">
      <c r="A345" s="250">
        <v>368</v>
      </c>
      <c r="B345" s="253" t="s">
        <v>3684</v>
      </c>
      <c r="C345" s="254">
        <v>45986</v>
      </c>
      <c r="D345" s="253" t="s">
        <v>3361</v>
      </c>
      <c r="E345" s="253" t="s">
        <v>3403</v>
      </c>
      <c r="F345" s="253">
        <v>210.5</v>
      </c>
      <c r="G345" s="253"/>
      <c r="H345" s="253"/>
      <c r="I345" s="253"/>
      <c r="J345" s="253"/>
      <c r="K345" s="253">
        <v>15</v>
      </c>
      <c r="L345" s="253">
        <f t="shared" si="5"/>
        <v>225.5</v>
      </c>
      <c r="M345" s="253"/>
      <c r="N345" s="249"/>
      <c r="O345" s="249"/>
      <c r="P345" s="249"/>
      <c r="Q345" s="249"/>
      <c r="R345" s="249"/>
      <c r="S345" s="249"/>
      <c r="T345" s="249"/>
      <c r="U345" s="249"/>
      <c r="V345" s="249"/>
      <c r="W345" s="249"/>
    </row>
    <row r="346" spans="1:23" ht="13.9">
      <c r="A346" s="250">
        <v>369</v>
      </c>
      <c r="B346" s="253" t="s">
        <v>3684</v>
      </c>
      <c r="C346" s="254">
        <v>45988</v>
      </c>
      <c r="D346" s="253" t="s">
        <v>3374</v>
      </c>
      <c r="E346" s="253" t="s">
        <v>3375</v>
      </c>
      <c r="F346" s="253">
        <v>195</v>
      </c>
      <c r="G346" s="253"/>
      <c r="H346" s="253"/>
      <c r="I346" s="253"/>
      <c r="J346" s="253"/>
      <c r="K346" s="253">
        <v>15</v>
      </c>
      <c r="L346" s="253">
        <f t="shared" si="5"/>
        <v>210</v>
      </c>
      <c r="M346" s="253"/>
      <c r="N346" s="249"/>
      <c r="O346" s="249"/>
      <c r="P346" s="249"/>
      <c r="Q346" s="249"/>
      <c r="R346" s="249"/>
      <c r="S346" s="249"/>
      <c r="T346" s="249"/>
      <c r="U346" s="249"/>
      <c r="V346" s="249"/>
      <c r="W346" s="249"/>
    </row>
    <row r="347" spans="1:23" ht="13.9">
      <c r="A347" s="250">
        <v>370</v>
      </c>
      <c r="B347" s="253" t="s">
        <v>3685</v>
      </c>
      <c r="C347" s="254">
        <v>45986</v>
      </c>
      <c r="D347" s="253" t="s">
        <v>3361</v>
      </c>
      <c r="E347" s="253" t="s">
        <v>3459</v>
      </c>
      <c r="F347" s="253">
        <v>210.5</v>
      </c>
      <c r="G347" s="253"/>
      <c r="H347" s="253"/>
      <c r="I347" s="253"/>
      <c r="J347" s="253"/>
      <c r="K347" s="253">
        <v>15</v>
      </c>
      <c r="L347" s="253">
        <f t="shared" si="5"/>
        <v>225.5</v>
      </c>
      <c r="M347" s="253"/>
      <c r="N347" s="249"/>
      <c r="O347" s="249"/>
      <c r="P347" s="249"/>
      <c r="Q347" s="249"/>
      <c r="R347" s="249"/>
      <c r="S347" s="249"/>
      <c r="T347" s="249"/>
      <c r="U347" s="249"/>
      <c r="V347" s="249"/>
      <c r="W347" s="249"/>
    </row>
    <row r="348" spans="1:23" ht="13.9">
      <c r="A348" s="250">
        <v>371</v>
      </c>
      <c r="B348" s="253" t="s">
        <v>3686</v>
      </c>
      <c r="C348" s="254">
        <v>45987</v>
      </c>
      <c r="D348" s="253" t="s">
        <v>3633</v>
      </c>
      <c r="E348" s="253" t="s">
        <v>3634</v>
      </c>
      <c r="F348" s="253"/>
      <c r="G348" s="253">
        <v>10.5</v>
      </c>
      <c r="H348" s="253">
        <v>15</v>
      </c>
      <c r="I348" s="253"/>
      <c r="J348" s="253"/>
      <c r="K348" s="253"/>
      <c r="L348" s="253">
        <f t="shared" si="5"/>
        <v>25.5</v>
      </c>
      <c r="M348" s="253" t="s">
        <v>3399</v>
      </c>
      <c r="N348" s="249"/>
      <c r="O348" s="249"/>
      <c r="P348" s="249"/>
      <c r="Q348" s="249"/>
      <c r="R348" s="249"/>
      <c r="S348" s="249"/>
      <c r="T348" s="249"/>
      <c r="U348" s="249"/>
      <c r="V348" s="249"/>
      <c r="W348" s="249"/>
    </row>
    <row r="349" spans="1:23" ht="13.9">
      <c r="A349" s="250">
        <v>372</v>
      </c>
      <c r="B349" s="253" t="s">
        <v>3686</v>
      </c>
      <c r="C349" s="254">
        <v>45988</v>
      </c>
      <c r="D349" s="253" t="s">
        <v>3635</v>
      </c>
      <c r="E349" s="253" t="s">
        <v>3603</v>
      </c>
      <c r="F349" s="253"/>
      <c r="G349" s="253"/>
      <c r="H349" s="253">
        <v>15</v>
      </c>
      <c r="I349" s="253"/>
      <c r="J349" s="253"/>
      <c r="K349" s="253"/>
      <c r="L349" s="253">
        <f t="shared" si="5"/>
        <v>15</v>
      </c>
      <c r="M349" s="253" t="s">
        <v>3399</v>
      </c>
      <c r="N349" s="249"/>
      <c r="O349" s="249"/>
      <c r="P349" s="249"/>
      <c r="Q349" s="249"/>
      <c r="R349" s="249"/>
      <c r="S349" s="249"/>
      <c r="T349" s="249"/>
      <c r="U349" s="249"/>
      <c r="V349" s="249"/>
      <c r="W349" s="249"/>
    </row>
    <row r="350" spans="1:23" ht="13.9">
      <c r="A350" s="250">
        <v>373</v>
      </c>
      <c r="B350" s="253" t="s">
        <v>3687</v>
      </c>
      <c r="C350" s="254">
        <v>45987</v>
      </c>
      <c r="D350" s="253" t="s">
        <v>3361</v>
      </c>
      <c r="E350" s="253" t="s">
        <v>3403</v>
      </c>
      <c r="F350" s="253">
        <v>651</v>
      </c>
      <c r="G350" s="253"/>
      <c r="H350" s="253"/>
      <c r="I350" s="253"/>
      <c r="J350" s="253"/>
      <c r="K350" s="253">
        <v>15</v>
      </c>
      <c r="L350" s="253">
        <f t="shared" si="5"/>
        <v>666</v>
      </c>
      <c r="M350" s="253"/>
      <c r="N350" s="249"/>
      <c r="O350" s="249"/>
      <c r="P350" s="249"/>
      <c r="Q350" s="249"/>
      <c r="R350" s="249"/>
      <c r="S350" s="249"/>
      <c r="T350" s="249"/>
      <c r="U350" s="249"/>
      <c r="V350" s="249"/>
      <c r="W350" s="249"/>
    </row>
    <row r="351" spans="1:23" ht="13.9">
      <c r="A351" s="250">
        <v>374</v>
      </c>
      <c r="B351" s="253" t="s">
        <v>3687</v>
      </c>
      <c r="C351" s="254">
        <v>45988</v>
      </c>
      <c r="D351" s="253" t="s">
        <v>3337</v>
      </c>
      <c r="E351" s="253" t="s">
        <v>3451</v>
      </c>
      <c r="F351" s="253">
        <v>612</v>
      </c>
      <c r="G351" s="253"/>
      <c r="H351" s="253"/>
      <c r="I351" s="253"/>
      <c r="J351" s="253"/>
      <c r="K351" s="253">
        <v>15</v>
      </c>
      <c r="L351" s="253">
        <f t="shared" si="5"/>
        <v>627</v>
      </c>
      <c r="M351" s="253"/>
      <c r="N351" s="249"/>
      <c r="O351" s="249"/>
      <c r="P351" s="249"/>
      <c r="Q351" s="249"/>
      <c r="R351" s="249"/>
      <c r="S351" s="249"/>
      <c r="T351" s="249"/>
      <c r="U351" s="249"/>
      <c r="V351" s="249"/>
      <c r="W351" s="249"/>
    </row>
    <row r="352" spans="1:23" ht="13.9">
      <c r="A352" s="250">
        <v>375</v>
      </c>
      <c r="B352" s="253" t="s">
        <v>3688</v>
      </c>
      <c r="C352" s="254">
        <v>45986</v>
      </c>
      <c r="D352" s="253" t="s">
        <v>3361</v>
      </c>
      <c r="E352" s="253" t="s">
        <v>3459</v>
      </c>
      <c r="F352" s="253">
        <v>651</v>
      </c>
      <c r="G352" s="253"/>
      <c r="H352" s="253"/>
      <c r="I352" s="253"/>
      <c r="J352" s="253"/>
      <c r="K352" s="253">
        <v>15</v>
      </c>
      <c r="L352" s="253">
        <f t="shared" si="5"/>
        <v>666</v>
      </c>
      <c r="M352" s="253"/>
      <c r="N352" s="249"/>
      <c r="O352" s="249"/>
      <c r="P352" s="249"/>
      <c r="Q352" s="249"/>
      <c r="R352" s="249"/>
      <c r="S352" s="249"/>
      <c r="T352" s="249"/>
      <c r="U352" s="249"/>
      <c r="V352" s="249"/>
      <c r="W352" s="249"/>
    </row>
    <row r="353" spans="1:23" ht="13.9">
      <c r="A353" s="250">
        <v>376</v>
      </c>
      <c r="B353" s="253" t="s">
        <v>3688</v>
      </c>
      <c r="C353" s="254">
        <v>45988</v>
      </c>
      <c r="D353" s="253" t="s">
        <v>3337</v>
      </c>
      <c r="E353" s="253" t="s">
        <v>3451</v>
      </c>
      <c r="F353" s="253">
        <v>612</v>
      </c>
      <c r="G353" s="253"/>
      <c r="H353" s="253"/>
      <c r="I353" s="253"/>
      <c r="J353" s="253"/>
      <c r="K353" s="253">
        <v>15</v>
      </c>
      <c r="L353" s="253">
        <f t="shared" si="5"/>
        <v>627</v>
      </c>
      <c r="M353" s="253"/>
      <c r="N353" s="249"/>
      <c r="O353" s="249"/>
      <c r="P353" s="249"/>
      <c r="Q353" s="249"/>
      <c r="R353" s="249"/>
      <c r="S353" s="249"/>
      <c r="T353" s="249"/>
      <c r="U353" s="249"/>
      <c r="V353" s="249"/>
      <c r="W353" s="249"/>
    </row>
    <row r="354" spans="1:23" ht="14.65">
      <c r="A354" s="355" t="s">
        <v>3689</v>
      </c>
      <c r="B354" s="356"/>
      <c r="C354" s="356"/>
      <c r="D354" s="356"/>
      <c r="E354" s="356"/>
      <c r="F354" s="356"/>
      <c r="G354" s="356"/>
      <c r="H354" s="356"/>
      <c r="I354" s="356"/>
      <c r="J354" s="356"/>
      <c r="K354" s="357"/>
      <c r="L354" s="257">
        <f>SUM(L3:L353)</f>
        <v>93626</v>
      </c>
      <c r="M354" s="258"/>
      <c r="N354" s="249"/>
      <c r="O354" s="249"/>
      <c r="P354" s="249"/>
      <c r="Q354" s="249"/>
      <c r="R354" s="249"/>
      <c r="S354" s="249"/>
      <c r="T354" s="249"/>
      <c r="U354" s="249"/>
      <c r="V354" s="249"/>
      <c r="W354" s="249"/>
    </row>
  </sheetData>
  <mergeCells count="2">
    <mergeCell ref="A1:M1"/>
    <mergeCell ref="A354:K354"/>
  </mergeCells>
  <phoneticPr fontId="4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3077-9E4E-4B06-9BC6-3DEA53E0468F}">
  <sheetPr>
    <tabColor rgb="FF00FF99"/>
  </sheetPr>
  <dimension ref="A1:L177"/>
  <sheetViews>
    <sheetView workbookViewId="0">
      <selection activeCell="D20" sqref="D20"/>
    </sheetView>
  </sheetViews>
  <sheetFormatPr defaultColWidth="9.796875" defaultRowHeight="15"/>
  <cols>
    <col min="1" max="1" width="9.796875" style="251"/>
    <col min="2" max="2" width="11.265625" style="251" customWidth="1"/>
    <col min="3" max="3" width="23.86328125" style="251" customWidth="1"/>
    <col min="4" max="16384" width="9.796875" style="251"/>
  </cols>
  <sheetData>
    <row r="1" spans="1:12">
      <c r="A1" s="264" t="s">
        <v>2358</v>
      </c>
      <c r="B1" s="264" t="s">
        <v>3693</v>
      </c>
      <c r="C1" s="264" t="s">
        <v>3712</v>
      </c>
      <c r="D1" s="264" t="s">
        <v>3694</v>
      </c>
      <c r="E1" s="259"/>
      <c r="F1" s="259"/>
      <c r="G1" s="259"/>
      <c r="H1" s="259"/>
      <c r="I1" s="259"/>
      <c r="J1" s="259"/>
      <c r="K1" s="259"/>
      <c r="L1" s="259"/>
    </row>
    <row r="2" spans="1:12">
      <c r="A2" s="262">
        <v>1</v>
      </c>
      <c r="B2" s="262" t="s">
        <v>3695</v>
      </c>
      <c r="C2" s="263" t="s">
        <v>3696</v>
      </c>
      <c r="D2" s="262">
        <v>2334</v>
      </c>
      <c r="E2" s="259"/>
      <c r="F2" s="259"/>
      <c r="G2" s="259"/>
      <c r="H2" s="259"/>
      <c r="I2" s="259"/>
      <c r="J2" s="259"/>
      <c r="K2" s="259"/>
      <c r="L2" s="259"/>
    </row>
    <row r="3" spans="1:12">
      <c r="A3" s="253">
        <v>2</v>
      </c>
      <c r="B3" s="253" t="s">
        <v>3697</v>
      </c>
      <c r="C3" s="260" t="s">
        <v>3571</v>
      </c>
      <c r="D3" s="253">
        <v>789</v>
      </c>
      <c r="E3" s="259"/>
      <c r="F3" s="259"/>
      <c r="G3" s="259"/>
      <c r="H3" s="259"/>
      <c r="I3" s="259"/>
      <c r="J3" s="259"/>
      <c r="K3" s="259"/>
      <c r="L3" s="259"/>
    </row>
    <row r="4" spans="1:12">
      <c r="A4" s="253">
        <v>3</v>
      </c>
      <c r="B4" s="253" t="s">
        <v>3698</v>
      </c>
      <c r="C4" s="260" t="s">
        <v>3681</v>
      </c>
      <c r="D4" s="253">
        <v>312</v>
      </c>
      <c r="E4" s="259"/>
      <c r="F4" s="259"/>
      <c r="G4" s="259"/>
      <c r="H4" s="259"/>
      <c r="I4" s="259"/>
      <c r="J4" s="259"/>
      <c r="K4" s="259"/>
      <c r="L4" s="259"/>
    </row>
    <row r="5" spans="1:12">
      <c r="A5" s="262">
        <v>4</v>
      </c>
      <c r="B5" s="262" t="s">
        <v>3698</v>
      </c>
      <c r="C5" s="263" t="s">
        <v>3397</v>
      </c>
      <c r="D5" s="262">
        <v>712</v>
      </c>
      <c r="E5" s="259"/>
      <c r="F5" s="259"/>
      <c r="G5" s="259"/>
      <c r="H5" s="259"/>
      <c r="I5" s="259"/>
      <c r="J5" s="259"/>
      <c r="K5" s="259"/>
      <c r="L5" s="259"/>
    </row>
    <row r="6" spans="1:12">
      <c r="A6" s="262">
        <v>5</v>
      </c>
      <c r="B6" s="262" t="s">
        <v>3698</v>
      </c>
      <c r="C6" s="263" t="s">
        <v>3489</v>
      </c>
      <c r="D6" s="262">
        <v>274</v>
      </c>
      <c r="E6" s="259"/>
      <c r="F6" s="259"/>
      <c r="G6" s="259"/>
      <c r="H6" s="259"/>
      <c r="I6" s="259"/>
      <c r="J6" s="259"/>
      <c r="K6" s="259"/>
      <c r="L6" s="259"/>
    </row>
    <row r="7" spans="1:12">
      <c r="A7" s="262">
        <v>6</v>
      </c>
      <c r="B7" s="262" t="s">
        <v>3699</v>
      </c>
      <c r="C7" s="263" t="s">
        <v>3700</v>
      </c>
      <c r="D7" s="262">
        <v>3234</v>
      </c>
      <c r="E7" s="259"/>
      <c r="F7" s="259"/>
      <c r="G7" s="259"/>
      <c r="H7" s="259"/>
      <c r="I7" s="259"/>
      <c r="J7" s="259"/>
      <c r="K7" s="259"/>
      <c r="L7" s="259"/>
    </row>
    <row r="8" spans="1:12">
      <c r="A8" s="262">
        <v>7</v>
      </c>
      <c r="B8" s="262" t="s">
        <v>3699</v>
      </c>
      <c r="C8" s="263" t="s">
        <v>3701</v>
      </c>
      <c r="D8" s="262">
        <v>2122</v>
      </c>
      <c r="E8" s="259"/>
      <c r="F8" s="259"/>
      <c r="G8" s="259"/>
      <c r="H8" s="259"/>
      <c r="I8" s="259"/>
      <c r="J8" s="259"/>
      <c r="K8" s="259"/>
      <c r="L8" s="259"/>
    </row>
    <row r="9" spans="1:12">
      <c r="A9" s="262">
        <v>8</v>
      </c>
      <c r="B9" s="262" t="s">
        <v>3699</v>
      </c>
      <c r="C9" s="263" t="s">
        <v>3702</v>
      </c>
      <c r="D9" s="262">
        <v>1480</v>
      </c>
      <c r="E9" s="259"/>
      <c r="F9" s="259"/>
      <c r="G9" s="259"/>
      <c r="H9" s="259"/>
      <c r="I9" s="259"/>
      <c r="J9" s="259"/>
      <c r="K9" s="259"/>
      <c r="L9" s="259"/>
    </row>
    <row r="10" spans="1:12">
      <c r="A10" s="262">
        <v>9</v>
      </c>
      <c r="B10" s="262" t="s">
        <v>3698</v>
      </c>
      <c r="C10" s="263" t="s">
        <v>3703</v>
      </c>
      <c r="D10" s="262">
        <v>724</v>
      </c>
      <c r="E10" s="259"/>
      <c r="F10" s="259"/>
      <c r="G10" s="259"/>
      <c r="H10" s="259"/>
      <c r="I10" s="259"/>
      <c r="J10" s="259"/>
      <c r="K10" s="259"/>
      <c r="L10" s="259"/>
    </row>
    <row r="11" spans="1:12">
      <c r="A11" s="262">
        <v>10</v>
      </c>
      <c r="B11" s="262" t="s">
        <v>3699</v>
      </c>
      <c r="C11" s="263" t="s">
        <v>3704</v>
      </c>
      <c r="D11" s="262">
        <v>4732</v>
      </c>
      <c r="E11" s="259"/>
      <c r="F11" s="259"/>
      <c r="G11" s="259"/>
      <c r="H11" s="259"/>
      <c r="I11" s="259"/>
      <c r="J11" s="259"/>
      <c r="K11" s="259"/>
      <c r="L11" s="259"/>
    </row>
    <row r="12" spans="1:12">
      <c r="A12" s="262">
        <v>11</v>
      </c>
      <c r="B12" s="262" t="s">
        <v>3705</v>
      </c>
      <c r="C12" s="263" t="s">
        <v>3688</v>
      </c>
      <c r="D12" s="262">
        <v>841.65</v>
      </c>
      <c r="E12" s="259"/>
      <c r="F12" s="259"/>
      <c r="G12" s="259"/>
      <c r="H12" s="259"/>
      <c r="I12" s="259"/>
      <c r="J12" s="259"/>
      <c r="K12" s="259"/>
      <c r="L12" s="259"/>
    </row>
    <row r="13" spans="1:12">
      <c r="A13" s="253">
        <v>12</v>
      </c>
      <c r="B13" s="253" t="s">
        <v>3699</v>
      </c>
      <c r="C13" s="260" t="s">
        <v>3706</v>
      </c>
      <c r="D13" s="253">
        <v>316</v>
      </c>
      <c r="E13" s="259"/>
      <c r="F13" s="259"/>
      <c r="G13" s="259"/>
      <c r="H13" s="259"/>
      <c r="I13" s="259"/>
      <c r="J13" s="259"/>
      <c r="K13" s="259"/>
      <c r="L13" s="259"/>
    </row>
    <row r="14" spans="1:12">
      <c r="A14" s="262">
        <v>13</v>
      </c>
      <c r="B14" s="262" t="s">
        <v>3697</v>
      </c>
      <c r="C14" s="263" t="s">
        <v>3707</v>
      </c>
      <c r="D14" s="262">
        <v>1377</v>
      </c>
      <c r="E14" s="259"/>
      <c r="F14" s="259"/>
      <c r="G14" s="259"/>
      <c r="H14" s="259"/>
      <c r="I14" s="259"/>
      <c r="J14" s="259"/>
      <c r="K14" s="259"/>
      <c r="L14" s="259"/>
    </row>
    <row r="15" spans="1:12">
      <c r="A15" s="262">
        <v>14</v>
      </c>
      <c r="B15" s="262" t="s">
        <v>3708</v>
      </c>
      <c r="C15" s="263" t="s">
        <v>3709</v>
      </c>
      <c r="D15" s="262">
        <v>421</v>
      </c>
      <c r="E15" s="259"/>
      <c r="F15" s="259"/>
      <c r="G15" s="259"/>
      <c r="H15" s="259"/>
      <c r="I15" s="259"/>
      <c r="J15" s="259"/>
      <c r="K15" s="259"/>
      <c r="L15" s="259"/>
    </row>
    <row r="16" spans="1:12">
      <c r="A16" s="253">
        <v>15</v>
      </c>
      <c r="B16" s="253" t="s">
        <v>3708</v>
      </c>
      <c r="C16" s="261" t="s">
        <v>3517</v>
      </c>
      <c r="D16" s="253">
        <v>221</v>
      </c>
      <c r="E16" s="259"/>
      <c r="F16" s="259"/>
      <c r="G16" s="259"/>
      <c r="H16" s="259"/>
      <c r="I16" s="259"/>
      <c r="J16" s="259"/>
      <c r="K16" s="259"/>
      <c r="L16" s="259"/>
    </row>
    <row r="17" spans="1:12">
      <c r="A17" s="253">
        <v>16</v>
      </c>
      <c r="B17" s="253" t="s">
        <v>3708</v>
      </c>
      <c r="C17" s="261" t="s">
        <v>3492</v>
      </c>
      <c r="D17" s="253">
        <v>210.5</v>
      </c>
      <c r="E17" s="259"/>
      <c r="F17" s="259"/>
      <c r="G17" s="259"/>
      <c r="H17" s="259"/>
      <c r="I17" s="259"/>
      <c r="J17" s="259"/>
      <c r="K17" s="259"/>
      <c r="L17" s="259"/>
    </row>
    <row r="18" spans="1:12">
      <c r="A18" s="253">
        <v>17</v>
      </c>
      <c r="B18" s="253" t="s">
        <v>3708</v>
      </c>
      <c r="C18" s="260" t="s">
        <v>3710</v>
      </c>
      <c r="D18" s="253">
        <v>184.5</v>
      </c>
      <c r="E18" s="259"/>
      <c r="F18" s="259"/>
      <c r="G18" s="259"/>
      <c r="H18" s="259"/>
      <c r="I18" s="259"/>
      <c r="J18" s="259"/>
      <c r="K18" s="259"/>
      <c r="L18" s="259"/>
    </row>
    <row r="19" spans="1:12">
      <c r="A19" s="262">
        <v>18</v>
      </c>
      <c r="B19" s="262" t="s">
        <v>3708</v>
      </c>
      <c r="C19" s="263" t="s">
        <v>3711</v>
      </c>
      <c r="D19" s="262">
        <v>343</v>
      </c>
      <c r="E19" s="259"/>
      <c r="F19" s="259"/>
      <c r="G19" s="259"/>
      <c r="H19" s="259"/>
      <c r="I19" s="259"/>
      <c r="J19" s="259"/>
      <c r="K19" s="259"/>
      <c r="L19" s="259"/>
    </row>
    <row r="20" spans="1:12">
      <c r="A20" s="253"/>
      <c r="B20" s="253"/>
      <c r="C20" s="253"/>
      <c r="D20" s="255">
        <f>SUM(D2:D19)</f>
        <v>20627.650000000001</v>
      </c>
      <c r="E20" s="259"/>
      <c r="F20" s="259"/>
      <c r="G20" s="259"/>
      <c r="H20" s="259"/>
      <c r="I20" s="259"/>
      <c r="J20" s="259"/>
      <c r="K20" s="259"/>
      <c r="L20" s="259"/>
    </row>
    <row r="21" spans="1:12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</row>
    <row r="22" spans="1:12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</row>
    <row r="23" spans="1:12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</row>
    <row r="24" spans="1:12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</row>
    <row r="25" spans="1:12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</row>
    <row r="26" spans="1:12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</row>
    <row r="27" spans="1:12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</row>
    <row r="28" spans="1:12">
      <c r="A28" s="25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</row>
    <row r="29" spans="1:12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</row>
    <row r="30" spans="1:12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</row>
    <row r="31" spans="1:12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</row>
    <row r="32" spans="1:12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</row>
    <row r="34" spans="1:12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</row>
    <row r="35" spans="1:12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</row>
    <row r="36" spans="1:1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</row>
    <row r="37" spans="1:12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</row>
    <row r="38" spans="1:12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</row>
    <row r="39" spans="1:12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</row>
    <row r="40" spans="1:12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</row>
    <row r="41" spans="1:12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</row>
    <row r="42" spans="1:12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</row>
    <row r="43" spans="1:12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</row>
    <row r="44" spans="1:12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</row>
    <row r="45" spans="1:12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</row>
    <row r="46" spans="1:12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</row>
    <row r="47" spans="1:12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</row>
    <row r="48" spans="1:12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</row>
    <row r="49" spans="1:12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</row>
    <row r="50" spans="1:12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</row>
    <row r="51" spans="1:12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</row>
    <row r="52" spans="1:12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</row>
    <row r="53" spans="1:12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</row>
    <row r="54" spans="1:12">
      <c r="A54" s="259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</row>
    <row r="55" spans="1:12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</row>
    <row r="56" spans="1:1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</row>
    <row r="57" spans="1:12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</row>
    <row r="58" spans="1:12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</row>
    <row r="59" spans="1:12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</row>
    <row r="60" spans="1:12">
      <c r="A60" s="259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</row>
    <row r="61" spans="1:12">
      <c r="A61" s="259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</row>
    <row r="62" spans="1:12">
      <c r="A62" s="259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</row>
    <row r="63" spans="1:12">
      <c r="A63" s="259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</row>
    <row r="64" spans="1:12">
      <c r="A64" s="259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</row>
    <row r="65" spans="1:12">
      <c r="A65" s="259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</row>
    <row r="66" spans="1:12">
      <c r="A66" s="259"/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</row>
    <row r="67" spans="1:12">
      <c r="A67" s="259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</row>
    <row r="68" spans="1:12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</row>
    <row r="69" spans="1:12">
      <c r="A69" s="259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</row>
    <row r="70" spans="1:12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</row>
    <row r="71" spans="1:12">
      <c r="A71" s="259"/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</row>
    <row r="72" spans="1:12">
      <c r="A72" s="259"/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</row>
    <row r="73" spans="1:12">
      <c r="A73" s="259"/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</row>
    <row r="74" spans="1:12">
      <c r="A74" s="259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</row>
    <row r="75" spans="1:12">
      <c r="A75" s="259"/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</row>
    <row r="76" spans="1:12">
      <c r="A76" s="259"/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59"/>
    </row>
    <row r="77" spans="1:12">
      <c r="A77" s="259"/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</row>
    <row r="78" spans="1:12">
      <c r="A78" s="259"/>
      <c r="B78" s="259"/>
      <c r="C78" s="259"/>
      <c r="D78" s="259"/>
      <c r="E78" s="259"/>
      <c r="F78" s="259"/>
      <c r="G78" s="259"/>
      <c r="H78" s="259"/>
      <c r="I78" s="259"/>
      <c r="J78" s="259"/>
      <c r="K78" s="259"/>
      <c r="L78" s="259"/>
    </row>
    <row r="79" spans="1:12">
      <c r="A79" s="259"/>
      <c r="B79" s="259"/>
      <c r="C79" s="259"/>
      <c r="D79" s="259"/>
      <c r="E79" s="259"/>
      <c r="F79" s="259"/>
      <c r="G79" s="259"/>
      <c r="H79" s="259"/>
      <c r="I79" s="259"/>
      <c r="J79" s="259"/>
      <c r="K79" s="259"/>
      <c r="L79" s="259"/>
    </row>
    <row r="80" spans="1:12">
      <c r="A80" s="259"/>
      <c r="B80" s="259"/>
      <c r="C80" s="259"/>
      <c r="D80" s="259"/>
      <c r="E80" s="259"/>
      <c r="F80" s="259"/>
      <c r="G80" s="259"/>
      <c r="H80" s="259"/>
      <c r="I80" s="259"/>
      <c r="J80" s="259"/>
      <c r="K80" s="259"/>
      <c r="L80" s="259"/>
    </row>
    <row r="81" spans="1:12">
      <c r="A81" s="259"/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</row>
    <row r="82" spans="1:12">
      <c r="A82" s="259"/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</row>
    <row r="83" spans="1:12">
      <c r="A83" s="259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</row>
    <row r="84" spans="1:12">
      <c r="A84" s="259"/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</row>
    <row r="85" spans="1:12">
      <c r="A85" s="259"/>
      <c r="B85" s="259"/>
      <c r="C85" s="259"/>
      <c r="D85" s="259"/>
      <c r="E85" s="259"/>
      <c r="F85" s="259"/>
      <c r="G85" s="259"/>
      <c r="H85" s="259"/>
      <c r="I85" s="259"/>
      <c r="J85" s="259"/>
      <c r="K85" s="259"/>
      <c r="L85" s="259"/>
    </row>
    <row r="86" spans="1:12">
      <c r="A86" s="259"/>
      <c r="B86" s="259"/>
      <c r="C86" s="259"/>
      <c r="D86" s="259"/>
      <c r="E86" s="259"/>
      <c r="F86" s="259"/>
      <c r="G86" s="259"/>
      <c r="H86" s="259"/>
      <c r="I86" s="259"/>
      <c r="J86" s="259"/>
      <c r="K86" s="259"/>
      <c r="L86" s="259"/>
    </row>
    <row r="87" spans="1:12">
      <c r="A87" s="259"/>
      <c r="B87" s="259"/>
      <c r="C87" s="259"/>
      <c r="D87" s="259"/>
      <c r="E87" s="259"/>
      <c r="F87" s="259"/>
      <c r="G87" s="259"/>
      <c r="H87" s="259"/>
      <c r="I87" s="259"/>
      <c r="J87" s="259"/>
      <c r="K87" s="259"/>
      <c r="L87" s="259"/>
    </row>
    <row r="88" spans="1:12">
      <c r="A88" s="259"/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59"/>
    </row>
    <row r="89" spans="1:12">
      <c r="A89" s="259"/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</row>
    <row r="90" spans="1:12">
      <c r="A90" s="259"/>
      <c r="B90" s="259"/>
      <c r="C90" s="259"/>
      <c r="D90" s="259"/>
      <c r="E90" s="259"/>
      <c r="F90" s="259"/>
      <c r="G90" s="259"/>
      <c r="H90" s="259"/>
      <c r="I90" s="259"/>
      <c r="J90" s="259"/>
      <c r="K90" s="259"/>
      <c r="L90" s="259"/>
    </row>
    <row r="91" spans="1:12">
      <c r="A91" s="259"/>
      <c r="B91" s="259"/>
      <c r="C91" s="259"/>
      <c r="D91" s="259"/>
      <c r="E91" s="259"/>
      <c r="F91" s="259"/>
      <c r="G91" s="259"/>
      <c r="H91" s="259"/>
      <c r="I91" s="259"/>
      <c r="J91" s="259"/>
      <c r="K91" s="259"/>
      <c r="L91" s="259"/>
    </row>
    <row r="92" spans="1:12">
      <c r="A92" s="259"/>
      <c r="B92" s="259"/>
      <c r="C92" s="259"/>
      <c r="D92" s="259"/>
      <c r="E92" s="259"/>
      <c r="F92" s="259"/>
      <c r="G92" s="259"/>
      <c r="H92" s="259"/>
      <c r="I92" s="259"/>
      <c r="J92" s="259"/>
      <c r="K92" s="259"/>
      <c r="L92" s="259"/>
    </row>
    <row r="93" spans="1:12">
      <c r="A93" s="259"/>
      <c r="B93" s="259"/>
      <c r="C93" s="259"/>
      <c r="D93" s="259"/>
      <c r="E93" s="259"/>
      <c r="F93" s="259"/>
      <c r="G93" s="259"/>
      <c r="H93" s="259"/>
      <c r="I93" s="259"/>
      <c r="J93" s="259"/>
      <c r="K93" s="259"/>
      <c r="L93" s="259"/>
    </row>
    <row r="94" spans="1:12">
      <c r="A94" s="259"/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</row>
    <row r="95" spans="1:12">
      <c r="A95" s="259"/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</row>
    <row r="96" spans="1:12">
      <c r="A96" s="259"/>
      <c r="B96" s="259"/>
      <c r="C96" s="259"/>
      <c r="D96" s="259"/>
      <c r="E96" s="259"/>
      <c r="F96" s="259"/>
      <c r="G96" s="259"/>
      <c r="H96" s="259"/>
      <c r="I96" s="259"/>
      <c r="J96" s="259"/>
      <c r="K96" s="259"/>
      <c r="L96" s="259"/>
    </row>
    <row r="97" spans="1:12">
      <c r="A97" s="259"/>
      <c r="B97" s="259"/>
      <c r="C97" s="259"/>
      <c r="D97" s="259"/>
      <c r="E97" s="259"/>
      <c r="F97" s="259"/>
      <c r="G97" s="259"/>
      <c r="H97" s="259"/>
      <c r="I97" s="259"/>
      <c r="J97" s="259"/>
      <c r="K97" s="259"/>
      <c r="L97" s="259"/>
    </row>
    <row r="98" spans="1:12">
      <c r="A98" s="259"/>
      <c r="B98" s="259"/>
      <c r="C98" s="259"/>
      <c r="D98" s="259"/>
      <c r="E98" s="259"/>
      <c r="F98" s="259"/>
      <c r="G98" s="259"/>
      <c r="H98" s="259"/>
      <c r="I98" s="259"/>
      <c r="J98" s="259"/>
      <c r="K98" s="259"/>
      <c r="L98" s="259"/>
    </row>
    <row r="99" spans="1:12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259"/>
      <c r="L99" s="259"/>
    </row>
    <row r="100" spans="1:12">
      <c r="A100" s="259"/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</row>
    <row r="101" spans="1:12">
      <c r="A101" s="259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</row>
    <row r="102" spans="1:12">
      <c r="A102" s="259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</row>
    <row r="103" spans="1:12">
      <c r="A103" s="259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</row>
    <row r="104" spans="1:12">
      <c r="A104" s="259"/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</row>
    <row r="105" spans="1:12">
      <c r="A105" s="259"/>
      <c r="B105" s="259"/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</row>
    <row r="106" spans="1:12">
      <c r="A106" s="259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</row>
    <row r="107" spans="1:12">
      <c r="A107" s="259"/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</row>
    <row r="108" spans="1:12">
      <c r="A108" s="259"/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</row>
    <row r="109" spans="1:12">
      <c r="A109" s="259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</row>
    <row r="110" spans="1:12">
      <c r="A110" s="259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</row>
    <row r="111" spans="1:12">
      <c r="A111" s="259"/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</row>
    <row r="112" spans="1:12">
      <c r="A112" s="259"/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</row>
    <row r="113" spans="1:12">
      <c r="A113" s="259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</row>
    <row r="114" spans="1:12">
      <c r="A114" s="259"/>
      <c r="B114" s="259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</row>
    <row r="115" spans="1:12">
      <c r="A115" s="259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</row>
    <row r="116" spans="1:12">
      <c r="A116" s="259"/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</row>
    <row r="117" spans="1:12">
      <c r="A117" s="259"/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</row>
    <row r="118" spans="1:12">
      <c r="A118" s="259"/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</row>
    <row r="119" spans="1:12">
      <c r="A119" s="259"/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</row>
    <row r="120" spans="1:12">
      <c r="A120" s="259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</row>
    <row r="121" spans="1:12">
      <c r="A121" s="259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</row>
    <row r="122" spans="1:12">
      <c r="A122" s="259"/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</row>
    <row r="123" spans="1:12">
      <c r="A123" s="259"/>
      <c r="B123" s="259"/>
      <c r="C123" s="259"/>
      <c r="D123" s="259"/>
      <c r="E123" s="259"/>
      <c r="F123" s="259"/>
      <c r="G123" s="259"/>
      <c r="H123" s="259"/>
      <c r="I123" s="259"/>
      <c r="J123" s="259"/>
      <c r="K123" s="259"/>
      <c r="L123" s="259"/>
    </row>
    <row r="124" spans="1:12">
      <c r="A124" s="259"/>
      <c r="B124" s="259"/>
      <c r="C124" s="259"/>
      <c r="D124" s="259"/>
      <c r="E124" s="259"/>
      <c r="F124" s="259"/>
      <c r="G124" s="259"/>
      <c r="H124" s="259"/>
      <c r="I124" s="259"/>
      <c r="J124" s="259"/>
      <c r="K124" s="259"/>
      <c r="L124" s="259"/>
    </row>
    <row r="125" spans="1:12">
      <c r="A125" s="259"/>
      <c r="B125" s="259"/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</row>
    <row r="126" spans="1:12">
      <c r="A126" s="259"/>
      <c r="B126" s="259"/>
      <c r="C126" s="259"/>
      <c r="D126" s="259"/>
      <c r="E126" s="259"/>
      <c r="F126" s="259"/>
      <c r="G126" s="259"/>
      <c r="H126" s="259"/>
      <c r="I126" s="259"/>
      <c r="J126" s="259"/>
      <c r="K126" s="259"/>
      <c r="L126" s="259"/>
    </row>
    <row r="127" spans="1:12">
      <c r="A127" s="259"/>
      <c r="B127" s="259"/>
      <c r="C127" s="259"/>
      <c r="D127" s="259"/>
      <c r="E127" s="259"/>
      <c r="F127" s="259"/>
      <c r="G127" s="259"/>
      <c r="H127" s="259"/>
      <c r="I127" s="259"/>
      <c r="J127" s="259"/>
      <c r="K127" s="259"/>
      <c r="L127" s="259"/>
    </row>
    <row r="128" spans="1:12">
      <c r="A128" s="259"/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</row>
    <row r="129" spans="1:12">
      <c r="A129" s="259"/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</row>
    <row r="130" spans="1:12">
      <c r="A130" s="259"/>
      <c r="B130" s="259"/>
      <c r="C130" s="259"/>
      <c r="D130" s="259"/>
      <c r="E130" s="259"/>
      <c r="F130" s="259"/>
      <c r="G130" s="259"/>
      <c r="H130" s="259"/>
      <c r="I130" s="259"/>
      <c r="J130" s="259"/>
      <c r="K130" s="259"/>
      <c r="L130" s="259"/>
    </row>
    <row r="131" spans="1:12">
      <c r="A131" s="259"/>
      <c r="B131" s="259"/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</row>
    <row r="132" spans="1:12">
      <c r="A132" s="259"/>
      <c r="B132" s="259"/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</row>
    <row r="133" spans="1:12">
      <c r="A133" s="259"/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</row>
    <row r="134" spans="1:12">
      <c r="A134" s="259"/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</row>
    <row r="135" spans="1:12">
      <c r="A135" s="259"/>
      <c r="B135" s="259"/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</row>
    <row r="136" spans="1:12">
      <c r="A136" s="259"/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</row>
    <row r="137" spans="1:12">
      <c r="A137" s="259"/>
      <c r="B137" s="259"/>
      <c r="C137" s="259"/>
      <c r="D137" s="259"/>
      <c r="E137" s="259"/>
      <c r="F137" s="259"/>
      <c r="G137" s="259"/>
      <c r="H137" s="259"/>
      <c r="I137" s="259"/>
      <c r="J137" s="259"/>
      <c r="K137" s="259"/>
      <c r="L137" s="259"/>
    </row>
    <row r="138" spans="1:12">
      <c r="A138" s="259"/>
      <c r="B138" s="259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</row>
    <row r="139" spans="1:12">
      <c r="A139" s="259"/>
      <c r="B139" s="259"/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</row>
    <row r="140" spans="1:12">
      <c r="A140" s="259"/>
      <c r="B140" s="259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</row>
    <row r="141" spans="1:12">
      <c r="A141" s="259"/>
      <c r="B141" s="259"/>
      <c r="C141" s="259"/>
      <c r="D141" s="259"/>
      <c r="E141" s="259"/>
      <c r="F141" s="259"/>
      <c r="G141" s="259"/>
      <c r="H141" s="259"/>
      <c r="I141" s="259"/>
      <c r="J141" s="259"/>
      <c r="K141" s="259"/>
      <c r="L141" s="259"/>
    </row>
    <row r="142" spans="1:12">
      <c r="A142" s="259"/>
      <c r="B142" s="259"/>
      <c r="C142" s="259"/>
      <c r="D142" s="259"/>
      <c r="E142" s="259"/>
      <c r="F142" s="259"/>
      <c r="G142" s="259"/>
      <c r="H142" s="259"/>
      <c r="I142" s="259"/>
      <c r="J142" s="259"/>
      <c r="K142" s="259"/>
      <c r="L142" s="259"/>
    </row>
    <row r="143" spans="1:12">
      <c r="A143" s="259"/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  <c r="L143" s="259"/>
    </row>
    <row r="144" spans="1:12">
      <c r="A144" s="259"/>
      <c r="B144" s="259"/>
      <c r="C144" s="259"/>
      <c r="D144" s="259"/>
      <c r="E144" s="259"/>
      <c r="F144" s="259"/>
      <c r="G144" s="259"/>
      <c r="H144" s="259"/>
      <c r="I144" s="259"/>
      <c r="J144" s="259"/>
      <c r="K144" s="259"/>
      <c r="L144" s="259"/>
    </row>
    <row r="145" spans="1:12">
      <c r="A145" s="259"/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</row>
    <row r="146" spans="1:12">
      <c r="A146" s="259"/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</row>
    <row r="147" spans="1:12">
      <c r="A147" s="259"/>
      <c r="B147" s="259"/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</row>
    <row r="148" spans="1:12">
      <c r="A148" s="259"/>
      <c r="B148" s="259"/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</row>
    <row r="149" spans="1:12">
      <c r="A149" s="259"/>
      <c r="B149" s="259"/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</row>
    <row r="150" spans="1:12">
      <c r="A150" s="259"/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</row>
    <row r="151" spans="1:12">
      <c r="A151" s="259"/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</row>
    <row r="152" spans="1:12">
      <c r="A152" s="259"/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</row>
    <row r="153" spans="1:12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</row>
    <row r="154" spans="1:12">
      <c r="A154" s="259"/>
      <c r="B154" s="259"/>
      <c r="C154" s="259"/>
      <c r="D154" s="259"/>
      <c r="E154" s="259"/>
      <c r="F154" s="259"/>
      <c r="G154" s="259"/>
      <c r="H154" s="259"/>
      <c r="I154" s="259"/>
      <c r="J154" s="259"/>
      <c r="K154" s="259"/>
      <c r="L154" s="259"/>
    </row>
    <row r="155" spans="1:12">
      <c r="A155" s="259"/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59"/>
    </row>
    <row r="156" spans="1:12">
      <c r="A156" s="259"/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59"/>
    </row>
    <row r="157" spans="1:12">
      <c r="A157" s="259"/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</row>
    <row r="158" spans="1:12">
      <c r="A158" s="259"/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</row>
    <row r="159" spans="1:12">
      <c r="A159" s="259"/>
      <c r="B159" s="259"/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</row>
    <row r="160" spans="1:12">
      <c r="A160" s="259"/>
      <c r="B160" s="259"/>
      <c r="C160" s="259"/>
      <c r="D160" s="259"/>
      <c r="E160" s="259"/>
      <c r="F160" s="259"/>
      <c r="G160" s="259"/>
      <c r="H160" s="259"/>
      <c r="I160" s="259"/>
      <c r="J160" s="259"/>
      <c r="K160" s="259"/>
      <c r="L160" s="259"/>
    </row>
    <row r="161" spans="1:12">
      <c r="A161" s="259"/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  <c r="L161" s="259"/>
    </row>
    <row r="162" spans="1:12">
      <c r="A162" s="259"/>
      <c r="B162" s="259"/>
      <c r="C162" s="259"/>
      <c r="D162" s="259"/>
      <c r="E162" s="259"/>
      <c r="F162" s="259"/>
      <c r="G162" s="259"/>
      <c r="H162" s="259"/>
      <c r="I162" s="259"/>
      <c r="J162" s="259"/>
      <c r="K162" s="259"/>
      <c r="L162" s="259"/>
    </row>
    <row r="163" spans="1:12">
      <c r="A163" s="259"/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  <c r="L163" s="259"/>
    </row>
    <row r="164" spans="1:12">
      <c r="A164" s="259"/>
      <c r="B164" s="259"/>
      <c r="C164" s="259"/>
      <c r="D164" s="259"/>
      <c r="E164" s="259"/>
      <c r="F164" s="259"/>
      <c r="G164" s="259"/>
      <c r="H164" s="259"/>
      <c r="I164" s="259"/>
      <c r="J164" s="259"/>
      <c r="K164" s="259"/>
      <c r="L164" s="259"/>
    </row>
    <row r="165" spans="1:12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</row>
    <row r="166" spans="1:12">
      <c r="A166" s="259"/>
      <c r="B166" s="259"/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</row>
    <row r="167" spans="1:12">
      <c r="A167" s="259"/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</row>
    <row r="168" spans="1:12">
      <c r="A168" s="259"/>
      <c r="B168" s="259"/>
      <c r="C168" s="259"/>
      <c r="D168" s="259"/>
      <c r="E168" s="259"/>
      <c r="F168" s="259"/>
      <c r="G168" s="259"/>
      <c r="H168" s="259"/>
      <c r="I168" s="259"/>
      <c r="J168" s="259"/>
      <c r="K168" s="259"/>
      <c r="L168" s="259"/>
    </row>
    <row r="169" spans="1:12">
      <c r="A169" s="259"/>
      <c r="B169" s="259"/>
      <c r="C169" s="259"/>
      <c r="D169" s="259"/>
      <c r="E169" s="259"/>
      <c r="F169" s="259"/>
      <c r="G169" s="259"/>
      <c r="H169" s="259"/>
      <c r="I169" s="259"/>
      <c r="J169" s="259"/>
      <c r="K169" s="259"/>
      <c r="L169" s="259"/>
    </row>
    <row r="170" spans="1:12">
      <c r="A170" s="259"/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</row>
    <row r="171" spans="1:12">
      <c r="A171" s="259"/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</row>
    <row r="172" spans="1:12">
      <c r="A172" s="259"/>
      <c r="B172" s="259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</row>
    <row r="173" spans="1:12">
      <c r="A173" s="259"/>
      <c r="B173" s="259"/>
      <c r="C173" s="259"/>
      <c r="D173" s="259"/>
      <c r="E173" s="259"/>
      <c r="F173" s="259"/>
      <c r="G173" s="259"/>
      <c r="H173" s="259"/>
      <c r="I173" s="259"/>
      <c r="J173" s="259"/>
      <c r="K173" s="259"/>
      <c r="L173" s="259"/>
    </row>
    <row r="174" spans="1:12">
      <c r="A174" s="259"/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</row>
    <row r="175" spans="1:12">
      <c r="A175" s="259"/>
      <c r="B175" s="259"/>
      <c r="C175" s="259"/>
      <c r="D175" s="259"/>
      <c r="E175" s="259"/>
      <c r="F175" s="259"/>
      <c r="G175" s="259"/>
      <c r="H175" s="259"/>
      <c r="I175" s="259"/>
      <c r="J175" s="259"/>
      <c r="K175" s="259"/>
      <c r="L175" s="259"/>
    </row>
    <row r="176" spans="1:12">
      <c r="A176" s="259"/>
      <c r="B176" s="259"/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</row>
    <row r="177" spans="1:12">
      <c r="A177" s="259"/>
      <c r="B177" s="259"/>
      <c r="C177" s="259"/>
      <c r="D177" s="259"/>
      <c r="E177" s="259"/>
      <c r="F177" s="259"/>
      <c r="G177" s="259"/>
      <c r="H177" s="259"/>
      <c r="I177" s="259"/>
      <c r="J177" s="259"/>
      <c r="K177" s="259"/>
      <c r="L177" s="259"/>
    </row>
  </sheetData>
  <phoneticPr fontId="4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interlineOnOff="0" isDashBoardSheet="0" isDbSheet="0" isDbDashBoardSheet="0" interlineColor="0" isFlexPaperSheet="0" sheetStid="20">
      <cellprotection/>
      <appEtDbRelations/>
    </woSheetProps>
    <woSheetProps interlineOnOff="0" isDashBoardSheet="0" isDbSheet="0" isDbDashBoardSheet="0" interlineColor="0" isFlexPaperSheet="0" sheetStid="21">
      <cellprotection/>
      <appEtDbRelations/>
    </woSheetProps>
    <woSheetProps interlineOnOff="0" isDashBoardSheet="0" isDbSheet="0" isDbDashBoardSheet="0" interlineColor="0" isFlexPaperSheet="0" sheetStid="23">
      <cellprotection/>
      <appEtDbRelations/>
    </woSheetProps>
    <woSheetProps interlineOnOff="0" isDashBoardSheet="0" isDbSheet="0" isDbDashBoardSheet="0" interlineColor="0" isFlexPaperSheet="0" sheetStid="15">
      <cellprotection/>
      <appEtDbRelations/>
    </woSheetProps>
    <woSheetProps interlineOnOff="0" isDashBoardSheet="0" isDbSheet="0" isDbDashBoardSheet="0" interlineColor="0" isFlexPaperSheet="0" sheetStid="14">
      <cellprotection/>
      <appEtDbRelations/>
    </woSheetProps>
    <woSheetProps interlineOnOff="0" isDashBoardSheet="0" isDbSheet="0" isDbDashBoardSheet="0" interlineColor="0" isFlexPaperSheet="0" sheetStid="12">
      <cellprotection/>
      <appEtDbRelations/>
    </woSheetProps>
  </woSheetsProps>
  <woBookProps>
    <bookSettings isInserPicAsAttachment="0" isFilterShared="1" isAutoUpdatePaused="0" coreConquerUserId="" fileId="" isMergeTasksAutoUpdate="0" filterType="conn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火车票明细</vt:lpstr>
      <vt:lpstr>嘉宾报销大交通明细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2023-08-10T08:45:00Z</dcterms:created>
  <dcterms:modified xsi:type="dcterms:W3CDTF">2025-12-12T09:47:51Z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6399EF89F98217A77D32216964BA3ADF_43</vt:lpwstr>
  </property>
</Properties>
</file>