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D1DF36C5-55A4-BF43-BC9F-38B4905425B4}" xr6:coauthVersionLast="47" xr6:coauthVersionMax="47" xr10:uidLastSave="{00000000-0000-0000-0000-000000000000}"/>
  <bookViews>
    <workbookView xWindow="0" yWindow="0" windowWidth="30720" windowHeight="192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4" l="1"/>
  <c r="P39" i="14"/>
  <c r="L30" i="14"/>
  <c r="L31" i="14"/>
  <c r="P34" i="14"/>
  <c r="P28" i="14"/>
  <c r="P11" i="14"/>
  <c r="P7" i="14"/>
  <c r="P13" i="14"/>
  <c r="K13" i="14"/>
  <c r="Q13" i="14"/>
  <c r="G13" i="14"/>
  <c r="K8" i="14"/>
  <c r="Q8" i="14"/>
  <c r="J8" i="14"/>
  <c r="P8" i="14"/>
  <c r="I8" i="14"/>
  <c r="H8" i="14"/>
  <c r="G8" i="14"/>
  <c r="J22" i="14"/>
  <c r="P22" i="14"/>
  <c r="Q22" i="14"/>
  <c r="R13" i="14"/>
  <c r="R22" i="14"/>
  <c r="R8" i="14"/>
  <c r="P18" i="14"/>
  <c r="K18" i="14"/>
  <c r="Q18" i="14"/>
  <c r="G18" i="14"/>
  <c r="P17" i="14"/>
  <c r="K17" i="14"/>
  <c r="Q17" i="14"/>
  <c r="G17" i="14"/>
  <c r="Q14" i="14"/>
  <c r="P14" i="14"/>
  <c r="K5" i="14"/>
  <c r="Q5" i="14"/>
  <c r="J5" i="14"/>
  <c r="P5" i="14"/>
  <c r="I5" i="14"/>
  <c r="H5" i="14"/>
  <c r="G5" i="14"/>
  <c r="K2" i="14"/>
  <c r="Q2" i="14"/>
  <c r="J2" i="14"/>
  <c r="P2" i="14"/>
  <c r="I2" i="14"/>
  <c r="H2" i="14"/>
  <c r="G2" i="14"/>
  <c r="R18" i="14"/>
  <c r="R17" i="14"/>
  <c r="R14" i="14"/>
  <c r="R5" i="14"/>
  <c r="R2" i="14"/>
  <c r="J29" i="14"/>
  <c r="J30" i="14"/>
  <c r="J31" i="14"/>
  <c r="J32" i="14"/>
  <c r="P16" i="14"/>
  <c r="P3" i="14"/>
  <c r="P4" i="14"/>
  <c r="J9" i="14"/>
  <c r="P9" i="14"/>
  <c r="P12" i="14"/>
  <c r="P15" i="14"/>
  <c r="J19" i="14"/>
  <c r="P19" i="14"/>
  <c r="J20" i="14"/>
  <c r="P20" i="14"/>
  <c r="J21" i="14"/>
  <c r="P21" i="14"/>
  <c r="P23" i="14"/>
  <c r="P24" i="14"/>
  <c r="P25" i="14"/>
  <c r="P26" i="14"/>
  <c r="K21" i="14"/>
  <c r="Q21" i="14"/>
  <c r="I21" i="14"/>
  <c r="H21" i="14"/>
  <c r="G21" i="14"/>
  <c r="Q19" i="14"/>
  <c r="Q15" i="14"/>
  <c r="H20" i="14"/>
  <c r="P37" i="14"/>
  <c r="K29" i="14"/>
  <c r="Q29" i="14"/>
  <c r="K30" i="14"/>
  <c r="Q30" i="14"/>
  <c r="K31" i="14"/>
  <c r="Q31" i="14"/>
  <c r="K32" i="14"/>
  <c r="Q32" i="14"/>
  <c r="K12" i="14"/>
  <c r="Q12" i="14"/>
  <c r="K16" i="14"/>
  <c r="Q16" i="14"/>
  <c r="K20" i="14"/>
  <c r="Q20" i="14"/>
  <c r="Q23" i="14"/>
  <c r="Q24" i="14"/>
  <c r="Q25" i="14"/>
  <c r="Q26" i="14"/>
  <c r="K9" i="14"/>
  <c r="Q9" i="14"/>
  <c r="Q11" i="14"/>
  <c r="K3" i="14"/>
  <c r="Q3" i="14"/>
  <c r="K4" i="14"/>
  <c r="Q4" i="14"/>
  <c r="G3" i="14"/>
  <c r="H9" i="14"/>
  <c r="I29" i="14"/>
  <c r="H29" i="14"/>
  <c r="G29" i="14"/>
  <c r="I32" i="14"/>
  <c r="H32" i="14"/>
  <c r="G32" i="14"/>
  <c r="I31" i="14"/>
  <c r="H31" i="14"/>
  <c r="G31" i="14"/>
  <c r="C13" i="15"/>
  <c r="I30" i="14"/>
  <c r="H30" i="14"/>
  <c r="G30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G4" i="14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37" i="14"/>
  <c r="R37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I20" i="14"/>
  <c r="G20" i="14"/>
  <c r="G16" i="14"/>
  <c r="G12" i="14"/>
  <c r="I9" i="14"/>
  <c r="G9" i="14"/>
  <c r="Q86" i="23"/>
  <c r="Q85" i="23"/>
  <c r="Q84" i="23"/>
  <c r="C16" i="15"/>
  <c r="C15" i="15"/>
  <c r="E16" i="15"/>
  <c r="E15" i="15"/>
  <c r="E13" i="15"/>
  <c r="C11" i="15"/>
  <c r="E11" i="15"/>
  <c r="E17" i="15"/>
  <c r="C17" i="15"/>
  <c r="E18" i="15"/>
  <c r="C18" i="15"/>
  <c r="R25" i="14"/>
  <c r="R21" i="14"/>
  <c r="R24" i="14"/>
  <c r="G13" i="15"/>
  <c r="R16" i="14"/>
  <c r="C10" i="15"/>
  <c r="R26" i="14"/>
  <c r="G11" i="15"/>
  <c r="R20" i="14"/>
  <c r="Q7" i="14"/>
  <c r="G16" i="15"/>
  <c r="G15" i="15"/>
  <c r="R23" i="14"/>
  <c r="Q28" i="14"/>
  <c r="E14" i="15"/>
  <c r="G18" i="15"/>
  <c r="R19" i="14"/>
  <c r="R15" i="14"/>
  <c r="G17" i="15"/>
  <c r="G20" i="15"/>
  <c r="R12" i="14"/>
  <c r="R4" i="14"/>
  <c r="Q34" i="14"/>
  <c r="R3" i="14"/>
  <c r="C12" i="15"/>
  <c r="R9" i="14"/>
  <c r="E12" i="15"/>
  <c r="P31" i="14"/>
  <c r="L32" i="14"/>
  <c r="P32" i="14"/>
  <c r="R32" i="14"/>
  <c r="Q36" i="14"/>
  <c r="Q39" i="14"/>
  <c r="G12" i="15"/>
  <c r="R11" i="14"/>
  <c r="C14" i="15"/>
  <c r="G14" i="15"/>
  <c r="P30" i="14"/>
  <c r="R30" i="14"/>
  <c r="L29" i="14"/>
  <c r="P29" i="14"/>
  <c r="R7" i="14"/>
  <c r="E10" i="15"/>
  <c r="G10" i="15"/>
  <c r="R31" i="14"/>
  <c r="R28" i="14"/>
  <c r="R29" i="14"/>
  <c r="E22" i="15"/>
  <c r="Q41" i="14"/>
  <c r="Q40" i="14"/>
  <c r="E21" i="15"/>
  <c r="Q42" i="14"/>
  <c r="R34" i="14"/>
  <c r="F18" i="15"/>
  <c r="F10" i="15"/>
  <c r="F11" i="15"/>
  <c r="F21" i="15"/>
  <c r="F16" i="15"/>
  <c r="F15" i="15"/>
  <c r="F12" i="15"/>
  <c r="F17" i="15"/>
  <c r="F14" i="15"/>
  <c r="F13" i="15"/>
  <c r="F20" i="15"/>
  <c r="R36" i="14"/>
  <c r="P42" i="14"/>
  <c r="P41" i="14"/>
  <c r="C21" i="15"/>
  <c r="C22" i="15"/>
  <c r="P40" i="14"/>
  <c r="R39" i="14"/>
  <c r="D20" i="15"/>
  <c r="G22" i="15"/>
  <c r="D15" i="15"/>
  <c r="D18" i="15"/>
  <c r="D13" i="15"/>
  <c r="D10" i="15"/>
  <c r="D11" i="15"/>
  <c r="D12" i="15"/>
  <c r="D14" i="15"/>
  <c r="D21" i="15"/>
  <c r="D16" i="15"/>
  <c r="D17" i="15"/>
  <c r="G21" i="15"/>
</calcChain>
</file>

<file path=xl/sharedStrings.xml><?xml version="1.0" encoding="utf-8"?>
<sst xmlns="http://schemas.openxmlformats.org/spreadsheetml/2006/main" count="8131" uniqueCount="3041">
  <si>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</si>
  <si>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</si>
  <si>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</si>
  <si>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</si>
  <si>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</si>
  <si>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</si>
  <si>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</si>
  <si>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</si>
  <si>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</si>
  <si>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</si>
  <si>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</si>
  <si>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</si>
  <si>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</si>
  <si>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</si>
  <si>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</si>
  <si>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</si>
  <si>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</si>
  <si>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</si>
  <si>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</si>
  <si>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</si>
  <si>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</si>
  <si>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</si>
  <si>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</si>
  <si>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</si>
  <si>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</si>
  <si>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</si>
  <si>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</si>
  <si>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</si>
  <si>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</si>
  <si>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</si>
  <si>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</si>
  <si>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</si>
  <si>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</si>
  <si>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</si>
  <si>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</si>
  <si>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</si>
  <si>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</si>
  <si>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</si>
  <si>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</si>
  <si>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</si>
  <si>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</si>
  <si>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</si>
  <si>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</si>
  <si>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</si>
  <si>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</si>
  <si>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</si>
  <si>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</si>
  <si>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</si>
  <si>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</si>
  <si>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</si>
  <si>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</si>
  <si>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</si>
  <si>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</si>
  <si>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</si>
  <si>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</si>
  <si>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</si>
  <si>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</si>
  <si>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</si>
  <si>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</si>
  <si>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</si>
  <si>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</si>
  <si>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</si>
  <si>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</si>
  <si>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</si>
  <si>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</si>
  <si>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</si>
  <si>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</si>
  <si>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</si>
  <si>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</si>
  <si>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</si>
  <si>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</si>
  <si>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</si>
  <si>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</si>
  <si>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</si>
  <si>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</si>
  <si>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</si>
  <si>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</si>
  <si>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</si>
  <si>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</si>
  <si>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</si>
  <si>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</si>
  <si>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</si>
  <si>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</si>
  <si>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</si>
  <si>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</si>
  <si>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</si>
  <si>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</si>
  <si>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</si>
  <si>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</si>
  <si>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</si>
  <si>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</si>
  <si>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</si>
  <si>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</si>
  <si>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</si>
  <si>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</si>
  <si>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</si>
  <si>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</si>
  <si>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</si>
  <si>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</si>
  <si>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</si>
  <si>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</si>
  <si>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</si>
  <si>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</si>
  <si>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</si>
  <si>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</si>
  <si>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</si>
  <si>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</si>
  <si>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</si>
  <si>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</si>
  <si>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</si>
  <si>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</si>
  <si>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</si>
  <si>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</si>
  <si>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</si>
  <si>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</si>
  <si>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</si>
  <si>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</si>
  <si>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</si>
  <si>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</si>
  <si>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</si>
  <si>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</si>
  <si>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</si>
  <si>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</si>
  <si>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</si>
  <si>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</si>
  <si>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</si>
  <si>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</si>
  <si>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</si>
  <si>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</si>
  <si>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</si>
  <si>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</si>
  <si>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</si>
  <si>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</si>
  <si>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</si>
  <si>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</si>
  <si>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</si>
  <si>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</si>
  <si>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</si>
  <si>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</si>
  <si>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</si>
  <si>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</si>
  <si>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</si>
  <si>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</si>
  <si>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</si>
  <si>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</si>
  <si>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</si>
  <si>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</si>
  <si>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</si>
  <si>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</si>
  <si>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</si>
  <si>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</si>
  <si>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</si>
  <si>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</si>
  <si>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</si>
  <si>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</si>
  <si>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</si>
  <si>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</si>
  <si>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</si>
  <si>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</si>
  <si>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</si>
  <si>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</si>
  <si>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</si>
  <si>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</si>
  <si>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</si>
  <si>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</si>
  <si>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</si>
  <si>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</si>
  <si>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</si>
  <si>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</si>
  <si>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</si>
  <si>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</si>
  <si>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</si>
  <si>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</si>
  <si>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</si>
  <si>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</si>
  <si>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</si>
  <si>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</si>
  <si>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</si>
  <si>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</si>
  <si>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</si>
  <si>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</si>
  <si>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</si>
  <si>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</si>
  <si>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</si>
  <si>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</si>
  <si>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</si>
  <si>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</si>
  <si>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</si>
  <si>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</si>
  <si>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</si>
  <si>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</si>
  <si>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</si>
  <si>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</si>
  <si>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</si>
  <si>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</si>
  <si>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</si>
  <si>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</si>
  <si>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</si>
  <si>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</si>
  <si>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</si>
  <si>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</si>
  <si>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</si>
  <si>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</si>
  <si>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</si>
  <si>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</si>
  <si>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</si>
  <si>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</si>
  <si>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</si>
  <si>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</si>
  <si>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</si>
  <si>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</si>
  <si>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</si>
  <si>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</si>
  <si>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</si>
  <si>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</si>
  <si>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</si>
  <si>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</si>
  <si>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</si>
  <si>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</si>
  <si>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</si>
  <si>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</si>
  <si>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</si>
  <si>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</si>
  <si>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</si>
  <si>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</si>
  <si>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</si>
  <si>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</si>
  <si>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</si>
  <si>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</si>
  <si>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</si>
  <si>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</si>
  <si>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</si>
  <si>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</si>
  <si>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</si>
  <si>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</si>
  <si>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</si>
  <si>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</si>
  <si>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</si>
  <si>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</si>
  <si>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</si>
  <si>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</si>
  <si>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</si>
  <si>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</si>
  <si>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</si>
  <si>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</si>
  <si>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</si>
  <si>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</si>
  <si>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</si>
  <si>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</si>
  <si>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</si>
  <si>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</si>
  <si>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</si>
  <si>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</si>
  <si>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</si>
  <si>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</si>
  <si>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</si>
  <si>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</si>
  <si>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</si>
  <si>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</si>
  <si>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</si>
  <si>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</si>
  <si>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</si>
  <si>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</si>
  <si>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</si>
  <si>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</si>
  <si>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</si>
  <si>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</si>
  <si>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</si>
  <si>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</si>
  <si>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</si>
  <si>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</si>
  <si>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</si>
  <si>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</si>
  <si>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</si>
  <si>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</si>
  <si>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</si>
  <si>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</si>
  <si>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</si>
  <si>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</si>
  <si>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</si>
  <si>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</si>
  <si>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</si>
  <si>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</si>
  <si>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</si>
  <si>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</si>
  <si>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</si>
  <si>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</si>
  <si>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</si>
  <si>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</si>
  <si>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</si>
  <si>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</si>
  <si>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</si>
  <si>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</si>
  <si>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</si>
  <si>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</si>
  <si>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</si>
  <si>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</si>
  <si>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</si>
  <si>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</si>
  <si>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</si>
  <si>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</si>
  <si>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</si>
  <si>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</si>
  <si>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</si>
  <si>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</si>
  <si>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</si>
  <si>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</si>
  <si>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</si>
  <si>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</si>
  <si>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</si>
  <si>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</si>
  <si>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</si>
  <si>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</si>
  <si>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</si>
  <si>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</si>
  <si>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</si>
  <si>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</si>
  <si>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</si>
  <si>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</si>
  <si>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</si>
  <si>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</si>
  <si>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</si>
  <si>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</si>
  <si>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</si>
  <si>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</si>
  <si>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</si>
  <si>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</si>
  <si>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</si>
  <si>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</si>
  <si>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</si>
  <si>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</si>
  <si>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</si>
  <si>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</si>
  <si>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</si>
  <si>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</si>
  <si>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</si>
  <si>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</si>
  <si>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</si>
  <si>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</si>
  <si>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</si>
  <si>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</si>
  <si>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</si>
  <si>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</si>
  <si>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</si>
  <si>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</si>
  <si>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</si>
  <si>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</si>
  <si>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</si>
  <si>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</si>
  <si>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</si>
  <si>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</si>
  <si>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</si>
  <si>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</si>
  <si>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</si>
  <si>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</si>
  <si>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</si>
  <si>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</si>
  <si>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</si>
  <si>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</si>
  <si>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</si>
  <si>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</si>
  <si>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</si>
  <si>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</si>
  <si>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</si>
  <si>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</si>
  <si>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</si>
  <si>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</si>
  <si>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</si>
  <si>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</si>
  <si>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</si>
  <si>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</si>
  <si>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</si>
  <si>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</si>
  <si>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</si>
  <si>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</si>
  <si>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</si>
  <si>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</si>
  <si>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</si>
  <si>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</si>
  <si>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</si>
  <si>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</si>
  <si>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</si>
  <si>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</si>
  <si>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</si>
  <si>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</si>
  <si>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</si>
  <si>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</si>
  <si>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</si>
  <si>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</si>
  <si>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</si>
  <si>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</si>
  <si>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</si>
  <si>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</si>
  <si>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</si>
  <si>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</si>
  <si>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</si>
  <si>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</si>
  <si>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</si>
  <si>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</si>
  <si>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</si>
  <si>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</si>
  <si>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</si>
  <si>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</si>
  <si>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</si>
  <si>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</si>
  <si>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</si>
  <si>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</si>
  <si>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</si>
  <si>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</si>
  <si>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</si>
  <si>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</si>
  <si>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</si>
  <si>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</si>
  <si>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</si>
  <si>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</si>
  <si>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</si>
  <si>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</si>
  <si>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</si>
  <si>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</si>
  <si>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</si>
  <si>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</si>
  <si>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</si>
  <si>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</si>
  <si>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</si>
  <si>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</si>
  <si>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</si>
  <si>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</si>
  <si>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</si>
  <si>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</si>
  <si>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</si>
  <si>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</si>
  <si>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</si>
  <si>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</si>
  <si>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</si>
  <si>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</si>
  <si>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</si>
  <si>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</si>
  <si>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</si>
  <si>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</si>
  <si>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</si>
  <si>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</si>
  <si>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</si>
  <si>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</si>
  <si>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</si>
  <si>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</si>
  <si>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</si>
  <si>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</si>
  <si>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</si>
  <si>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</si>
  <si>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</si>
  <si>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</si>
  <si>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</si>
  <si>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</si>
  <si>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</si>
  <si>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</si>
  <si>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</si>
  <si>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</si>
  <si>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</si>
  <si>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</si>
  <si>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</si>
  <si>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</si>
  <si>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</si>
  <si>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</si>
  <si>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</si>
  <si>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</si>
  <si>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</si>
  <si>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</si>
  <si>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</si>
  <si>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</si>
  <si>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</si>
  <si>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</si>
  <si>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</si>
  <si>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</si>
  <si>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</si>
  <si>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</si>
  <si>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</si>
  <si>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</si>
  <si>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</si>
  <si>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</si>
  <si>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</si>
  <si>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</si>
  <si>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</si>
  <si>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</si>
  <si>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</si>
  <si>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</si>
  <si>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</si>
  <si>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</si>
  <si>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</si>
  <si>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</si>
  <si>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</si>
  <si>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</si>
  <si>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</si>
  <si>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</si>
  <si>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</si>
  <si>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</si>
  <si>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</si>
  <si>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</si>
  <si>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</si>
  <si>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</si>
  <si>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</si>
  <si>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</si>
  <si>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</si>
  <si>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</si>
  <si>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</si>
  <si>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</si>
  <si>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</si>
  <si>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</si>
  <si>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</si>
  <si>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</si>
  <si>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</si>
  <si>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</si>
  <si>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</si>
  <si>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</si>
  <si>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</si>
  <si>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</si>
  <si>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</si>
  <si>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</si>
  <si>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</si>
  <si>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</si>
  <si>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</si>
  <si>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</si>
  <si>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</si>
  <si>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</si>
  <si>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</si>
  <si>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</si>
  <si>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</si>
  <si>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</si>
  <si>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</si>
  <si>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</si>
  <si>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</si>
  <si>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</si>
  <si>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</si>
  <si>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</si>
  <si>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</si>
  <si>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</si>
  <si>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</si>
  <si>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</si>
  <si>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</si>
  <si>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</si>
  <si>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</si>
  <si>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</si>
  <si>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</si>
  <si>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</si>
  <si>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</si>
  <si>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</si>
  <si>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</si>
  <si>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</si>
  <si>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</si>
  <si>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</si>
  <si>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</si>
  <si>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</si>
  <si>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</si>
  <si>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</si>
  <si>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</si>
  <si>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</si>
  <si>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</si>
  <si>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</si>
  <si>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</si>
  <si>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</si>
  <si>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</si>
  <si>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</si>
  <si>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</si>
  <si>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</si>
  <si>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</si>
  <si>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</si>
  <si>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</si>
  <si>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</si>
  <si>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</si>
  <si>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</si>
  <si>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</si>
  <si>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</si>
  <si>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</si>
  <si>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</si>
  <si>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</si>
  <si>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</si>
  <si>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</si>
  <si>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</si>
  <si>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</si>
  <si>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</si>
  <si>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</si>
  <si>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</si>
  <si>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</si>
  <si>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</si>
  <si>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</si>
  <si>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</si>
  <si>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</si>
  <si>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</si>
  <si>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</si>
  <si>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</si>
  <si>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</si>
  <si>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</si>
  <si>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</si>
  <si>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</si>
  <si>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</si>
  <si>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</si>
  <si>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</si>
  <si>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</si>
  <si>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</si>
  <si>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</si>
  <si>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</si>
  <si>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</si>
  <si>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</si>
  <si>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</si>
  <si>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</si>
  <si>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</si>
  <si>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</si>
  <si>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</si>
  <si>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</si>
  <si>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</si>
  <si>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</si>
  <si>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</si>
  <si>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</si>
  <si>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</si>
  <si>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</si>
  <si>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</si>
  <si>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</si>
  <si>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</si>
  <si>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</si>
  <si>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</si>
  <si>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</si>
  <si>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</si>
  <si>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</si>
  <si>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</si>
  <si>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</si>
  <si>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</si>
  <si>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</si>
  <si>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</si>
  <si>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</si>
  <si>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</si>
  <si>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</si>
  <si>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</si>
  <si>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</si>
  <si>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</si>
  <si>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</si>
  <si>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</si>
  <si>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</si>
  <si>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</si>
  <si>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</si>
  <si>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</si>
  <si>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</si>
  <si>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</si>
  <si>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</si>
  <si>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</si>
  <si>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</si>
  <si>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</si>
  <si>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</si>
  <si>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</si>
  <si>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</si>
  <si>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</si>
  <si>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</si>
  <si>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</si>
  <si>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</si>
  <si>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</si>
  <si>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</si>
  <si>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</si>
  <si>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</si>
  <si>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</si>
  <si>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</si>
  <si>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</si>
  <si>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</si>
  <si>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</si>
  <si>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</si>
  <si>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</si>
  <si>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</si>
  <si>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</si>
  <si>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</si>
  <si>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</si>
  <si>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</si>
  <si>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</si>
  <si>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</si>
  <si>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</si>
  <si>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</si>
  <si>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</si>
  <si>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</si>
  <si>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</si>
  <si>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</si>
  <si>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</si>
  <si>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</si>
  <si>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</si>
  <si>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</si>
  <si>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</si>
  <si>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</si>
  <si>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</si>
  <si>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</si>
  <si>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</si>
  <si>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</si>
  <si>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</si>
  <si>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</si>
  <si>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</si>
  <si>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</si>
  <si>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</si>
  <si>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</si>
  <si>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</si>
  <si>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</si>
  <si>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</si>
  <si>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</si>
  <si>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</si>
  <si>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</si>
  <si>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</si>
  <si>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</si>
  <si>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</si>
  <si>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</si>
  <si>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</si>
  <si>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</si>
  <si>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</si>
  <si>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</si>
  <si>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</si>
  <si>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</si>
  <si>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</si>
  <si>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</si>
  <si>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</si>
  <si>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</si>
  <si>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</si>
  <si>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</si>
  <si>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</si>
  <si>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</si>
  <si>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</si>
  <si>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</si>
  <si>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</si>
  <si>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</si>
  <si>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</si>
  <si>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</si>
  <si>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</si>
  <si>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</si>
  <si>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</si>
  <si>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</si>
  <si>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</si>
  <si>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</si>
  <si>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</si>
  <si>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</si>
  <si>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</si>
  <si>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</si>
  <si>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</si>
  <si>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</si>
  <si>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</si>
  <si>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</si>
  <si>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</si>
  <si>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</si>
  <si>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</si>
  <si>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</si>
  <si>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</si>
  <si>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</si>
  <si>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</si>
  <si>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</si>
  <si>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</si>
  <si>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</si>
  <si>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</si>
  <si>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</si>
  <si>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</si>
  <si>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</si>
  <si>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</si>
  <si>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</si>
  <si>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</si>
  <si>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</si>
  <si>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</si>
  <si>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</si>
  <si>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</si>
  <si>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</si>
  <si>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</si>
  <si>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</si>
  <si>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</si>
  <si>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</si>
  <si>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</si>
  <si>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</si>
  <si>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</si>
  <si>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</si>
  <si>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</si>
  <si>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</si>
  <si>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</si>
  <si>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</si>
  <si>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</si>
  <si>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</si>
  <si>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</si>
  <si>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</si>
  <si>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</si>
  <si>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</si>
  <si>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</si>
  <si>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</si>
  <si>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</si>
  <si>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</si>
  <si>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</si>
  <si>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</si>
  <si>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</si>
  <si>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</si>
  <si>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</si>
  <si>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</si>
  <si>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</si>
  <si>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</si>
  <si>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</si>
  <si>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</si>
  <si>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</si>
  <si>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</si>
  <si>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</si>
  <si>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</si>
  <si>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</si>
  <si>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</si>
  <si>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</si>
  <si>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</si>
  <si>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</si>
  <si>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</si>
  <si>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</si>
  <si>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</si>
  <si>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</si>
  <si>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</si>
  <si>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</si>
  <si>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</si>
  <si>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</si>
  <si>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</si>
  <si>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</si>
  <si>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</si>
  <si>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</si>
  <si>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</si>
  <si>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</si>
  <si>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</si>
  <si>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</si>
  <si>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</si>
  <si>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</si>
  <si>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</si>
  <si>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</si>
  <si>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</si>
  <si>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</si>
  <si>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</si>
  <si>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</si>
  <si>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</si>
  <si>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</si>
  <si>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</si>
  <si>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</si>
  <si>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</si>
  <si>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</si>
  <si>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</si>
  <si>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</si>
  <si>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</si>
  <si>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</si>
  <si>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</si>
  <si>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</si>
  <si>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</si>
  <si>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</si>
  <si>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</si>
  <si>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</si>
  <si>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</si>
  <si>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</si>
  <si>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</si>
  <si>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</si>
  <si>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</si>
  <si>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</si>
  <si>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</si>
  <si>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</si>
  <si>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</si>
  <si>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</si>
  <si>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</si>
  <si>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</si>
  <si>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</si>
  <si>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</si>
  <si>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</si>
  <si>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</si>
  <si>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</si>
  <si>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</si>
  <si>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</si>
  <si>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</si>
  <si>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</si>
  <si>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</si>
  <si>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</si>
  <si>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</si>
  <si>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</si>
  <si>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</si>
  <si>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</si>
  <si>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</si>
  <si>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</si>
  <si>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</si>
  <si>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</si>
  <si>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</si>
  <si>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</si>
  <si>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</si>
  <si>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</si>
  <si>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</si>
  <si>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</si>
  <si>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</si>
  <si>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</si>
  <si>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</si>
  <si>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</si>
  <si>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</si>
  <si>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</si>
  <si>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</si>
  <si>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</si>
  <si>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</si>
  <si>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</si>
  <si>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</si>
  <si>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</si>
  <si>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</si>
  <si>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</si>
  <si>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</si>
  <si>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</si>
  <si>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</si>
  <si>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</si>
  <si>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</si>
  <si>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</si>
  <si>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</si>
  <si>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</si>
  <si>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</si>
  <si>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</si>
  <si>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</si>
  <si>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</si>
  <si>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</si>
  <si>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</si>
  <si>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</si>
  <si>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</si>
  <si>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</si>
  <si>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</si>
  <si>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</si>
  <si>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</si>
  <si>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</si>
  <si>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</si>
  <si>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</si>
  <si>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</si>
  <si>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</si>
  <si>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</si>
  <si>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</si>
  <si>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</si>
  <si>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</si>
  <si>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</si>
  <si>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</si>
  <si>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</si>
  <si>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</si>
  <si>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</si>
  <si>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</si>
  <si>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</si>
  <si>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</si>
  <si>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</si>
  <si>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</si>
  <si>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</si>
  <si>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</si>
  <si>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</si>
  <si>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</si>
  <si>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</si>
  <si>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</si>
  <si>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</si>
  <si>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</si>
  <si>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</si>
  <si>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</si>
  <si>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</si>
  <si>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</si>
  <si>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</si>
  <si>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</si>
  <si>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</si>
  <si>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</si>
  <si>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</si>
  <si>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</si>
  <si>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</si>
  <si>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</si>
  <si>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</si>
  <si>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</si>
  <si>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</si>
  <si>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</si>
  <si>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</si>
  <si>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</si>
  <si>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</si>
  <si>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</si>
  <si>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</si>
  <si>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</si>
  <si>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</si>
  <si>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</si>
  <si>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</si>
  <si>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</si>
  <si>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</si>
  <si>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</si>
  <si>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</si>
  <si>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</si>
  <si>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</si>
  <si>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</si>
  <si>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</si>
  <si>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</si>
  <si>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</si>
  <si>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</si>
  <si>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</si>
  <si>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</si>
  <si>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</si>
  <si>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</si>
  <si>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</si>
  <si>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</si>
  <si>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</si>
  <si>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</si>
  <si>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</si>
  <si>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</si>
  <si>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</si>
  <si>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</si>
  <si>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</si>
  <si>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</si>
  <si>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</si>
  <si>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</si>
  <si>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</si>
  <si>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</si>
  <si>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</si>
  <si>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</si>
  <si>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</si>
  <si>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</si>
  <si>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</si>
  <si>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</si>
  <si>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</si>
  <si>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</si>
  <si>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</si>
  <si>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</si>
  <si>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</si>
  <si>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</si>
  <si>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</si>
  <si>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</si>
  <si>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</si>
  <si>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</si>
  <si>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</si>
  <si>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</si>
  <si>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</si>
  <si>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</si>
  <si>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</si>
  <si>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</si>
  <si>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</si>
  <si>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</si>
  <si>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</si>
  <si>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</si>
  <si>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</si>
  <si>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</si>
  <si>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</si>
  <si>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</si>
  <si>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</si>
  <si>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</si>
  <si>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</si>
  <si>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</si>
  <si>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</si>
  <si>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</si>
  <si>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</si>
  <si>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</si>
  <si>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</si>
  <si>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</si>
  <si>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</si>
  <si>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</si>
  <si>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</si>
  <si>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</si>
  <si>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</si>
  <si>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</si>
  <si>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</si>
  <si>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</si>
  <si>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</si>
  <si>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</si>
  <si>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</si>
  <si>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</si>
  <si>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</si>
  <si>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</si>
  <si>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</si>
  <si>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</si>
  <si>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</si>
  <si>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</si>
  <si>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</si>
  <si>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</si>
  <si>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</si>
  <si>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</si>
  <si>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</si>
  <si>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</si>
  <si>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</si>
  <si>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</si>
  <si>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</si>
  <si>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</si>
  <si>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</si>
  <si>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</si>
  <si>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</si>
  <si>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</si>
  <si>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</si>
  <si>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</si>
  <si>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</si>
  <si>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</si>
  <si>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</si>
  <si>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</si>
  <si>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</si>
  <si>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</si>
  <si>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</si>
  <si>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</si>
  <si>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</si>
  <si>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</si>
  <si>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</si>
  <si>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</si>
  <si>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</si>
  <si>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</si>
  <si>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</si>
  <si>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</si>
  <si>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</si>
  <si>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</si>
  <si>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</si>
  <si>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</si>
  <si>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</si>
  <si>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</si>
  <si>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</si>
  <si>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</si>
  <si>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</si>
  <si>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</si>
  <si>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</si>
  <si>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</si>
  <si>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</si>
  <si>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</si>
  <si>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</si>
  <si>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</si>
  <si>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</si>
  <si>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</si>
  <si>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</si>
  <si>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</si>
  <si>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</si>
  <si>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</si>
  <si>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</si>
  <si>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</si>
  <si>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</si>
  <si>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</si>
  <si>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</si>
  <si>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</si>
  <si>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</si>
  <si>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</si>
  <si>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</si>
  <si>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</si>
  <si>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</si>
  <si>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</si>
  <si>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</si>
  <si>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</si>
  <si>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</si>
  <si>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</si>
  <si>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</si>
  <si>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</si>
  <si>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</si>
  <si>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</si>
  <si>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</si>
  <si>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</si>
  <si>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</si>
  <si>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</si>
  <si>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</si>
  <si>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</si>
  <si>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</si>
  <si>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</si>
  <si>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</si>
  <si>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</si>
  <si>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</si>
  <si>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</si>
  <si>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</si>
  <si>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</si>
  <si>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</si>
  <si>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</si>
  <si>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</si>
  <si>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</si>
  <si>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</si>
  <si>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</si>
  <si>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</si>
  <si>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</si>
  <si>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</si>
  <si>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</si>
  <si>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</si>
  <si>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</si>
  <si>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</si>
  <si>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</si>
  <si>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</si>
  <si>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</si>
  <si>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</si>
  <si>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</si>
  <si>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</si>
  <si>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</si>
  <si>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</si>
  <si>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</si>
  <si>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</si>
  <si>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</si>
  <si>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</si>
  <si>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</si>
  <si>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</si>
  <si>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</si>
  <si>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</si>
  <si>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</si>
  <si>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</si>
  <si>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</si>
  <si>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</si>
  <si>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</si>
  <si>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</si>
  <si>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</si>
  <si>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</si>
  <si>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</si>
  <si>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</si>
  <si>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</si>
  <si>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</si>
  <si>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</si>
  <si>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</si>
  <si>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</si>
  <si>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</si>
  <si>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</si>
  <si>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</si>
  <si>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</si>
  <si>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</si>
  <si>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</si>
  <si>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</si>
  <si>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</si>
  <si>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</si>
  <si>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</si>
  <si>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</si>
  <si>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</si>
  <si>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</si>
  <si>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</si>
  <si>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</si>
  <si>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</si>
  <si>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</si>
  <si>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</si>
  <si>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</si>
  <si>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</si>
  <si>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</si>
  <si>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</si>
  <si>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</si>
  <si>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</si>
  <si>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</si>
  <si>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</si>
  <si>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</si>
  <si>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</si>
  <si>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</si>
  <si>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</si>
  <si>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</si>
  <si>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</si>
  <si>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</si>
  <si>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</si>
  <si>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</si>
  <si>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</si>
  <si>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</si>
  <si>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</si>
  <si>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</si>
  <si>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</si>
  <si>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</si>
  <si>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</si>
  <si>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</si>
  <si>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</si>
  <si>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</si>
  <si>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</si>
  <si>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</si>
  <si>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</si>
  <si>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</si>
  <si>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</si>
  <si>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</si>
  <si>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</si>
  <si>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</si>
  <si>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</si>
  <si>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</si>
  <si>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</si>
  <si>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</si>
  <si>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</si>
  <si>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</si>
  <si>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</si>
  <si>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</si>
  <si>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</si>
  <si>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</si>
  <si>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</si>
  <si>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</si>
  <si>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</si>
  <si>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</si>
  <si>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</si>
  <si>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</si>
  <si>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</si>
  <si>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</si>
  <si>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</si>
  <si>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</si>
  <si>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</si>
  <si>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</si>
  <si>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</si>
  <si>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</si>
  <si>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</si>
  <si>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</si>
  <si>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</si>
  <si>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</si>
  <si>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</si>
  <si>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</si>
  <si>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</si>
  <si>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</si>
  <si>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</si>
  <si>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</si>
  <si>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</si>
  <si>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</si>
  <si>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</si>
  <si>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</si>
  <si>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</si>
  <si>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</si>
  <si>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</si>
  <si>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</si>
  <si>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</si>
  <si>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</si>
  <si>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</si>
  <si>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</si>
  <si>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</si>
  <si>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</si>
  <si>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</si>
  <si>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</si>
  <si>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</si>
  <si>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</si>
  <si>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</si>
  <si>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</si>
  <si>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</si>
  <si>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</si>
  <si>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</si>
  <si>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</si>
  <si>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</si>
  <si>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</si>
  <si>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</si>
  <si>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</si>
  <si>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</si>
  <si>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</si>
  <si>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</si>
  <si>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</si>
  <si>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</si>
  <si>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</si>
  <si>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</si>
  <si>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</si>
  <si>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</si>
  <si>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</si>
  <si>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</si>
  <si>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</si>
  <si>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</si>
  <si>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</si>
  <si>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</si>
  <si>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</si>
  <si>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</si>
  <si>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</si>
  <si>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</si>
  <si>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</si>
  <si>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</si>
  <si>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</si>
  <si>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</si>
  <si>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</si>
  <si>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</si>
  <si>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</si>
  <si>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</si>
  <si>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</si>
  <si>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</si>
  <si>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</si>
  <si>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</si>
  <si>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</si>
  <si>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</si>
  <si>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</si>
  <si>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</si>
  <si>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</si>
  <si>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</si>
  <si>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</si>
  <si>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</si>
  <si>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</si>
  <si>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</si>
  <si>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</si>
  <si>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</si>
  <si>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</si>
  <si>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</si>
  <si>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</si>
  <si>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</si>
  <si>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</si>
  <si>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</si>
  <si>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</si>
  <si>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</si>
  <si>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</si>
  <si>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</si>
  <si>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</si>
  <si>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</si>
  <si>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</si>
  <si>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</si>
  <si>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</si>
  <si>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</si>
  <si>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</si>
  <si>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</si>
  <si>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</si>
  <si>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</si>
  <si>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</si>
  <si>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</si>
  <si>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</si>
  <si>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</si>
  <si>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</si>
  <si>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</si>
  <si>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</si>
  <si>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</si>
  <si>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</si>
  <si>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</si>
  <si>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</si>
  <si>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</si>
  <si>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</si>
  <si>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</si>
  <si>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</si>
  <si>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</si>
  <si>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</si>
  <si>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</si>
  <si>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</si>
  <si>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</si>
  <si>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</si>
  <si>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</si>
  <si>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</si>
  <si>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</si>
  <si>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</si>
  <si>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</si>
  <si>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</si>
  <si>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</si>
  <si>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</si>
  <si>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</si>
  <si>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</si>
  <si>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</si>
  <si>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</si>
  <si>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</si>
  <si>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</si>
  <si>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</si>
  <si>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</si>
  <si>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</si>
  <si>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</si>
  <si>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</si>
  <si>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</si>
  <si>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</si>
  <si>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</si>
  <si>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</si>
  <si>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</si>
  <si>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</si>
  <si>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</si>
  <si>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</si>
  <si>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</si>
  <si>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</si>
  <si>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</si>
  <si>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</si>
  <si>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</si>
  <si>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</si>
  <si>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</si>
  <si>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</si>
  <si>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</si>
  <si>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</si>
  <si>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</si>
  <si>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</si>
  <si>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</si>
  <si>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</si>
  <si>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</si>
  <si>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</si>
  <si>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</si>
  <si>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</si>
  <si>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</si>
  <si>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</si>
  <si>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</si>
  <si>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</si>
  <si>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</si>
  <si>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</si>
  <si>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</si>
  <si>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</si>
  <si>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</si>
  <si>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</si>
  <si>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</si>
  <si>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</si>
  <si>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</si>
  <si>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</si>
  <si>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</si>
  <si>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</si>
  <si>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</si>
  <si>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</si>
  <si>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</si>
  <si>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</si>
  <si>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</si>
  <si>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</si>
  <si>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</si>
  <si>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</si>
  <si>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</si>
  <si>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</si>
  <si>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</si>
  <si>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</si>
  <si>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</si>
  <si>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</si>
  <si>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</si>
  <si>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</si>
  <si>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</si>
  <si>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</si>
  <si>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</si>
  <si>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</si>
  <si>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</si>
  <si>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</si>
  <si>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</si>
  <si>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</si>
  <si>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</si>
  <si>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</si>
  <si>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</si>
  <si>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</si>
  <si>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</si>
  <si>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</si>
  <si>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</si>
  <si>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</si>
  <si>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</si>
  <si>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</si>
  <si>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</si>
  <si>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</si>
  <si>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</si>
  <si>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</si>
  <si>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</si>
  <si>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</si>
  <si>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</si>
  <si>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</si>
  <si>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</si>
  <si>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</si>
  <si>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</si>
  <si>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</si>
  <si>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</si>
  <si>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</si>
  <si>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</si>
  <si>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</si>
  <si>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</si>
  <si>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</si>
  <si>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</si>
  <si>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</si>
  <si>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</si>
  <si>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</si>
  <si>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</si>
  <si>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</si>
  <si>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</si>
  <si>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</si>
  <si>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</si>
  <si>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</si>
  <si>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</si>
  <si>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</si>
  <si>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</si>
  <si>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</si>
  <si>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</si>
  <si>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</si>
  <si>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</si>
  <si>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</si>
  <si>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</si>
  <si>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</si>
  <si>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</si>
  <si>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</si>
  <si>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</si>
  <si>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</si>
  <si>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</si>
  <si>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</si>
  <si>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</si>
  <si>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</si>
  <si>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</si>
  <si>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</si>
  <si>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</si>
  <si>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</si>
  <si>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</si>
  <si>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</si>
  <si>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</si>
  <si>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</si>
  <si>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</si>
  <si>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</si>
  <si>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</si>
  <si>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</si>
  <si>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</si>
  <si>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</si>
  <si>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</si>
  <si>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</si>
  <si>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</si>
  <si>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</si>
  <si>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</si>
  <si>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</si>
  <si>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</si>
  <si>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</si>
  <si>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</si>
  <si>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</si>
  <si>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</si>
  <si>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</si>
  <si>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</si>
  <si>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</si>
  <si>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</si>
  <si>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</si>
  <si>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</si>
  <si>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</si>
  <si>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</si>
  <si>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</si>
  <si>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</si>
  <si>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</si>
  <si>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</si>
  <si>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</si>
  <si>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</si>
  <si>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</si>
  <si>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</si>
  <si>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</si>
  <si>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</si>
  <si>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</si>
  <si>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</si>
  <si>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</si>
  <si>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</si>
  <si>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</si>
  <si>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</si>
  <si>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</si>
  <si>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</si>
  <si>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</si>
  <si>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</si>
  <si>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</si>
  <si>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</si>
  <si>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</si>
  <si>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</si>
  <si>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</si>
  <si>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</si>
  <si>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</si>
  <si>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</si>
  <si>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</si>
  <si>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</si>
  <si>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</si>
  <si>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</si>
  <si>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</si>
  <si>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</si>
  <si>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</si>
  <si>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</si>
  <si>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</si>
  <si>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</si>
  <si>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</si>
  <si>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</si>
  <si>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</si>
  <si>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</si>
  <si>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</si>
  <si>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</si>
  <si>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</si>
  <si>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</si>
  <si>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</si>
  <si>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</si>
  <si>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</si>
  <si>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</si>
  <si>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</si>
  <si>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</si>
  <si>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</si>
  <si>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</si>
  <si>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</si>
  <si>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</si>
  <si>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</si>
  <si>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</si>
  <si>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</si>
  <si>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</si>
  <si>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</si>
  <si>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</si>
  <si>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</si>
  <si>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</si>
  <si>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</si>
  <si>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</si>
  <si>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</si>
  <si>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</si>
  <si>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</si>
  <si>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</si>
  <si>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</si>
  <si>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</si>
  <si>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</si>
  <si>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</si>
  <si>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</si>
  <si>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</si>
  <si>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</si>
  <si>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</si>
  <si>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</si>
  <si>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</si>
  <si>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</si>
  <si>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</si>
  <si>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</si>
  <si>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</si>
  <si>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</si>
  <si>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</si>
  <si>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</si>
  <si>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</si>
  <si>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</si>
  <si>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</si>
  <si>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</si>
  <si>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</si>
  <si>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</si>
  <si>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</si>
  <si>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</si>
  <si>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</si>
  <si>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</si>
  <si>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</si>
  <si>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</si>
  <si>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</si>
  <si>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</si>
  <si>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</si>
  <si>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</si>
  <si>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</si>
  <si>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</si>
  <si>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</si>
  <si>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</si>
  <si>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</si>
  <si>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</si>
  <si>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</si>
  <si>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</si>
  <si>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</si>
  <si>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</si>
  <si>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</si>
  <si>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</si>
  <si>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</si>
  <si>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</si>
  <si>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</si>
  <si>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</si>
  <si>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</si>
  <si>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</si>
  <si>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</si>
  <si>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</si>
  <si>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</si>
  <si>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</si>
  <si>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</si>
  <si>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</si>
  <si>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</si>
  <si>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</si>
  <si>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</si>
  <si>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</si>
  <si>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</si>
  <si>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</si>
  <si>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</si>
  <si>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</si>
  <si>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</si>
  <si>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</si>
  <si>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</si>
  <si>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</si>
  <si>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</si>
  <si>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</si>
  <si>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</si>
  <si>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</si>
  <si>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</si>
  <si>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</si>
  <si>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</si>
  <si>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</si>
  <si>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</si>
  <si>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</si>
  <si>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</si>
  <si>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</si>
  <si>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</si>
  <si>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</si>
  <si>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</si>
  <si>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</si>
  <si>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</si>
  <si>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</si>
  <si>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</si>
  <si>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</si>
  <si>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</si>
  <si>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</si>
  <si>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</si>
  <si>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</si>
  <si>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</si>
  <si>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</si>
  <si>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</si>
  <si>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</si>
  <si>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</si>
  <si>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</si>
  <si>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</si>
  <si>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</si>
  <si>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</si>
  <si>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</si>
  <si>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</si>
  <si>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</si>
  <si>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</si>
  <si>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</si>
  <si>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</si>
  <si>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</si>
  <si>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</si>
  <si>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</si>
  <si>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</si>
  <si>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</si>
  <si>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</si>
  <si>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</si>
  <si>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</si>
  <si>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</si>
  <si>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</si>
  <si>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</si>
  <si>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</si>
  <si>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</si>
  <si>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</si>
  <si>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</si>
  <si>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</si>
  <si>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</si>
  <si>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</si>
  <si>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</si>
  <si>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</si>
  <si>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</si>
  <si>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</si>
  <si>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</si>
  <si>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</si>
  <si>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</si>
  <si>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</si>
  <si>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</si>
  <si>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</si>
  <si>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</si>
  <si>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</si>
  <si>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</si>
  <si>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</si>
  <si>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</si>
  <si>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</si>
  <si>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</si>
  <si>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</si>
  <si>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</si>
  <si>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</si>
  <si>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</si>
  <si>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</si>
  <si>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</si>
  <si>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</si>
  <si>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</si>
  <si>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</si>
  <si>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</si>
  <si>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</si>
  <si>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</si>
  <si>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</si>
  <si>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</si>
  <si>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</si>
  <si>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</si>
  <si>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</si>
  <si>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</si>
  <si>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</si>
  <si>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</si>
  <si>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</si>
  <si>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</si>
  <si>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</si>
  <si>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</si>
  <si>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</si>
  <si>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</si>
  <si>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</si>
  <si>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</si>
  <si>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</si>
  <si>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</si>
  <si>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</si>
  <si>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</si>
  <si>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</si>
  <si>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</si>
  <si>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</si>
  <si>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</si>
  <si>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</si>
  <si>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</si>
  <si>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</si>
  <si>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</si>
  <si>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</si>
  <si>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</si>
  <si>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</si>
  <si>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</si>
  <si>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</si>
  <si>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</si>
  <si>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</si>
  <si>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</si>
  <si>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</si>
  <si>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</si>
  <si>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</si>
  <si>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</si>
  <si>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</si>
  <si>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</si>
  <si>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</si>
  <si>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</si>
  <si>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</si>
  <si>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</si>
  <si>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</si>
  <si>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</si>
  <si>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</si>
  <si>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</si>
  <si>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</si>
  <si>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</si>
  <si>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</si>
  <si>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</si>
  <si>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</si>
  <si>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</si>
  <si>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</si>
  <si>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</si>
  <si>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</si>
  <si>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</si>
  <si>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</si>
  <si>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</si>
  <si>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</si>
  <si>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</si>
  <si>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</si>
  <si>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</si>
  <si>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</si>
  <si>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</si>
  <si>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</si>
  <si>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</si>
  <si>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</si>
  <si>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</si>
  <si>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</si>
  <si>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</si>
  <si>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</si>
  <si>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</si>
  <si>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</si>
  <si>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</si>
  <si>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</si>
  <si>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</si>
  <si>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</si>
  <si>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</si>
  <si>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</si>
  <si>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</si>
  <si>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</si>
  <si>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</si>
  <si>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</si>
  <si>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</si>
  <si>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</si>
  <si>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</si>
  <si>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</si>
  <si>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</si>
  <si>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</si>
  <si>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</si>
  <si>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</si>
  <si>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</si>
  <si>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</si>
  <si>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</si>
  <si>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</si>
  <si>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</si>
  <si>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</si>
  <si>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</si>
  <si>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</si>
  <si>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</si>
  <si>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</si>
  <si>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</si>
  <si>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</si>
  <si>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</si>
  <si>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</si>
  <si>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</si>
  <si>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</si>
  <si>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</si>
  <si>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</si>
  <si>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</si>
  <si>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</si>
  <si>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</si>
  <si>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</si>
  <si>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</si>
  <si>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</si>
  <si>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</si>
  <si>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</si>
  <si>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</si>
  <si>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</si>
  <si>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</si>
  <si>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</si>
  <si>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</si>
  <si>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</si>
  <si>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</si>
  <si>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</si>
  <si>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</si>
  <si>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</si>
  <si>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</si>
  <si>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</si>
  <si>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</si>
  <si>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</si>
  <si>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</si>
  <si>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</si>
  <si>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</si>
  <si>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</si>
  <si>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</si>
  <si>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</si>
  <si>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</si>
  <si>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</si>
  <si>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</si>
  <si>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</si>
  <si>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</si>
  <si>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</si>
  <si>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</si>
  <si>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</si>
  <si>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</si>
  <si>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</si>
  <si>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</si>
  <si>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</si>
  <si>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</si>
  <si>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</si>
  <si>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</si>
  <si>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</si>
  <si>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</si>
  <si>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</si>
  <si>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</si>
  <si>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</si>
  <si>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</si>
  <si>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</si>
  <si>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</si>
  <si>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</si>
  <si>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</si>
  <si>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</si>
  <si>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</si>
  <si>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</si>
  <si>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</si>
  <si>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</si>
  <si>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</si>
  <si>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</si>
  <si>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</si>
  <si>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</si>
  <si>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</si>
  <si>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</si>
  <si>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</si>
  <si>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</si>
  <si>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</si>
  <si>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</si>
  <si>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</si>
  <si>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</si>
  <si>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</si>
  <si>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</si>
  <si>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</si>
  <si>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</si>
  <si>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</si>
  <si>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</si>
  <si>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</si>
  <si>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</si>
  <si>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</si>
  <si>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</si>
  <si>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</si>
  <si>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</si>
  <si>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</si>
  <si>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</si>
  <si>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</si>
  <si>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</si>
  <si>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</si>
  <si>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</si>
  <si>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</si>
  <si>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</si>
  <si>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</si>
  <si>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</si>
  <si>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</si>
  <si>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</si>
  <si>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</si>
  <si>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</si>
  <si>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</si>
  <si>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</si>
  <si>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</si>
  <si>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</si>
  <si>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</si>
  <si>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</si>
  <si>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</si>
  <si>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</si>
  <si>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</si>
  <si>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</si>
  <si>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</si>
  <si>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</si>
  <si>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</si>
  <si>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</si>
  <si>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</si>
  <si>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</si>
  <si>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</si>
  <si>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</si>
  <si>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</si>
  <si>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</si>
  <si>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</si>
  <si>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</si>
  <si>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</si>
  <si>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</si>
  <si>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</si>
  <si>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</si>
  <si>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</si>
  <si>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</si>
  <si>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</si>
  <si>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</si>
  <si>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</si>
  <si>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</si>
  <si>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</si>
  <si>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</si>
  <si>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</si>
  <si>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</si>
  <si>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</si>
  <si>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</si>
  <si>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</si>
  <si>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</si>
  <si>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</si>
  <si>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</si>
  <si>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</si>
  <si>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</si>
  <si>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</si>
  <si>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</si>
  <si>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</si>
  <si>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</si>
  <si>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</si>
  <si>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</si>
  <si>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</si>
  <si>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</si>
  <si>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</si>
  <si>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</si>
  <si>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</si>
  <si>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</si>
  <si>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</si>
  <si>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</si>
  <si>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</si>
  <si>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</si>
  <si>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</si>
  <si>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</si>
  <si>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</si>
  <si>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</si>
  <si>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</si>
  <si>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</si>
  <si>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</si>
  <si>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</si>
  <si>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</si>
  <si>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</si>
  <si>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</si>
  <si>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</si>
  <si>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</si>
  <si>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</si>
  <si>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</si>
  <si>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</si>
  <si>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</si>
  <si>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</si>
  <si>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</si>
  <si>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</si>
  <si>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</si>
  <si>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</si>
  <si>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</si>
  <si>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</si>
  <si>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</si>
  <si>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</si>
  <si>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</si>
  <si>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</si>
  <si>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</si>
  <si>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</si>
  <si>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</si>
  <si>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</si>
  <si>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</si>
  <si>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</si>
  <si>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</si>
  <si>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</si>
  <si>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</si>
  <si>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</si>
  <si>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</si>
  <si>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</si>
  <si>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</si>
  <si>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</si>
  <si>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</si>
  <si>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</si>
  <si>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</si>
  <si>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</si>
  <si>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</si>
  <si>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</si>
  <si>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</si>
  <si>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</si>
  <si>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</si>
  <si>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</si>
  <si>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</si>
  <si>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</si>
  <si>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</si>
  <si>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</si>
  <si>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</si>
  <si>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</si>
  <si>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</si>
  <si>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</si>
  <si>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</si>
  <si>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</si>
  <si>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</si>
  <si>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</si>
  <si>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</si>
  <si>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</si>
  <si>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</si>
  <si>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</si>
  <si>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</si>
  <si>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</si>
  <si>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</si>
  <si>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</si>
  <si>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</si>
  <si>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</si>
  <si>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</si>
  <si>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</si>
  <si>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</si>
  <si>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</si>
  <si>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</si>
  <si>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</si>
  <si>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</si>
  <si>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</si>
  <si>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</si>
  <si>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</si>
  <si>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</si>
  <si>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</si>
  <si>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</si>
  <si>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</si>
  <si>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</si>
  <si>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</si>
  <si>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</si>
  <si>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</si>
  <si>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</si>
  <si>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</si>
  <si>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</si>
  <si>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</si>
  <si>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</si>
  <si>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</si>
  <si>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</si>
  <si>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</si>
  <si>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</si>
  <si>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</si>
  <si>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</si>
  <si>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</si>
  <si>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</si>
  <si>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</si>
  <si>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</si>
  <si>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</si>
  <si>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</si>
  <si>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</si>
  <si>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</si>
  <si>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</si>
  <si>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</si>
  <si>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</si>
  <si>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</si>
  <si>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</si>
  <si>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</si>
  <si>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</si>
  <si>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</si>
  <si>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</si>
  <si>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</si>
  <si>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</si>
  <si>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</si>
  <si>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</si>
  <si>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</si>
  <si>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</si>
  <si>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</si>
  <si>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</si>
  <si>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</si>
  <si>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</si>
  <si>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</si>
  <si>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</si>
  <si>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</si>
  <si>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</si>
  <si>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</si>
  <si>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</si>
  <si>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</si>
  <si>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</si>
  <si>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</si>
  <si>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</si>
  <si>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</si>
  <si>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</si>
  <si>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</si>
  <si>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</si>
  <si>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</si>
  <si>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</si>
  <si>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</si>
  <si>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</si>
  <si>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</si>
  <si>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</si>
  <si>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</si>
  <si>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</si>
  <si>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</si>
  <si>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</si>
  <si>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</si>
  <si>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</si>
  <si>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</si>
  <si>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</si>
  <si>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</si>
  <si>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</si>
  <si>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</si>
  <si>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</si>
  <si>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</si>
  <si>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</si>
  <si>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</si>
  <si>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</si>
  <si>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</si>
  <si>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</si>
  <si>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</si>
  <si>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</si>
  <si>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</si>
  <si>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</si>
  <si>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</si>
  <si>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</si>
  <si>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</si>
  <si>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</si>
  <si>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</si>
  <si>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</si>
  <si>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</si>
  <si>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</si>
  <si>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</si>
  <si>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</si>
  <si>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</si>
  <si>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</si>
  <si>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</si>
  <si>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</si>
  <si>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</si>
  <si>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</si>
  <si>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</si>
  <si>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</si>
  <si>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</si>
  <si>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</si>
  <si>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</si>
  <si>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</si>
  <si>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</si>
  <si>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</si>
  <si>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</si>
  <si>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</si>
  <si>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</si>
  <si>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</si>
  <si>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</si>
  <si>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</si>
  <si>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</si>
  <si>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</si>
  <si>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</si>
  <si>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</si>
  <si>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</si>
  <si>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</si>
  <si>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</si>
  <si>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</si>
  <si>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</si>
  <si>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</si>
  <si>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</si>
  <si>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</si>
  <si>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</si>
  <si>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</si>
  <si>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</si>
  <si>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</si>
  <si>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</si>
  <si>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</si>
  <si>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</si>
  <si>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</si>
  <si>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</si>
  <si>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</si>
  <si>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</si>
  <si>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</si>
  <si>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</si>
  <si>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</si>
  <si>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</si>
  <si>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</si>
  <si>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</si>
  <si>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</si>
  <si>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</si>
  <si>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</si>
  <si>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</si>
  <si>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</si>
  <si>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</si>
  <si>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</si>
  <si>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</si>
  <si>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</si>
  <si>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</si>
  <si>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</si>
  <si>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</si>
  <si>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</si>
  <si>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</si>
  <si>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</si>
  <si>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</si>
  <si>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</si>
  <si>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</si>
  <si>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</si>
  <si>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</si>
  <si>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</si>
  <si>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</si>
  <si>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</si>
  <si>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</si>
  <si>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</si>
  <si>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</si>
  <si>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</si>
  <si>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</si>
  <si>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</si>
  <si>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</si>
  <si>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</si>
  <si>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</si>
  <si>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</si>
  <si>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</si>
  <si>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</si>
  <si>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</si>
  <si>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</si>
  <si>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</si>
  <si>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</si>
  <si>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</si>
  <si>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</si>
  <si>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</si>
  <si>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</si>
  <si>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</si>
  <si>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</si>
  <si>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</si>
  <si>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</si>
  <si>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</si>
  <si>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</si>
  <si>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</si>
  <si>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</si>
  <si>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</si>
  <si>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</si>
  <si>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</si>
  <si>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</si>
  <si>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</si>
  <si>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</si>
  <si>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</si>
  <si>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</si>
  <si>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</si>
  <si>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</si>
  <si>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</si>
  <si>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</si>
  <si>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</si>
  <si>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</si>
  <si>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</si>
  <si>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</si>
  <si>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</si>
  <si>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</si>
  <si>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</si>
  <si>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</si>
  <si>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</si>
  <si>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</si>
  <si>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</si>
  <si>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</si>
  <si>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</si>
  <si>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</si>
  <si>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</si>
  <si>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</si>
  <si>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</si>
  <si>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</si>
  <si>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</si>
  <si>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</si>
  <si>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</si>
  <si>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</si>
  <si>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</si>
  <si>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</si>
  <si>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</si>
  <si>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</si>
  <si>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</si>
  <si>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</si>
  <si>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</si>
  <si>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</si>
  <si>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</si>
  <si>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</si>
  <si>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</si>
  <si>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</si>
  <si>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</si>
  <si>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</si>
  <si>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</si>
  <si>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</si>
  <si>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</si>
  <si>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</si>
  <si>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</si>
  <si>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</si>
  <si>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</si>
  <si>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</si>
  <si>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</si>
  <si>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</si>
  <si>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</si>
  <si>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</si>
  <si>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</si>
  <si>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</si>
  <si>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</si>
  <si>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</si>
  <si>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</si>
  <si>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</si>
  <si>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</si>
  <si>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</si>
  <si>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</si>
  <si>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</si>
  <si>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</si>
  <si>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</si>
  <si>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</si>
  <si>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</si>
  <si>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</si>
  <si>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</si>
  <si>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</si>
  <si>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</si>
  <si>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</si>
  <si>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</si>
  <si>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</si>
  <si>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</si>
  <si>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</si>
  <si>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</si>
  <si>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</si>
  <si>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</si>
  <si>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</si>
  <si>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</si>
  <si>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</si>
  <si>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</si>
  <si>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</si>
  <si>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</si>
  <si>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</si>
  <si>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</si>
  <si>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</si>
  <si>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</si>
  <si>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</si>
  <si>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</si>
  <si>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</si>
  <si>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</si>
  <si>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</si>
  <si>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</si>
  <si>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</si>
  <si>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</si>
  <si>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</si>
  <si>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</si>
  <si>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</si>
  <si>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</si>
  <si>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</si>
  <si>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</si>
  <si>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</si>
  <si>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</si>
  <si>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</si>
  <si>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</si>
  <si>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</si>
  <si>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</si>
  <si>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</si>
  <si>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</si>
  <si>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</si>
  <si>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</si>
  <si>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</si>
  <si>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</si>
  <si>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</si>
  <si>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</si>
  <si>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</si>
  <si>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</si>
  <si>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</si>
  <si>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</si>
  <si>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</si>
  <si>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</si>
  <si>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</si>
  <si>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</si>
  <si>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</si>
  <si>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</si>
  <si>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</si>
  <si>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</si>
  <si>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</si>
  <si>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</si>
  <si>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</si>
  <si>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</si>
  <si>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</si>
  <si>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</si>
  <si>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</si>
  <si>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</si>
  <si>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</si>
  <si>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</si>
  <si>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</si>
  <si>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</si>
  <si>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</si>
  <si>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</si>
  <si>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</si>
  <si>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</si>
  <si>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</si>
  <si>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</si>
  <si>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</si>
  <si>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</si>
  <si>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</si>
  <si>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</si>
  <si>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</si>
  <si>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</si>
  <si>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</si>
  <si>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</si>
  <si>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</si>
  <si>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</si>
  <si>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</si>
  <si>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</si>
  <si>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</si>
  <si>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</si>
  <si>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</si>
  <si>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</si>
  <si>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</si>
  <si>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</si>
  <si>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</si>
  <si>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</si>
  <si>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</si>
  <si>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</si>
  <si>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</si>
  <si>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</si>
  <si>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</si>
  <si>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</si>
  <si>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</si>
  <si>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</si>
  <si>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</si>
  <si>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</si>
  <si>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</si>
  <si>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</si>
  <si>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</si>
  <si>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</si>
  <si>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</si>
  <si>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</si>
  <si>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</si>
  <si>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</si>
  <si>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</si>
  <si>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</si>
  <si>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</si>
  <si>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</si>
  <si>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</si>
  <si>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</si>
  <si>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</si>
  <si>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</si>
  <si>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</si>
  <si>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</si>
  <si>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</si>
  <si>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</si>
  <si>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</si>
  <si>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</si>
  <si>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</si>
  <si>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</si>
  <si>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</si>
  <si>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</si>
  <si>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</si>
  <si>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</si>
  <si>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</si>
  <si>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</si>
  <si>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</si>
  <si>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</si>
  <si>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</si>
  <si>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</si>
  <si>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</si>
  <si>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</si>
  <si>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</si>
  <si>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</si>
  <si>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</si>
  <si>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</si>
  <si>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</si>
  <si>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</si>
  <si>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</si>
  <si>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</si>
  <si>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</si>
  <si>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</si>
  <si>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</si>
  <si>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</si>
  <si>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</si>
  <si>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</si>
  <si>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</si>
  <si>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</si>
  <si>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</si>
  <si>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</si>
  <si>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</si>
  <si>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</si>
  <si>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</si>
  <si>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</si>
  <si>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</si>
  <si>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</si>
  <si>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</si>
  <si>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</si>
  <si>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</si>
  <si>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</si>
  <si>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</si>
  <si>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</si>
  <si>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</si>
  <si>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</si>
  <si>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</si>
  <si>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</si>
  <si>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</si>
  <si>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</si>
  <si>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</si>
  <si>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</si>
  <si>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</si>
  <si>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</si>
  <si>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</si>
  <si>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</si>
  <si>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</si>
  <si>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</si>
  <si>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</si>
  <si>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</si>
  <si>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</si>
  <si>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</si>
  <si>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</si>
  <si>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</si>
  <si>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</si>
  <si>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</si>
  <si>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</si>
  <si>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</si>
  <si>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</si>
  <si>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</si>
  <si>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</si>
  <si>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</si>
  <si>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</si>
  <si>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</si>
  <si>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</si>
  <si>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</si>
  <si>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</si>
  <si>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</si>
  <si>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</si>
  <si>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</si>
  <si>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</si>
  <si>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</si>
  <si>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</si>
  <si>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</si>
  <si>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</si>
  <si>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</si>
  <si>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</si>
  <si>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</si>
  <si>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</si>
  <si>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</si>
  <si>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</si>
  <si>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</si>
  <si>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</si>
  <si>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</si>
  <si>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</si>
  <si>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</si>
  <si>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</si>
  <si>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</si>
  <si>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</si>
  <si>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</si>
  <si>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</si>
  <si>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</si>
  <si>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</si>
  <si>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</si>
  <si>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</si>
  <si>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</si>
  <si>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</si>
  <si>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</si>
  <si>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</si>
  <si>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</si>
  <si>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</si>
  <si>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</si>
  <si>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</si>
  <si>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</si>
  <si>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</si>
  <si>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</si>
  <si>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</si>
  <si>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</si>
  <si>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</si>
  <si>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</si>
  <si>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</si>
  <si>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</si>
  <si>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</si>
  <si>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</si>
  <si>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</si>
  <si>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</si>
  <si>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</si>
  <si>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</si>
  <si>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</si>
  <si>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</si>
  <si>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</si>
  <si>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</si>
  <si>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</si>
  <si>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</si>
  <si>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</si>
  <si>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</si>
  <si>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</si>
  <si>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</si>
  <si>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</si>
  <si>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</si>
  <si>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</si>
  <si>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</si>
  <si>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</si>
  <si>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</si>
  <si>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</si>
  <si>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</si>
  <si>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</si>
  <si>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</si>
  <si>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</si>
  <si>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</si>
  <si>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</si>
  <si>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</si>
  <si>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</si>
  <si>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</si>
  <si>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</si>
  <si>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</si>
  <si>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</si>
  <si>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</si>
  <si>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</si>
  <si>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</si>
  <si>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</si>
  <si>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</si>
  <si>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</si>
  <si>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</si>
  <si>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</si>
  <si>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</si>
  <si>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</si>
  <si>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</si>
  <si>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</si>
  <si>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</si>
  <si>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</si>
  <si>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</si>
  <si>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</si>
  <si>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</si>
  <si>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</si>
  <si>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</si>
  <si>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</si>
  <si>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</si>
  <si>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</si>
  <si>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</si>
  <si>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</si>
  <si>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</si>
  <si>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</si>
  <si>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</si>
  <si>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</si>
  <si>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</si>
  <si>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</si>
  <si>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</si>
  <si>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</si>
  <si>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</si>
  <si>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</si>
  <si>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</si>
  <si>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</si>
  <si>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</si>
  <si>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</si>
  <si>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</si>
  <si>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</si>
  <si>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</si>
  <si>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</si>
  <si>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</si>
  <si>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</si>
  <si>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</si>
  <si>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</si>
  <si>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</si>
  <si>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</si>
  <si>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</si>
  <si>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</si>
  <si>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</si>
  <si>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</si>
  <si>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</si>
  <si>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</si>
  <si>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</si>
  <si>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</si>
  <si>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</si>
  <si>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</si>
  <si>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</si>
  <si>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</si>
  <si>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</si>
  <si>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</si>
  <si>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</si>
  <si>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</si>
  <si>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</si>
  <si>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</si>
  <si>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</si>
  <si>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</si>
  <si>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</si>
  <si>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</si>
  <si>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</si>
  <si>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</si>
  <si>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</si>
  <si>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</si>
  <si>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</si>
  <si>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</si>
  <si>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</si>
  <si>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</si>
  <si>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</si>
  <si>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</si>
  <si>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</si>
  <si>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</si>
  <si>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</si>
  <si>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</si>
  <si>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</si>
  <si>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</si>
  <si>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</si>
  <si>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</si>
  <si>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</si>
  <si>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</si>
  <si>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</si>
  <si>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</si>
  <si>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</si>
  <si>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</si>
  <si>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</si>
  <si>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</si>
  <si>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</si>
  <si>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</si>
  <si>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</si>
  <si>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</si>
  <si>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</si>
  <si>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</si>
  <si>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</si>
  <si>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</si>
  <si>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</si>
  <si>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</si>
  <si>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</si>
  <si>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</si>
  <si>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</si>
  <si>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</si>
  <si>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</si>
  <si>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</si>
  <si>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</si>
  <si>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</si>
  <si>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</si>
  <si>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</si>
  <si>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</si>
  <si>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</si>
  <si>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</si>
  <si>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</si>
  <si>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</si>
  <si>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</si>
  <si>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</si>
  <si>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</si>
  <si>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</si>
  <si>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</si>
  <si>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</si>
  <si>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</si>
  <si>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</si>
  <si>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</si>
  <si>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</si>
  <si>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</si>
  <si>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</si>
  <si>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</si>
  <si>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</si>
  <si>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</si>
  <si>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</si>
  <si>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</si>
  <si>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</si>
  <si>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</si>
  <si>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</si>
  <si>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</si>
  <si>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</si>
  <si>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</si>
  <si>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</si>
  <si>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</si>
  <si>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</si>
  <si>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</si>
  <si>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</si>
  <si>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</si>
  <si>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</si>
  <si>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</si>
  <si>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</si>
  <si>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</si>
  <si>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</si>
  <si>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</si>
  <si>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</si>
  <si>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</si>
  <si>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</si>
  <si>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</si>
  <si>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</si>
  <si>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</si>
  <si>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</si>
  <si>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</si>
  <si>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</si>
  <si>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</si>
  <si>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</si>
  <si>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</si>
  <si>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</si>
  <si>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</si>
  <si>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</si>
  <si>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</si>
  <si>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</si>
  <si>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</si>
  <si>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</si>
  <si>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</si>
  <si>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</si>
  <si>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</si>
  <si>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</si>
  <si>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</si>
  <si>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</si>
  <si>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</si>
  <si>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</si>
  <si>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</si>
  <si>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</si>
  <si>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</si>
  <si>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</si>
  <si>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</si>
  <si>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</si>
  <si>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</si>
  <si>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</si>
  <si>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</si>
  <si>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</si>
  <si>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</si>
  <si>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</si>
  <si>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</si>
  <si>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</si>
  <si>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</si>
  <si>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</si>
  <si>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</si>
  <si>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</si>
  <si>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</si>
  <si>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</si>
  <si>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</si>
  <si>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</si>
  <si>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</si>
  <si>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</si>
  <si>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</si>
  <si>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</si>
  <si>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</si>
  <si>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</si>
  <si>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</si>
  <si>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</si>
  <si>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</si>
  <si>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</si>
  <si>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</si>
  <si>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</si>
  <si>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</si>
  <si>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</si>
  <si>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</si>
  <si>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</si>
  <si>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</si>
  <si>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</si>
  <si>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</si>
  <si>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</si>
  <si>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</si>
  <si>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</si>
  <si>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</si>
  <si>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</si>
  <si>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</si>
  <si>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</si>
  <si>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</si>
  <si>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</si>
  <si>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</si>
  <si>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</si>
  <si>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</si>
  <si>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</si>
  <si>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</si>
  <si>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</si>
  <si>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</si>
  <si>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</si>
  <si>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</si>
  <si>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</si>
  <si>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</si>
  <si>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</si>
  <si>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</si>
  <si>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</si>
  <si>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</si>
  <si>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</si>
  <si>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</si>
  <si>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</si>
  <si>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</si>
  <si>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</si>
  <si>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</si>
  <si>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</si>
  <si>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</si>
  <si>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</si>
  <si>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</si>
  <si>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</si>
  <si>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</si>
  <si>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</si>
  <si>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</si>
  <si>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</si>
  <si>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</si>
  <si>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</si>
  <si>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</si>
  <si>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</si>
  <si>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</si>
  <si>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</si>
  <si>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</si>
  <si>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</si>
  <si>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</si>
  <si>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餐饮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</si>
  <si>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</si>
  <si>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</si>
  <si>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</si>
  <si>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</si>
  <si>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</si>
  <si>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</si>
  <si>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</si>
  <si>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</si>
  <si>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</si>
  <si>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</si>
  <si>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</si>
  <si>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</si>
  <si>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</si>
  <si>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</si>
  <si>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</si>
  <si>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</si>
  <si>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1.06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</si>
  <si>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</si>
  <si>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</si>
  <si>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</si>
  <si>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接待服务人员（酒店签到、餐饮服务、车辆安排等）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</si>
  <si>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</si>
  <si>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</si>
  <si>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</si>
  <si>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</si>
  <si>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</si>
  <si>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onsite人员</t>
    <phoneticPr fontId="8" type="noConversion"/>
  </si>
  <si>
    <t>高铁二等座，往返2次</t>
    <phoneticPr fontId="8" type="noConversion"/>
  </si>
  <si>
    <t>苏州-杭州往返</t>
    <phoneticPr fontId="8" type="noConversion"/>
  </si>
  <si>
    <t>主唱酒店</t>
    <phoneticPr fontId="8" type="noConversion"/>
  </si>
  <si>
    <t>主唱酒店-自助餐</t>
    <phoneticPr fontId="8" type="noConversion"/>
  </si>
  <si>
    <t>餐</t>
    <phoneticPr fontId="8" type="noConversion"/>
  </si>
  <si>
    <t>张仪蕾</t>
    <phoneticPr fontId="8" type="noConversion"/>
  </si>
  <si>
    <t>zhangyilei.bella@bytedance.com</t>
    <phoneticPr fontId="8" type="noConversion"/>
  </si>
  <si>
    <t>杭州-盐官</t>
    <phoneticPr fontId="8" type="noConversion"/>
  </si>
  <si>
    <t>印刷店制作</t>
    <phoneticPr fontId="8" type="noConversion"/>
  </si>
  <si>
    <t>2025抖音创作者大会娱乐会务接待报价单</t>
    <phoneticPr fontId="8" type="noConversion"/>
  </si>
  <si>
    <t>2025抖音创作者大会
娱乐</t>
    <phoneticPr fontId="8" type="noConversion"/>
  </si>
  <si>
    <t>204人</t>
    <phoneticPr fontId="8" type="noConversion"/>
  </si>
  <si>
    <t>黄雪婷</t>
    <phoneticPr fontId="8" type="noConversion"/>
  </si>
  <si>
    <t>郭燕雷</t>
    <phoneticPr fontId="8" type="noConversion"/>
  </si>
  <si>
    <t>guoyanlei@cct.cn</t>
  </si>
  <si>
    <t>接机牌/手举牌</t>
    <phoneticPr fontId="8" type="noConversion"/>
  </si>
  <si>
    <t>KT板；75*50cm；2个</t>
    <phoneticPr fontId="8" type="noConversion"/>
  </si>
  <si>
    <t>餐券</t>
    <phoneticPr fontId="8" type="noConversion"/>
  </si>
  <si>
    <t>自助餐餐券</t>
    <phoneticPr fontId="8" type="noConversion"/>
  </si>
  <si>
    <t>尺寸：9cm*5cm（待定）；材质：200g铜版纸；工期：2天；数量：12*6餐</t>
    <phoneticPr fontId="8" type="noConversion"/>
  </si>
  <si>
    <t>指引</t>
    <phoneticPr fontId="8" type="noConversion"/>
  </si>
  <si>
    <t>易拉宝</t>
    <phoneticPr fontId="8" type="noConversion"/>
  </si>
  <si>
    <t>机场接机人员</t>
    <phoneticPr fontId="8" type="noConversion"/>
  </si>
  <si>
    <t>嘉宾火车票</t>
    <phoneticPr fontId="8" type="noConversion"/>
  </si>
  <si>
    <t>高铁二等座</t>
    <phoneticPr fontId="8" type="noConversion"/>
  </si>
  <si>
    <t>1400</t>
    <phoneticPr fontId="8" type="noConversion"/>
  </si>
  <si>
    <t>2 位明星，10 位导演及制片人-主唱酒店</t>
    <phoneticPr fontId="8" type="noConversion"/>
  </si>
  <si>
    <t>华邑酒店</t>
    <phoneticPr fontId="8" type="noConversion"/>
  </si>
  <si>
    <t>500</t>
    <phoneticPr fontId="8" type="noConversion"/>
  </si>
  <si>
    <t>580</t>
    <phoneticPr fontId="8" type="noConversion"/>
  </si>
  <si>
    <t>700</t>
    <phoneticPr fontId="8" type="noConversion"/>
  </si>
  <si>
    <t>2 位明星，10 位导演及制片人-主唱酒店自助餐，12人6餐</t>
    <phoneticPr fontId="8" type="noConversion"/>
  </si>
  <si>
    <t>2 位明星，10 位导演及制片人-接送机</t>
    <phoneticPr fontId="8" type="noConversion"/>
  </si>
  <si>
    <t>尺寸：A3；材质：铜版纸塑封；工期：3天；数量：17个</t>
    <phoneticPr fontId="8" type="noConversion"/>
  </si>
  <si>
    <t>酒店工作人员；9.18-23</t>
    <phoneticPr fontId="8" type="noConversion"/>
  </si>
  <si>
    <t>景区内酒店</t>
    <phoneticPr fontId="8" type="noConversion"/>
  </si>
  <si>
    <t>海宁华邑酒店</t>
    <phoneticPr fontId="8" type="noConversion"/>
  </si>
  <si>
    <t>华邑酒店；含早；85 间，高级大/高级双/绿林大/绿林双</t>
    <phoneticPr fontId="8" type="noConversion"/>
  </si>
  <si>
    <t>华邑酒店；含早；70 间，豪华大床房/豪华双床房</t>
    <phoneticPr fontId="8" type="noConversion"/>
  </si>
  <si>
    <t>华邑酒店；含早；25间-行政大床房/行政双床房</t>
    <phoneticPr fontId="8" type="noConversion"/>
  </si>
  <si>
    <t>9.18、19、20、21、22；1间5晚</t>
    <phoneticPr fontId="8" type="noConversion"/>
  </si>
  <si>
    <t>9.18-23；2人6天+1人1 天</t>
    <phoneticPr fontId="8" type="noConversion"/>
  </si>
  <si>
    <t>9.18-23；2人6天++1人1 天</t>
    <phoneticPr fontId="8" type="noConversion"/>
  </si>
  <si>
    <t>大巴</t>
    <phoneticPr fontId="8" type="noConversion"/>
  </si>
  <si>
    <t>酒店-景区接驳</t>
    <phoneticPr fontId="8" type="noConversion"/>
  </si>
  <si>
    <t>商务/头等舱</t>
    <phoneticPr fontId="8" type="noConversion"/>
  </si>
  <si>
    <t>8000</t>
    <phoneticPr fontId="8" type="noConversion"/>
  </si>
  <si>
    <t>xuetinghuang@bytedance.com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</si>
</sst>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6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26" applyBorder="1" applyAlignment="1">
      <alignment horizontal="center" vertical="center"/>
    </xf>
    <xf numFmtId="0" fontId="26" fillId="3" borderId="5" xfId="17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" xfId="17" applyFont="1" applyBorder="1" applyAlignment="1" applyProtection="1">
      <alignment horizontal="center" vertical="center" wrapText="1"/>
      <protection locked="0"/>
    </xf>
    <xf numFmtId="179" fontId="27" fillId="0" borderId="1" xfId="3" applyNumberFormat="1" applyFont="1" applyBorder="1" applyAlignment="1" applyProtection="1">
      <alignment horizontal="center" vertical="center" wrapText="1"/>
      <protection locked="0"/>
    </xf>
    <xf numFmtId="0" fontId="27" fillId="0" borderId="1" xfId="17" applyFont="1" applyBorder="1" applyAlignment="1" applyProtection="1">
      <alignment horizontal="left" vertical="center" wrapText="1"/>
      <protection locked="0"/>
    </xf>
    <xf numFmtId="49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180" fontId="27" fillId="0" borderId="1" xfId="31" applyNumberFormat="1" applyFont="1" applyFill="1" applyBorder="1" applyAlignment="1" applyProtection="1">
      <alignment horizontal="center" vertical="center" wrapText="1"/>
    </xf>
    <xf numFmtId="180" fontId="27" fillId="0" borderId="1" xfId="31" applyNumberFormat="1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110286-&#28216;&#25103;-&#26611;&#36798;-0814.xlsx" TargetMode="External"/><Relationship Id="rId1" Type="http://schemas.openxmlformats.org/officeDocument/2006/relationships/externalLinkPath" Target="/Users/guoyanlei/Downloads/&#12304;&#24247;&#36745;&#20250;&#23637;-&#25253;&#20215;&#12305;-PR2508110286-&#28216;&#25103;-&#26611;&#36798;-081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/Users/guoyanlei/Downloads/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xuetinghuang@bytedance.com" TargetMode="External"/><Relationship Id="rId2" Type="http://schemas.openxmlformats.org/officeDocument/2006/relationships/hyperlink" Target="mailto:guoyanlei@cct.cn" TargetMode="External"/><Relationship Id="rId1" Type="http://schemas.openxmlformats.org/officeDocument/2006/relationships/hyperlink" Target="mailto:zhangyilei.bella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31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31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31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32" t="s">
        <v>140</v>
      </c>
      <c r="B6" s="153" t="s">
        <v>141</v>
      </c>
      <c r="C6" s="154"/>
    </row>
    <row r="7" spans="1:21" s="149" customFormat="1">
      <c r="A7" s="232"/>
      <c r="B7" s="153" t="s">
        <v>142</v>
      </c>
      <c r="C7" s="154"/>
    </row>
    <row r="8" spans="1:21" s="149" customFormat="1">
      <c r="A8" s="232"/>
      <c r="B8" s="154" t="s">
        <v>143</v>
      </c>
      <c r="C8" s="154"/>
    </row>
    <row r="9" spans="1:21" s="149" customFormat="1" ht="19" customHeight="1">
      <c r="A9" s="232"/>
      <c r="B9" s="153" t="s">
        <v>144</v>
      </c>
      <c r="C9" s="154"/>
    </row>
    <row r="10" spans="1:21" s="149" customFormat="1" ht="19" customHeight="1">
      <c r="A10" s="232"/>
      <c r="B10" s="153" t="s">
        <v>145</v>
      </c>
      <c r="C10" s="154"/>
    </row>
    <row r="11" spans="1:21" s="149" customFormat="1" ht="19" customHeight="1">
      <c r="A11" s="232" t="s">
        <v>146</v>
      </c>
      <c r="B11" s="153" t="s">
        <v>147</v>
      </c>
      <c r="C11" s="153"/>
    </row>
    <row r="12" spans="1:21" s="149" customFormat="1">
      <c r="A12" s="232"/>
      <c r="B12" s="153" t="s">
        <v>148</v>
      </c>
      <c r="C12" s="153"/>
    </row>
    <row r="13" spans="1:21" s="149" customFormat="1">
      <c r="A13" s="232"/>
      <c r="B13" s="153" t="s">
        <v>149</v>
      </c>
      <c r="C13" s="153"/>
    </row>
    <row r="14" spans="1:21" s="149" customFormat="1">
      <c r="A14" s="232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34" t="s">
        <v>89</v>
      </c>
      <c r="Q9" s="235"/>
      <c r="R9" s="236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34" t="s">
        <v>90</v>
      </c>
      <c r="Q18" s="235"/>
      <c r="R18" s="236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34" t="s">
        <v>91</v>
      </c>
      <c r="Q27" s="235"/>
      <c r="R27" s="236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34" t="s">
        <v>94</v>
      </c>
      <c r="Q36" s="235"/>
      <c r="R36" s="236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34" t="s">
        <v>95</v>
      </c>
      <c r="Q45" s="235"/>
      <c r="R45" s="236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34" t="s">
        <v>97</v>
      </c>
      <c r="Q51" s="235"/>
      <c r="R51" s="236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34" t="s">
        <v>96</v>
      </c>
      <c r="Q60" s="235"/>
      <c r="R60" s="236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34" t="s">
        <v>134</v>
      </c>
      <c r="Q69" s="235"/>
      <c r="R69" s="236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34" t="s">
        <v>120</v>
      </c>
      <c r="Q73" s="235"/>
      <c r="R73" s="236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37" t="s">
        <v>54</v>
      </c>
      <c r="Q75" s="237"/>
      <c r="R75" s="238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34" t="s">
        <v>121</v>
      </c>
      <c r="Q79" s="235"/>
      <c r="R79" s="236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37" t="s">
        <v>133</v>
      </c>
      <c r="Q82" s="237"/>
      <c r="R82" s="238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33"/>
      <c r="L84" s="233"/>
      <c r="M84" s="233"/>
      <c r="N84" s="233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33"/>
      <c r="L85" s="233"/>
      <c r="M85" s="233"/>
      <c r="N85" s="233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opLeftCell="A2" zoomScale="140" zoomScaleNormal="140" workbookViewId="0">
      <selection activeCell="E26" sqref="E26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40" t="s">
        <v>3002</v>
      </c>
      <c r="B1" s="241"/>
      <c r="C1" s="241"/>
      <c r="D1" s="241"/>
      <c r="E1" s="241"/>
      <c r="F1" s="241"/>
      <c r="G1" s="241"/>
      <c r="H1" s="242"/>
    </row>
    <row r="2" spans="1:8" ht="30">
      <c r="A2" s="4" t="s">
        <v>0</v>
      </c>
      <c r="B2" s="10" t="s">
        <v>3003</v>
      </c>
      <c r="C2" s="11" t="s">
        <v>1</v>
      </c>
      <c r="D2" s="243" t="s">
        <v>2953</v>
      </c>
      <c r="E2" s="244"/>
      <c r="F2" s="244"/>
      <c r="G2" s="245" t="s">
        <v>37</v>
      </c>
      <c r="H2" s="246"/>
    </row>
    <row r="3" spans="1:8">
      <c r="A3" s="3" t="s">
        <v>2</v>
      </c>
      <c r="B3" s="13" t="s">
        <v>2981</v>
      </c>
      <c r="C3" s="14" t="s">
        <v>3</v>
      </c>
      <c r="D3" s="243" t="s">
        <v>3004</v>
      </c>
      <c r="E3" s="244"/>
      <c r="F3" s="244"/>
      <c r="G3" s="247"/>
      <c r="H3" s="248"/>
    </row>
    <row r="4" spans="1:8" ht="16">
      <c r="A4" s="3" t="s">
        <v>23</v>
      </c>
      <c r="B4" s="10" t="s">
        <v>3005</v>
      </c>
      <c r="C4" s="1" t="s">
        <v>4</v>
      </c>
      <c r="D4" s="12"/>
      <c r="E4" s="14" t="s">
        <v>5</v>
      </c>
      <c r="F4" s="213" t="s">
        <v>3040</v>
      </c>
      <c r="G4" s="36"/>
      <c r="H4" s="37" t="s">
        <v>17</v>
      </c>
    </row>
    <row r="5" spans="1:8" ht="16">
      <c r="A5" s="3" t="s">
        <v>24</v>
      </c>
      <c r="B5" s="10" t="s">
        <v>2998</v>
      </c>
      <c r="C5" s="1" t="s">
        <v>4</v>
      </c>
      <c r="D5" s="12"/>
      <c r="E5" s="14" t="s">
        <v>5</v>
      </c>
      <c r="F5" s="213" t="s">
        <v>2999</v>
      </c>
      <c r="G5" s="38"/>
      <c r="H5" s="37" t="s">
        <v>18</v>
      </c>
    </row>
    <row r="6" spans="1:8">
      <c r="A6" s="3" t="s">
        <v>6</v>
      </c>
      <c r="B6" s="249" t="s">
        <v>2952</v>
      </c>
      <c r="C6" s="250"/>
      <c r="D6" s="250"/>
      <c r="E6" s="250"/>
      <c r="F6" s="250"/>
      <c r="G6" s="39"/>
      <c r="H6" s="37" t="s">
        <v>19</v>
      </c>
    </row>
    <row r="7" spans="1:8">
      <c r="A7" s="3" t="s">
        <v>7</v>
      </c>
      <c r="B7" s="10" t="s">
        <v>3006</v>
      </c>
      <c r="C7" s="1" t="s">
        <v>4</v>
      </c>
      <c r="D7" s="12">
        <v>15811515220</v>
      </c>
      <c r="E7" s="14" t="s">
        <v>5</v>
      </c>
      <c r="F7" s="219" t="s">
        <v>3007</v>
      </c>
      <c r="G7" s="40"/>
      <c r="H7" s="37" t="s">
        <v>20</v>
      </c>
    </row>
    <row r="8" spans="1:8" ht="18">
      <c r="A8" s="239" t="s">
        <v>38</v>
      </c>
      <c r="B8" s="239"/>
      <c r="C8" s="239"/>
      <c r="D8" s="239"/>
      <c r="E8" s="239"/>
      <c r="F8" s="239"/>
      <c r="G8" s="239"/>
      <c r="H8" s="239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'2.报价结算清单'!P7</f>
        <v>459.8075</v>
      </c>
      <c r="D10" s="6">
        <f>IFERROR(_xlfn.IFNA(C10/$C$21,""),"")</f>
        <v>4.8625039770566308E-4</v>
      </c>
      <c r="E10" s="8">
        <f>'2.报价结算清单'!Q7</f>
        <v>0</v>
      </c>
      <c r="F10" s="6" t="str">
        <f t="shared" ref="F10:F18" si="0">IFERROR(_xlfn.IFNA(E10/$E$21,""),"")</f>
        <v/>
      </c>
      <c r="G10" s="8">
        <f>IFERROR(E10-C10,"")</f>
        <v>-459.8075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'2.报价结算清单'!P11</f>
        <v>6890</v>
      </c>
      <c r="D12" s="6">
        <f>IFERROR(_xlfn.IFNA(C12/$C$21,""),"")</f>
        <v>7.2862344354801059E-3</v>
      </c>
      <c r="E12" s="8">
        <f>'2.报价结算清单'!Q11</f>
        <v>0</v>
      </c>
      <c r="F12" s="6" t="str">
        <f t="shared" si="0"/>
        <v/>
      </c>
      <c r="G12" s="8">
        <f t="shared" si="2"/>
        <v>-6890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'2.报价结算清单'!P28</f>
        <v>883316.46</v>
      </c>
      <c r="D14" s="6">
        <f t="shared" si="1"/>
        <v>0.93411477623779171</v>
      </c>
      <c r="E14" s="8">
        <f>'2.报价结算清单'!Q28</f>
        <v>0</v>
      </c>
      <c r="F14" s="6" t="str">
        <f t="shared" si="0"/>
        <v/>
      </c>
      <c r="G14" s="8">
        <f t="shared" si="2"/>
        <v>-883316.46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53" t="s">
        <v>53</v>
      </c>
      <c r="B19" s="254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55" t="s">
        <v>87</v>
      </c>
      <c r="B20" s="254"/>
      <c r="C20" s="9" t="str">
        <f>'2.报价结算清单'!J37</f>
        <v>0</v>
      </c>
      <c r="D20" s="6">
        <f>IFERROR(_xlfn.IFNA(C20/$C$22,""),"")</f>
        <v>0</v>
      </c>
      <c r="E20" s="9" t="str">
        <f>'2.报价结算清单'!K37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53" t="s">
        <v>13</v>
      </c>
      <c r="B21" s="253"/>
      <c r="C21" s="9">
        <f>'2.报价结算清单'!P39</f>
        <v>945618.76384999999</v>
      </c>
      <c r="D21" s="6">
        <f>IFERROR(_xlfn.IFNA(C21/$C$22,""),"")</f>
        <v>1</v>
      </c>
      <c r="E21" s="9">
        <f>'2.报价结算清单'!Q39</f>
        <v>0</v>
      </c>
      <c r="F21" s="6" t="str">
        <f>IFERROR(_xlfn.IFNA(E21/$E$22,""),"")</f>
        <v/>
      </c>
      <c r="G21" s="8">
        <f>IFERROR(E21-C21,"")</f>
        <v>-945618.76384999999</v>
      </c>
      <c r="H21" s="5"/>
    </row>
    <row r="22" spans="1:8">
      <c r="A22" s="251" t="s">
        <v>42</v>
      </c>
      <c r="B22" s="251"/>
      <c r="C22" s="252">
        <f>'2.报价结算清单'!P39</f>
        <v>945618.76384999999</v>
      </c>
      <c r="D22" s="252"/>
      <c r="E22" s="252">
        <f>'2.报价结算清单'!Q39</f>
        <v>0</v>
      </c>
      <c r="F22" s="252"/>
      <c r="G22" s="7">
        <f>IFERROR(E22-C22,"")</f>
        <v>-945618.76384999999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5" r:id="rId1" xr:uid="{A07DB218-0840-FC4F-9F76-895F47C7F409}"/>
    <hyperlink ref="F7" r:id="rId2" display="mailto:guoyanlei@cct.cn" xr:uid="{83B76852-4056-B346-BB65-BF423A6FE966}"/>
    <hyperlink ref="F4" r:id="rId3" xr:uid="{E429E14C-2ADF-984B-81FA-40BD733D6FA9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43"/>
  <sheetViews>
    <sheetView tabSelected="1" zoomScale="87" zoomScaleNormal="55" workbookViewId="0">
      <selection activeCell="P37" sqref="P37"/>
    </sheetView>
  </sheetViews>
  <sheetFormatPr baseColWidth="10" defaultColWidth="9" defaultRowHeight="16" outlineLevelCol="1"/>
  <cols>
    <col min="1" max="1" width="12.6640625" style="77" bestFit="1" customWidth="1"/>
    <col min="2" max="2" width="10.83203125" style="93" bestFit="1" customWidth="1"/>
    <col min="3" max="3" width="18.5" style="93" bestFit="1" customWidth="1"/>
    <col min="4" max="4" width="33.83203125" style="93" bestFit="1" customWidth="1"/>
    <col min="5" max="5" width="10" style="93" bestFit="1" customWidth="1"/>
    <col min="6" max="6" width="17.33203125" style="77" bestFit="1" customWidth="1"/>
    <col min="7" max="7" width="22.6640625" style="77" bestFit="1" customWidth="1"/>
    <col min="8" max="8" width="71" style="204" customWidth="1"/>
    <col min="9" max="9" width="9.1640625" style="77" bestFit="1" customWidth="1"/>
    <col min="10" max="10" width="11.6640625" style="197" bestFit="1" customWidth="1"/>
    <col min="11" max="11" width="12" style="196" customWidth="1" outlineLevel="1"/>
    <col min="12" max="12" width="10.83203125" style="105" bestFit="1" customWidth="1"/>
    <col min="13" max="13" width="9.1640625" style="105" bestFit="1" customWidth="1" outlineLevel="1"/>
    <col min="14" max="14" width="9.6640625" style="105" bestFit="1" customWidth="1"/>
    <col min="15" max="15" width="9.1640625" style="105" bestFit="1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79" customFormat="1" ht="22" customHeight="1">
      <c r="A2" s="173" t="s">
        <v>88</v>
      </c>
      <c r="B2" s="128" t="s">
        <v>2960</v>
      </c>
      <c r="C2" s="128" t="s">
        <v>3008</v>
      </c>
      <c r="D2" s="128" t="s">
        <v>3009</v>
      </c>
      <c r="E2" s="220" t="s">
        <v>132</v>
      </c>
      <c r="F2" s="174" t="s">
        <v>2453</v>
      </c>
      <c r="G2" s="128" t="str">
        <f>_xlfn.IFNA(IF(VLOOKUP($F2,'[1]3.框架内物料'!$A:$E,2,0)=0,"请勿填写",VLOOKUP($F2,'[1]3.框架内物料'!$A:$E,2,0)),"")</f>
        <v>M947580777174933506</v>
      </c>
      <c r="H2" s="202" t="str">
        <f>_xlfn.IFNA(VLOOKUP($F2,'[1]3.框架内物料'!$A:$E,4,0),"")</f>
        <v>搭建制作-制作-装饰材料-KT板-亚展A类板</v>
      </c>
      <c r="I2" s="128" t="str">
        <f>_xlfn.IFNA(VLOOKUP($F2,'[1]3.框架内物料'!$A:$E,5,0),"")</f>
        <v>平米</v>
      </c>
      <c r="J2" s="189">
        <f>_xlfn.IFNA(VLOOKUP($F2,'[1]3.框架内物料'!$A:$F,6,0),"")</f>
        <v>50.57</v>
      </c>
      <c r="K2" s="189">
        <f>_xlfn.IFNA(VLOOKUP($F2,'[1]3.框架内物料'!$A:$F,6,0),"")</f>
        <v>50.57</v>
      </c>
      <c r="L2" s="67">
        <v>0.375</v>
      </c>
      <c r="M2" s="67"/>
      <c r="N2" s="67">
        <v>2</v>
      </c>
      <c r="O2" s="67"/>
      <c r="P2" s="175">
        <f>IFERROR(N2*L2*J2,0)</f>
        <v>37.927500000000002</v>
      </c>
      <c r="Q2" s="175">
        <f>IFERROR(O2*M2*K2,0)</f>
        <v>0</v>
      </c>
      <c r="R2" s="176">
        <f>Q2-P2</f>
        <v>-37.927500000000002</v>
      </c>
      <c r="S2" s="177">
        <v>0.06</v>
      </c>
      <c r="T2" s="177">
        <v>0</v>
      </c>
      <c r="U2" s="178" t="s">
        <v>3001</v>
      </c>
      <c r="V2" s="178"/>
    </row>
    <row r="3" spans="1:25" s="179" customFormat="1" ht="22" customHeight="1">
      <c r="A3" s="173" t="s">
        <v>88</v>
      </c>
      <c r="B3" s="128" t="s">
        <v>2960</v>
      </c>
      <c r="C3" s="128" t="s">
        <v>2954</v>
      </c>
      <c r="D3" s="128" t="s">
        <v>2954</v>
      </c>
      <c r="E3" s="200" t="s">
        <v>129</v>
      </c>
      <c r="F3" s="174"/>
      <c r="G3" s="128" t="str">
        <f>_xlfn.IFNA(IF(VLOOKUP($F3,'3.框架内物料'!$A:$E,2,0)=0,"请勿填写",VLOOKUP($F3,'3.框架内物料'!$A:$E,2,0)),"")</f>
        <v/>
      </c>
      <c r="H3" s="202" t="s">
        <v>3026</v>
      </c>
      <c r="I3" s="128" t="s">
        <v>2955</v>
      </c>
      <c r="J3" s="189" t="s">
        <v>2956</v>
      </c>
      <c r="K3" s="189" t="str">
        <f>_xlfn.IFNA(VLOOKUP($F3,'3.框架内物料'!$A:$F,6,0),"")</f>
        <v/>
      </c>
      <c r="L3" s="67">
        <v>17</v>
      </c>
      <c r="M3" s="67"/>
      <c r="N3" s="67">
        <v>1</v>
      </c>
      <c r="O3" s="67"/>
      <c r="P3" s="175">
        <f>IFERROR(N3*L3*J3,0)</f>
        <v>144.16</v>
      </c>
      <c r="Q3" s="175">
        <f t="shared" ref="Q3" si="0">IFERROR(O3*M3*K3,0)</f>
        <v>0</v>
      </c>
      <c r="R3" s="176">
        <f t="shared" ref="R3" si="1">Q3-P3</f>
        <v>-144.16</v>
      </c>
      <c r="S3" s="177">
        <v>0.06</v>
      </c>
      <c r="T3" s="177">
        <v>0</v>
      </c>
      <c r="U3" s="178" t="s">
        <v>3001</v>
      </c>
      <c r="V3" s="178"/>
    </row>
    <row r="4" spans="1:25" s="212" customFormat="1" ht="22" customHeight="1">
      <c r="A4" s="205" t="s">
        <v>88</v>
      </c>
      <c r="B4" s="201" t="s">
        <v>2960</v>
      </c>
      <c r="C4" s="201" t="s">
        <v>3010</v>
      </c>
      <c r="D4" s="201" t="s">
        <v>3011</v>
      </c>
      <c r="E4" s="200" t="s">
        <v>129</v>
      </c>
      <c r="F4" s="206"/>
      <c r="G4" s="201" t="str">
        <f>_xlfn.IFNA(IF(VLOOKUP($F4,'3.框架内物料'!$A:$E,2,0)=0,"请勿填写",VLOOKUP($F4,'3.框架内物料'!$A:$E,2,0)),"")</f>
        <v/>
      </c>
      <c r="H4" s="207" t="s">
        <v>3012</v>
      </c>
      <c r="I4" s="201" t="s">
        <v>2955</v>
      </c>
      <c r="J4" s="208" t="s">
        <v>2982</v>
      </c>
      <c r="K4" s="208" t="str">
        <f>_xlfn.IFNA(VLOOKUP($F4,'3.框架内物料'!$A:$F,6,0),"")</f>
        <v/>
      </c>
      <c r="L4" s="209">
        <v>12</v>
      </c>
      <c r="M4" s="209"/>
      <c r="N4" s="209">
        <v>6</v>
      </c>
      <c r="O4" s="209"/>
      <c r="P4" s="210">
        <f>IFERROR(N4*L4*J4,0)</f>
        <v>76.320000000000007</v>
      </c>
      <c r="Q4" s="210">
        <f t="shared" ref="Q4:Q5" si="2">IFERROR(O4*M4*K4,0)</f>
        <v>0</v>
      </c>
      <c r="R4" s="211">
        <f t="shared" ref="R4:R5" si="3">Q4-P4</f>
        <v>-76.320000000000007</v>
      </c>
      <c r="S4" s="177">
        <v>0.06</v>
      </c>
      <c r="T4" s="177">
        <v>0</v>
      </c>
      <c r="U4" s="178" t="s">
        <v>3001</v>
      </c>
      <c r="V4" s="205"/>
    </row>
    <row r="5" spans="1:25" s="179" customFormat="1" ht="22" customHeight="1">
      <c r="A5" s="173" t="s">
        <v>88</v>
      </c>
      <c r="B5" s="128" t="s">
        <v>2960</v>
      </c>
      <c r="C5" s="128" t="s">
        <v>3013</v>
      </c>
      <c r="D5" s="128" t="s">
        <v>3014</v>
      </c>
      <c r="E5" s="220" t="s">
        <v>132</v>
      </c>
      <c r="F5" s="174" t="s">
        <v>2556</v>
      </c>
      <c r="G5" s="128" t="str">
        <f>_xlfn.IFNA(IF(VLOOKUP($F5,'[1]3.框架内物料'!$A:$E,2,0)=0,"请勿填写",VLOOKUP($F5,'[1]3.框架内物料'!$A:$E,2,0)),"")</f>
        <v>M939882593421402114</v>
      </c>
      <c r="H5" s="202" t="str">
        <f>_xlfn.IFNA(VLOOKUP($F5,'[1]3.框架内物料'!$A:$E,4,0),"")</f>
        <v>搭建制作-制作-指引-易拉宝-铝合金材质，120*200cm，含写真画面</v>
      </c>
      <c r="I5" s="128" t="str">
        <f>_xlfn.IFNA(VLOOKUP($F5,'[1]3.框架内物料'!$A:$E,5,0),"")</f>
        <v>套</v>
      </c>
      <c r="J5" s="189">
        <f>_xlfn.IFNA(VLOOKUP($F5,'[1]3.框架内物料'!$A:$F,6,0),"")</f>
        <v>201.4</v>
      </c>
      <c r="K5" s="189">
        <f>_xlfn.IFNA(VLOOKUP($F5,'[1]3.框架内物料'!$A:$F,6,0),"")</f>
        <v>201.4</v>
      </c>
      <c r="L5" s="67">
        <v>1</v>
      </c>
      <c r="M5" s="67"/>
      <c r="N5" s="67">
        <v>1</v>
      </c>
      <c r="O5" s="67"/>
      <c r="P5" s="175">
        <f>IFERROR(N5*L5*J5,0)</f>
        <v>201.4</v>
      </c>
      <c r="Q5" s="175">
        <f t="shared" si="2"/>
        <v>0</v>
      </c>
      <c r="R5" s="176">
        <f t="shared" si="3"/>
        <v>-201.4</v>
      </c>
      <c r="S5" s="177">
        <v>0.06</v>
      </c>
      <c r="T5" s="177">
        <v>0</v>
      </c>
      <c r="U5" s="178" t="s">
        <v>3001</v>
      </c>
      <c r="V5" s="178"/>
    </row>
    <row r="6" spans="1:25" s="71" customFormat="1" ht="18">
      <c r="A6" s="57"/>
      <c r="B6" s="61"/>
      <c r="C6" s="61"/>
      <c r="D6" s="61"/>
      <c r="E6" s="61"/>
      <c r="F6" s="58"/>
      <c r="G6" s="58"/>
      <c r="H6" s="58"/>
      <c r="I6" s="58"/>
      <c r="J6" s="190"/>
      <c r="K6" s="190"/>
      <c r="L6" s="58"/>
      <c r="M6" s="58"/>
      <c r="N6" s="58"/>
      <c r="O6" s="58"/>
      <c r="P6" s="258" t="s">
        <v>89</v>
      </c>
      <c r="Q6" s="259"/>
      <c r="R6" s="260"/>
      <c r="S6" s="165"/>
      <c r="T6" s="165"/>
      <c r="U6" s="60"/>
      <c r="V6" s="60"/>
    </row>
    <row r="7" spans="1:25" s="71" customFormat="1" ht="18">
      <c r="A7" s="54"/>
      <c r="B7" s="62"/>
      <c r="C7" s="62"/>
      <c r="D7" s="62"/>
      <c r="E7" s="62"/>
      <c r="F7" s="55"/>
      <c r="G7" s="55"/>
      <c r="H7" s="55"/>
      <c r="I7" s="55"/>
      <c r="J7" s="191"/>
      <c r="K7" s="191"/>
      <c r="L7" s="55"/>
      <c r="M7" s="55"/>
      <c r="N7" s="55"/>
      <c r="O7" s="55"/>
      <c r="P7" s="158">
        <f>SUM(P2:P5)</f>
        <v>459.8075</v>
      </c>
      <c r="Q7" s="158">
        <f>SUM(Q2:Q5)</f>
        <v>0</v>
      </c>
      <c r="R7" s="158">
        <f>Q7-P7</f>
        <v>-459.8075</v>
      </c>
      <c r="S7" s="166"/>
      <c r="T7" s="171"/>
      <c r="U7" s="55"/>
      <c r="V7" s="56"/>
    </row>
    <row r="8" spans="1:25" s="181" customFormat="1" ht="34" customHeight="1">
      <c r="A8" s="173" t="s">
        <v>84</v>
      </c>
      <c r="B8" s="128" t="s">
        <v>2992</v>
      </c>
      <c r="C8" s="128" t="s">
        <v>2992</v>
      </c>
      <c r="D8" s="128" t="s">
        <v>3015</v>
      </c>
      <c r="E8" s="128" t="s">
        <v>132</v>
      </c>
      <c r="F8" s="174" t="s">
        <v>2911</v>
      </c>
      <c r="G8" s="128" t="str">
        <f>_xlfn.IFNA(IF(VLOOKUP($F8,'3.框架内物料'!$A:$E,2,0)=0,"请勿填写",VLOOKUP($F8,'3.框架内物料'!$A:$E,2,0)),"")</f>
        <v>M939882634395557889</v>
      </c>
      <c r="H8" s="202" t="str">
        <f>_xlfn.IFNA(VLOOKUP($F8,'3.框架内物料'!$A:$E,4,0),"")</f>
        <v>Onsite 人员-服务人员-地接上会服务人员-人员劳务费。不含住宿、交通、补贴等费用，每天不超过8小时</v>
      </c>
      <c r="I8" s="128" t="str">
        <f>_xlfn.IFNA(VLOOKUP($F8,'3.框架内物料'!$A:$E,5,0),"")</f>
        <v>人/天</v>
      </c>
      <c r="J8" s="189">
        <f>_xlfn.IFNA(VLOOKUP($F8,'3.框架内物料'!$A:$F,6,0),"")</f>
        <v>530</v>
      </c>
      <c r="K8" s="189">
        <f>_xlfn.IFNA(VLOOKUP($F8,'3.框架内物料'!$A:$F,6,0),"")</f>
        <v>530</v>
      </c>
      <c r="L8" s="67">
        <v>1</v>
      </c>
      <c r="M8" s="67"/>
      <c r="N8" s="67">
        <v>1</v>
      </c>
      <c r="O8" s="67"/>
      <c r="P8" s="175">
        <f>IFERROR(N8*L8*J8,0)</f>
        <v>530</v>
      </c>
      <c r="Q8" s="175">
        <f t="shared" ref="Q8" si="4">IFERROR(O8*M8*K8,0)</f>
        <v>0</v>
      </c>
      <c r="R8" s="176">
        <f t="shared" ref="R8" si="5">Q8-P8</f>
        <v>-530</v>
      </c>
      <c r="S8" s="177">
        <v>0.06</v>
      </c>
      <c r="T8" s="177">
        <v>0</v>
      </c>
      <c r="U8" s="180"/>
      <c r="V8" s="178"/>
    </row>
    <row r="9" spans="1:25" s="181" customFormat="1" ht="34" customHeight="1">
      <c r="A9" s="173" t="s">
        <v>84</v>
      </c>
      <c r="B9" s="128" t="s">
        <v>2992</v>
      </c>
      <c r="C9" s="128" t="s">
        <v>2992</v>
      </c>
      <c r="D9" s="128" t="s">
        <v>3027</v>
      </c>
      <c r="E9" s="128" t="s">
        <v>132</v>
      </c>
      <c r="F9" s="174" t="s">
        <v>2911</v>
      </c>
      <c r="G9" s="128" t="str">
        <f>_xlfn.IFNA(IF(VLOOKUP($F9,'3.框架内物料'!$A:$E,2,0)=0,"请勿填写",VLOOKUP($F9,'3.框架内物料'!$A:$E,2,0)),"")</f>
        <v>M939882634395557889</v>
      </c>
      <c r="H9" s="202" t="str">
        <f>_xlfn.IFNA(VLOOKUP($F9,'3.框架内物料'!$A:$E,4,0),"")</f>
        <v>Onsite 人员-服务人员-地接上会服务人员-人员劳务费。不含住宿、交通、补贴等费用，每天不超过8小时</v>
      </c>
      <c r="I9" s="128" t="str">
        <f>_xlfn.IFNA(VLOOKUP($F9,'3.框架内物料'!$A:$E,5,0),"")</f>
        <v>人/天</v>
      </c>
      <c r="J9" s="189">
        <f>_xlfn.IFNA(VLOOKUP($F9,'3.框架内物料'!$A:$F,6,0),"")</f>
        <v>530</v>
      </c>
      <c r="K9" s="189">
        <f>_xlfn.IFNA(VLOOKUP($F9,'3.框架内物料'!$A:$F,6,0),"")</f>
        <v>530</v>
      </c>
      <c r="L9" s="67">
        <v>2</v>
      </c>
      <c r="M9" s="67"/>
      <c r="N9" s="67">
        <v>6</v>
      </c>
      <c r="O9" s="67"/>
      <c r="P9" s="175">
        <f>IFERROR(N9*L9*J9,0)</f>
        <v>6360</v>
      </c>
      <c r="Q9" s="175">
        <f t="shared" ref="Q9" si="6">IFERROR(O9*M9*K9,0)</f>
        <v>0</v>
      </c>
      <c r="R9" s="176">
        <f t="shared" ref="R9" si="7">Q9-P9</f>
        <v>-6360</v>
      </c>
      <c r="S9" s="177">
        <v>0.06</v>
      </c>
      <c r="T9" s="177">
        <v>0</v>
      </c>
      <c r="U9" s="180"/>
      <c r="V9" s="178"/>
    </row>
    <row r="10" spans="1:25" s="71" customFormat="1" ht="18">
      <c r="A10" s="57"/>
      <c r="B10" s="61"/>
      <c r="C10" s="61"/>
      <c r="D10" s="61"/>
      <c r="E10" s="61"/>
      <c r="F10" s="58"/>
      <c r="G10" s="58"/>
      <c r="H10" s="58"/>
      <c r="I10" s="58"/>
      <c r="J10" s="190"/>
      <c r="K10" s="190"/>
      <c r="L10" s="58"/>
      <c r="M10" s="58"/>
      <c r="N10" s="58"/>
      <c r="O10" s="58"/>
      <c r="P10" s="258" t="s">
        <v>91</v>
      </c>
      <c r="Q10" s="259"/>
      <c r="R10" s="260"/>
      <c r="S10" s="165"/>
      <c r="T10" s="165"/>
      <c r="U10" s="60"/>
      <c r="V10" s="60"/>
    </row>
    <row r="11" spans="1:25" s="71" customFormat="1" ht="18">
      <c r="A11" s="54"/>
      <c r="B11" s="62"/>
      <c r="C11" s="62"/>
      <c r="D11" s="62"/>
      <c r="E11" s="62"/>
      <c r="F11" s="55"/>
      <c r="G11" s="55"/>
      <c r="H11" s="55"/>
      <c r="I11" s="55"/>
      <c r="J11" s="191"/>
      <c r="K11" s="191"/>
      <c r="L11" s="55"/>
      <c r="M11" s="55"/>
      <c r="N11" s="55"/>
      <c r="O11" s="55"/>
      <c r="P11" s="158">
        <f>SUM(P8:P9)</f>
        <v>6890</v>
      </c>
      <c r="Q11" s="158">
        <f>SUM(Q8:Q9)</f>
        <v>0</v>
      </c>
      <c r="R11" s="158">
        <f>Q11-P11</f>
        <v>-6890</v>
      </c>
      <c r="S11" s="166"/>
      <c r="T11" s="171"/>
      <c r="U11" s="55"/>
      <c r="V11" s="56"/>
    </row>
    <row r="12" spans="1:25" s="181" customFormat="1" ht="22" customHeight="1">
      <c r="A12" s="173" t="s">
        <v>93</v>
      </c>
      <c r="B12" s="201" t="s">
        <v>2961</v>
      </c>
      <c r="C12" s="128" t="s">
        <v>2963</v>
      </c>
      <c r="D12" s="128" t="s">
        <v>2957</v>
      </c>
      <c r="E12" s="128" t="s">
        <v>129</v>
      </c>
      <c r="F12" s="174"/>
      <c r="G12" s="128" t="str">
        <f>_xlfn.IFNA(IF(VLOOKUP($F12,'3.框架内物料'!$A:$E,2,0)=0,"请勿填写",VLOOKUP($F12,'3.框架内物料'!$A:$E,2,0)),"")</f>
        <v/>
      </c>
      <c r="H12" s="202" t="s">
        <v>2991</v>
      </c>
      <c r="I12" s="128" t="s">
        <v>2958</v>
      </c>
      <c r="J12" s="189" t="s">
        <v>2959</v>
      </c>
      <c r="K12" s="189" t="str">
        <f>_xlfn.IFNA(VLOOKUP($F12,'3.框架内物料'!$A:$F,6,0),"")</f>
        <v/>
      </c>
      <c r="L12" s="67">
        <v>136</v>
      </c>
      <c r="M12" s="67"/>
      <c r="N12" s="67">
        <v>1</v>
      </c>
      <c r="O12" s="67"/>
      <c r="P12" s="175">
        <f t="shared" ref="P12:P26" si="8">IFERROR(N12*L12*J12,0)</f>
        <v>340000</v>
      </c>
      <c r="Q12" s="175">
        <f t="shared" ref="Q12:Q14" si="9">IFERROR(O12*M12*K12,0)</f>
        <v>0</v>
      </c>
      <c r="R12" s="176">
        <f t="shared" ref="R12:R16" si="10">Q12-P12</f>
        <v>-340000</v>
      </c>
      <c r="S12" s="177">
        <v>0.06</v>
      </c>
      <c r="T12" s="177">
        <v>0</v>
      </c>
      <c r="U12" s="180"/>
      <c r="V12" s="178"/>
    </row>
    <row r="13" spans="1:25" s="215" customFormat="1" ht="22" customHeight="1">
      <c r="A13" s="205" t="s">
        <v>93</v>
      </c>
      <c r="B13" s="201" t="s">
        <v>2961</v>
      </c>
      <c r="C13" s="201" t="s">
        <v>2963</v>
      </c>
      <c r="D13" s="201" t="s">
        <v>3038</v>
      </c>
      <c r="E13" s="201" t="s">
        <v>129</v>
      </c>
      <c r="F13" s="206"/>
      <c r="G13" s="201" t="str">
        <f>_xlfn.IFNA(IF(VLOOKUP($F13,'3.框架内物料'!$A:$E,2,0)=0,"请勿填写",VLOOKUP($F13,'3.框架内物料'!$A:$E,2,0)),"")</f>
        <v/>
      </c>
      <c r="H13" s="207" t="s">
        <v>2991</v>
      </c>
      <c r="I13" s="201" t="s">
        <v>2958</v>
      </c>
      <c r="J13" s="208" t="s">
        <v>3039</v>
      </c>
      <c r="K13" s="208" t="str">
        <f>_xlfn.IFNA(VLOOKUP($F13,'3.框架内物料'!$A:$F,6,0),"")</f>
        <v/>
      </c>
      <c r="L13" s="209">
        <v>3</v>
      </c>
      <c r="M13" s="209"/>
      <c r="N13" s="209">
        <v>1</v>
      </c>
      <c r="O13" s="209"/>
      <c r="P13" s="210">
        <f t="shared" ref="P13" si="11">IFERROR(N13*L13*J13,0)</f>
        <v>24000</v>
      </c>
      <c r="Q13" s="210">
        <f t="shared" ref="Q13" si="12">IFERROR(O13*M13*K13,0)</f>
        <v>0</v>
      </c>
      <c r="R13" s="211">
        <f t="shared" ref="R13" si="13">Q13-P13</f>
        <v>-24000</v>
      </c>
      <c r="S13" s="177">
        <v>0.06</v>
      </c>
      <c r="T13" s="177">
        <v>0</v>
      </c>
      <c r="U13" s="214"/>
      <c r="V13" s="205"/>
    </row>
    <row r="14" spans="1:25" s="181" customFormat="1" ht="22" customHeight="1">
      <c r="A14" s="173" t="s">
        <v>93</v>
      </c>
      <c r="B14" s="201" t="s">
        <v>2961</v>
      </c>
      <c r="C14" s="128" t="s">
        <v>3016</v>
      </c>
      <c r="D14" s="128" t="s">
        <v>3017</v>
      </c>
      <c r="E14" s="128" t="s">
        <v>129</v>
      </c>
      <c r="F14" s="221"/>
      <c r="G14" s="221"/>
      <c r="H14" s="202" t="s">
        <v>2991</v>
      </c>
      <c r="I14" s="128" t="s">
        <v>2958</v>
      </c>
      <c r="J14" s="189" t="s">
        <v>3018</v>
      </c>
      <c r="K14" s="189"/>
      <c r="L14" s="67">
        <v>68</v>
      </c>
      <c r="M14" s="67"/>
      <c r="N14" s="67">
        <v>1</v>
      </c>
      <c r="O14" s="67"/>
      <c r="P14" s="175">
        <f t="shared" si="8"/>
        <v>95200</v>
      </c>
      <c r="Q14" s="175">
        <f t="shared" si="9"/>
        <v>0</v>
      </c>
      <c r="R14" s="176">
        <f t="shared" si="10"/>
        <v>-95200</v>
      </c>
      <c r="S14" s="177">
        <v>0.06</v>
      </c>
      <c r="T14" s="177">
        <v>0</v>
      </c>
      <c r="U14" s="180"/>
      <c r="V14" s="178"/>
    </row>
    <row r="15" spans="1:25" s="181" customFormat="1" ht="22" customHeight="1">
      <c r="A15" s="205" t="s">
        <v>93</v>
      </c>
      <c r="B15" s="201" t="s">
        <v>2962</v>
      </c>
      <c r="C15" s="128" t="s">
        <v>3028</v>
      </c>
      <c r="D15" s="128" t="s">
        <v>2995</v>
      </c>
      <c r="E15" s="128" t="s">
        <v>129</v>
      </c>
      <c r="F15" s="174"/>
      <c r="G15" s="128"/>
      <c r="H15" s="202" t="s">
        <v>3019</v>
      </c>
      <c r="I15" s="128" t="s">
        <v>2971</v>
      </c>
      <c r="J15" s="217">
        <v>980</v>
      </c>
      <c r="K15" s="189"/>
      <c r="L15" s="67">
        <v>12</v>
      </c>
      <c r="M15" s="67"/>
      <c r="N15" s="67">
        <v>3</v>
      </c>
      <c r="O15" s="67"/>
      <c r="P15" s="175">
        <f t="shared" ref="P15" si="14">IFERROR(N15*L15*J15,0)</f>
        <v>35280</v>
      </c>
      <c r="Q15" s="175">
        <f t="shared" ref="Q15" si="15">IFERROR(O15*M15*K15,0)</f>
        <v>0</v>
      </c>
      <c r="R15" s="176">
        <f t="shared" ref="R15" si="16">Q15-P15</f>
        <v>-35280</v>
      </c>
      <c r="S15" s="177">
        <v>0.06</v>
      </c>
      <c r="T15" s="177">
        <v>0</v>
      </c>
      <c r="U15" s="180"/>
      <c r="V15" s="178"/>
    </row>
    <row r="16" spans="1:25" s="215" customFormat="1" ht="22" customHeight="1">
      <c r="A16" s="205" t="s">
        <v>93</v>
      </c>
      <c r="B16" s="201" t="s">
        <v>2962</v>
      </c>
      <c r="C16" s="201" t="s">
        <v>3029</v>
      </c>
      <c r="D16" s="201" t="s">
        <v>3020</v>
      </c>
      <c r="E16" s="201" t="s">
        <v>129</v>
      </c>
      <c r="F16" s="206"/>
      <c r="G16" s="201" t="str">
        <f>_xlfn.IFNA(IF(VLOOKUP($F16,'3.框架内物料'!$A:$E,2,0)=0,"请勿填写",VLOOKUP($F16,'3.框架内物料'!$A:$E,2,0)),"")</f>
        <v/>
      </c>
      <c r="H16" s="207" t="s">
        <v>3030</v>
      </c>
      <c r="I16" s="201" t="s">
        <v>2971</v>
      </c>
      <c r="J16" s="208" t="s">
        <v>3021</v>
      </c>
      <c r="K16" s="208" t="str">
        <f>_xlfn.IFNA(VLOOKUP($F16,'3.框架内物料'!$A:$F,6,0),"")</f>
        <v/>
      </c>
      <c r="L16" s="209">
        <v>85</v>
      </c>
      <c r="M16" s="209"/>
      <c r="N16" s="209">
        <v>3</v>
      </c>
      <c r="O16" s="209"/>
      <c r="P16" s="210">
        <f t="shared" si="8"/>
        <v>127500</v>
      </c>
      <c r="Q16" s="210">
        <f t="shared" ref="Q16" si="17">IFERROR(O16*M16*K16,0)</f>
        <v>0</v>
      </c>
      <c r="R16" s="211">
        <f t="shared" si="10"/>
        <v>-127500</v>
      </c>
      <c r="S16" s="177">
        <v>0.06</v>
      </c>
      <c r="T16" s="177">
        <v>0</v>
      </c>
      <c r="U16" s="214"/>
      <c r="V16" s="205"/>
      <c r="Y16" s="216"/>
    </row>
    <row r="17" spans="1:25" s="215" customFormat="1" ht="22" customHeight="1">
      <c r="A17" s="205" t="s">
        <v>93</v>
      </c>
      <c r="B17" s="201" t="s">
        <v>2962</v>
      </c>
      <c r="C17" s="201" t="s">
        <v>3029</v>
      </c>
      <c r="D17" s="201" t="s">
        <v>3020</v>
      </c>
      <c r="E17" s="201" t="s">
        <v>129</v>
      </c>
      <c r="F17" s="206"/>
      <c r="G17" s="201" t="str">
        <f>_xlfn.IFNA(IF(VLOOKUP($F17,'3.框架内物料'!$A:$E,2,0)=0,"请勿填写",VLOOKUP($F17,'3.框架内物料'!$A:$E,2,0)),"")</f>
        <v/>
      </c>
      <c r="H17" s="207" t="s">
        <v>3031</v>
      </c>
      <c r="I17" s="201" t="s">
        <v>2971</v>
      </c>
      <c r="J17" s="208" t="s">
        <v>3022</v>
      </c>
      <c r="K17" s="208" t="str">
        <f>_xlfn.IFNA(VLOOKUP($F17,'3.框架内物料'!$A:$F,6,0),"")</f>
        <v/>
      </c>
      <c r="L17" s="209">
        <v>70</v>
      </c>
      <c r="M17" s="209"/>
      <c r="N17" s="209">
        <v>3</v>
      </c>
      <c r="O17" s="209"/>
      <c r="P17" s="210">
        <f t="shared" ref="P17:P18" si="18">IFERROR(N17*L17*J17,0)</f>
        <v>121800</v>
      </c>
      <c r="Q17" s="210">
        <f t="shared" ref="Q17:Q18" si="19">IFERROR(O17*M17*K17,0)</f>
        <v>0</v>
      </c>
      <c r="R17" s="211">
        <f t="shared" ref="R17:R18" si="20">Q17-P17</f>
        <v>-121800</v>
      </c>
      <c r="S17" s="177">
        <v>0.06</v>
      </c>
      <c r="T17" s="177">
        <v>0</v>
      </c>
      <c r="U17" s="214"/>
      <c r="V17" s="205"/>
      <c r="Y17" s="216"/>
    </row>
    <row r="18" spans="1:25" s="215" customFormat="1" ht="22" customHeight="1">
      <c r="A18" s="205" t="s">
        <v>93</v>
      </c>
      <c r="B18" s="201" t="s">
        <v>2962</v>
      </c>
      <c r="C18" s="201" t="s">
        <v>3029</v>
      </c>
      <c r="D18" s="201" t="s">
        <v>3020</v>
      </c>
      <c r="E18" s="201" t="s">
        <v>129</v>
      </c>
      <c r="F18" s="206"/>
      <c r="G18" s="201" t="str">
        <f>_xlfn.IFNA(IF(VLOOKUP($F18,'3.框架内物料'!$A:$E,2,0)=0,"请勿填写",VLOOKUP($F18,'3.框架内物料'!$A:$E,2,0)),"")</f>
        <v/>
      </c>
      <c r="H18" s="207" t="s">
        <v>3032</v>
      </c>
      <c r="I18" s="201" t="s">
        <v>2971</v>
      </c>
      <c r="J18" s="208" t="s">
        <v>3023</v>
      </c>
      <c r="K18" s="208" t="str">
        <f>_xlfn.IFNA(VLOOKUP($F18,'3.框架内物料'!$A:$F,6,0),"")</f>
        <v/>
      </c>
      <c r="L18" s="209">
        <v>25</v>
      </c>
      <c r="M18" s="209"/>
      <c r="N18" s="209">
        <v>3</v>
      </c>
      <c r="O18" s="209"/>
      <c r="P18" s="210">
        <f t="shared" si="18"/>
        <v>52500</v>
      </c>
      <c r="Q18" s="210">
        <f t="shared" si="19"/>
        <v>0</v>
      </c>
      <c r="R18" s="211">
        <f t="shared" si="20"/>
        <v>-52500</v>
      </c>
      <c r="S18" s="177">
        <v>0.06</v>
      </c>
      <c r="T18" s="177">
        <v>0</v>
      </c>
      <c r="U18" s="214"/>
      <c r="V18" s="205"/>
      <c r="Y18" s="216"/>
    </row>
    <row r="19" spans="1:25" s="179" customFormat="1" ht="22" customHeight="1">
      <c r="A19" s="173" t="s">
        <v>93</v>
      </c>
      <c r="B19" s="178" t="s">
        <v>2965</v>
      </c>
      <c r="C19" s="128" t="s">
        <v>2996</v>
      </c>
      <c r="D19" s="128" t="s">
        <v>2996</v>
      </c>
      <c r="E19" s="128" t="s">
        <v>129</v>
      </c>
      <c r="F19" s="174"/>
      <c r="G19" s="128"/>
      <c r="H19" s="202" t="s">
        <v>3024</v>
      </c>
      <c r="I19" s="128" t="s">
        <v>2997</v>
      </c>
      <c r="J19" s="217">
        <f>168*1.06</f>
        <v>178.08</v>
      </c>
      <c r="K19" s="189"/>
      <c r="L19" s="67">
        <v>12</v>
      </c>
      <c r="M19" s="67"/>
      <c r="N19" s="67">
        <v>6</v>
      </c>
      <c r="O19" s="67"/>
      <c r="P19" s="175">
        <f t="shared" si="8"/>
        <v>12821.76</v>
      </c>
      <c r="Q19" s="175">
        <f t="shared" ref="Q19" si="21">IFERROR(O19*M19*K19,0)</f>
        <v>0</v>
      </c>
      <c r="R19" s="176">
        <f t="shared" ref="R19" si="22">Q19-P19</f>
        <v>-12821.76</v>
      </c>
      <c r="S19" s="177">
        <v>0.06</v>
      </c>
      <c r="T19" s="177">
        <v>0</v>
      </c>
      <c r="U19" s="178"/>
      <c r="V19" s="178"/>
    </row>
    <row r="20" spans="1:25" s="212" customFormat="1" ht="22" customHeight="1">
      <c r="A20" s="205" t="s">
        <v>93</v>
      </c>
      <c r="B20" s="205" t="s">
        <v>2964</v>
      </c>
      <c r="C20" s="201" t="s">
        <v>3000</v>
      </c>
      <c r="D20" s="201" t="s">
        <v>3025</v>
      </c>
      <c r="E20" s="201" t="s">
        <v>132</v>
      </c>
      <c r="F20" s="206" t="s">
        <v>2918</v>
      </c>
      <c r="G20" s="201" t="str">
        <f>_xlfn.IFNA(IF(VLOOKUP($F20,'3.框架内物料'!$A:$E,2,0)=0,"请勿填写",VLOOKUP($F20,'3.框架内物料'!$A:$E,2,0)),"")</f>
        <v>M939882605761044482</v>
      </c>
      <c r="H20" s="207" t="str">
        <f>_xlfn.IFNA(VLOOKUP($F20,'3.框架内物料'!$A:$E,4,0),"")</f>
        <v>接待用车-车辆-车辆物流-运营车辆-接送机-GL8，60公里内，高速费另计</v>
      </c>
      <c r="I20" s="201" t="str">
        <f>_xlfn.IFNA(VLOOKUP($F20,'3.框架内物料'!$A:$E,5,0),"")</f>
        <v>辆/趟</v>
      </c>
      <c r="J20" s="208">
        <f>_xlfn.IFNA(VLOOKUP($F20,'3.框架内物料'!$A:$F,6,0),"")</f>
        <v>530</v>
      </c>
      <c r="K20" s="208">
        <f>_xlfn.IFNA(VLOOKUP($F20,'3.框架内物料'!$A:$F,6,0),"")</f>
        <v>530</v>
      </c>
      <c r="L20" s="209">
        <v>12</v>
      </c>
      <c r="M20" s="209"/>
      <c r="N20" s="209">
        <v>2</v>
      </c>
      <c r="O20" s="209"/>
      <c r="P20" s="210">
        <f>IFERROR(N20*L20*J20,0)</f>
        <v>12720</v>
      </c>
      <c r="Q20" s="210">
        <f>IFERROR(O20*M20*K20,0)</f>
        <v>0</v>
      </c>
      <c r="R20" s="211">
        <f>Q20-P20</f>
        <v>-12720</v>
      </c>
      <c r="S20" s="177">
        <v>0.06</v>
      </c>
      <c r="T20" s="177">
        <v>0</v>
      </c>
      <c r="U20" s="205"/>
      <c r="V20" s="205"/>
    </row>
    <row r="21" spans="1:25" s="230" customFormat="1" ht="34" customHeight="1">
      <c r="A21" s="222" t="s">
        <v>93</v>
      </c>
      <c r="B21" s="222" t="s">
        <v>2964</v>
      </c>
      <c r="C21" s="223" t="s">
        <v>3036</v>
      </c>
      <c r="D21" s="223" t="s">
        <v>3037</v>
      </c>
      <c r="E21" s="223" t="s">
        <v>132</v>
      </c>
      <c r="F21" s="224" t="s">
        <v>2931</v>
      </c>
      <c r="G21" s="223" t="str">
        <f>_xlfn.IFNA(IF(VLOOKUP($F21,'3.框架内物料'!$A:$E,2,0)=0,"请勿填写",VLOOKUP($F21,'3.框架内物料'!$A:$E,2,0)),"")</f>
        <v>M939882641622343681</v>
      </c>
      <c r="H21" s="225" t="str">
        <f>_xlfn.IFNA(VLOOKUP($F21,'3.框架内物料'!$A:$E,4,0),"")</f>
        <v>接待用车-车辆-车辆物流-运营车辆-50人座大巴车，1天8小时 or 100km计算，超出公里数及时间另计费</v>
      </c>
      <c r="I21" s="223" t="str">
        <f>_xlfn.IFNA(VLOOKUP($F21,'3.框架内物料'!$A:$E,5,0),"")</f>
        <v>辆/天</v>
      </c>
      <c r="J21" s="226">
        <f>_xlfn.IFNA(VLOOKUP($F21,'3.框架内物料'!$A:$F,6,0),"")</f>
        <v>1866.67</v>
      </c>
      <c r="K21" s="226">
        <f>_xlfn.IFNA(VLOOKUP($F21,'3.框架内物料'!$A:$F,6,0),"")</f>
        <v>1866.67</v>
      </c>
      <c r="L21" s="227">
        <v>10</v>
      </c>
      <c r="M21" s="227"/>
      <c r="N21" s="227">
        <v>3</v>
      </c>
      <c r="O21" s="227"/>
      <c r="P21" s="228">
        <f>IFERROR(N21*L21*J21,0)</f>
        <v>56000.100000000006</v>
      </c>
      <c r="Q21" s="228">
        <f>IFERROR(O21*M21*K21,0)</f>
        <v>0</v>
      </c>
      <c r="R21" s="229">
        <f>Q21-P21</f>
        <v>-56000.100000000006</v>
      </c>
      <c r="S21" s="139">
        <v>0.06</v>
      </c>
      <c r="T21" s="139">
        <v>0</v>
      </c>
      <c r="U21" s="222"/>
      <c r="V21" s="222"/>
    </row>
    <row r="22" spans="1:25" s="212" customFormat="1" ht="22" customHeight="1">
      <c r="A22" s="205" t="s">
        <v>93</v>
      </c>
      <c r="B22" s="205" t="s">
        <v>2983</v>
      </c>
      <c r="C22" s="201" t="s">
        <v>2984</v>
      </c>
      <c r="D22" s="201" t="s">
        <v>2993</v>
      </c>
      <c r="E22" s="201" t="s">
        <v>129</v>
      </c>
      <c r="F22" s="206"/>
      <c r="G22" s="201"/>
      <c r="H22" s="202" t="s">
        <v>2994</v>
      </c>
      <c r="I22" s="201" t="s">
        <v>2985</v>
      </c>
      <c r="J22" s="218">
        <f>133*1.06</f>
        <v>140.98000000000002</v>
      </c>
      <c r="K22" s="208"/>
      <c r="L22" s="209">
        <v>3</v>
      </c>
      <c r="M22" s="209"/>
      <c r="N22" s="209">
        <v>2</v>
      </c>
      <c r="O22" s="209"/>
      <c r="P22" s="175">
        <f t="shared" si="8"/>
        <v>845.88000000000011</v>
      </c>
      <c r="Q22" s="210">
        <f t="shared" ref="Q22" si="23">IFERROR(O22*M22*K22,0)</f>
        <v>0</v>
      </c>
      <c r="R22" s="211">
        <f t="shared" ref="R22" si="24">Q22-P22</f>
        <v>-845.88000000000011</v>
      </c>
      <c r="S22" s="177">
        <v>0.06</v>
      </c>
      <c r="T22" s="177">
        <v>0</v>
      </c>
      <c r="U22" s="205"/>
      <c r="V22" s="205"/>
    </row>
    <row r="23" spans="1:25" s="212" customFormat="1" ht="22" customHeight="1">
      <c r="A23" s="205" t="s">
        <v>93</v>
      </c>
      <c r="B23" s="205" t="s">
        <v>2966</v>
      </c>
      <c r="C23" s="201" t="s">
        <v>2968</v>
      </c>
      <c r="D23" s="201" t="s">
        <v>3033</v>
      </c>
      <c r="E23" s="201" t="s">
        <v>129</v>
      </c>
      <c r="F23" s="206"/>
      <c r="G23" s="201"/>
      <c r="H23" s="207" t="s">
        <v>2986</v>
      </c>
      <c r="I23" s="201" t="s">
        <v>2971</v>
      </c>
      <c r="J23" s="208" t="s">
        <v>2980</v>
      </c>
      <c r="K23" s="208"/>
      <c r="L23" s="209">
        <v>1</v>
      </c>
      <c r="M23" s="209"/>
      <c r="N23" s="209">
        <v>4</v>
      </c>
      <c r="O23" s="209"/>
      <c r="P23" s="175">
        <f t="shared" si="8"/>
        <v>1400</v>
      </c>
      <c r="Q23" s="210">
        <f t="shared" ref="Q23:Q26" si="25">IFERROR(O23*M23*K23,0)</f>
        <v>0</v>
      </c>
      <c r="R23" s="211">
        <f t="shared" ref="R23:R26" si="26">Q23-P23</f>
        <v>-1400</v>
      </c>
      <c r="S23" s="177">
        <v>0.06</v>
      </c>
      <c r="T23" s="177">
        <v>0</v>
      </c>
      <c r="U23" s="205"/>
      <c r="V23" s="205"/>
    </row>
    <row r="24" spans="1:25" s="212" customFormat="1" ht="22" customHeight="1">
      <c r="A24" s="205" t="s">
        <v>93</v>
      </c>
      <c r="B24" s="205" t="s">
        <v>2967</v>
      </c>
      <c r="C24" s="201" t="s">
        <v>2969</v>
      </c>
      <c r="D24" s="201" t="s">
        <v>3034</v>
      </c>
      <c r="E24" s="201" t="s">
        <v>129</v>
      </c>
      <c r="F24" s="206"/>
      <c r="G24" s="201"/>
      <c r="H24" s="207" t="s">
        <v>2986</v>
      </c>
      <c r="I24" s="201" t="s">
        <v>2972</v>
      </c>
      <c r="J24" s="208" t="s">
        <v>2977</v>
      </c>
      <c r="K24" s="208"/>
      <c r="L24" s="209">
        <v>13</v>
      </c>
      <c r="M24" s="209"/>
      <c r="N24" s="209">
        <v>1</v>
      </c>
      <c r="O24" s="209"/>
      <c r="P24" s="175">
        <f t="shared" si="8"/>
        <v>1300</v>
      </c>
      <c r="Q24" s="210">
        <f t="shared" si="25"/>
        <v>0</v>
      </c>
      <c r="R24" s="211">
        <f t="shared" si="26"/>
        <v>-1300</v>
      </c>
      <c r="S24" s="177">
        <v>0.06</v>
      </c>
      <c r="T24" s="177">
        <v>0</v>
      </c>
      <c r="U24" s="205"/>
      <c r="V24" s="205"/>
    </row>
    <row r="25" spans="1:25" s="212" customFormat="1" ht="22" customHeight="1">
      <c r="A25" s="205" t="s">
        <v>93</v>
      </c>
      <c r="B25" s="205" t="s">
        <v>2967</v>
      </c>
      <c r="C25" s="201" t="s">
        <v>2970</v>
      </c>
      <c r="D25" s="201" t="s">
        <v>3035</v>
      </c>
      <c r="E25" s="201" t="s">
        <v>129</v>
      </c>
      <c r="F25" s="206"/>
      <c r="G25" s="201"/>
      <c r="H25" s="207" t="s">
        <v>2986</v>
      </c>
      <c r="I25" s="201" t="s">
        <v>2972</v>
      </c>
      <c r="J25" s="208" t="s">
        <v>2977</v>
      </c>
      <c r="K25" s="208"/>
      <c r="L25" s="209">
        <v>13</v>
      </c>
      <c r="M25" s="209"/>
      <c r="N25" s="209">
        <v>1</v>
      </c>
      <c r="O25" s="209"/>
      <c r="P25" s="175">
        <f t="shared" si="8"/>
        <v>1300</v>
      </c>
      <c r="Q25" s="210">
        <f t="shared" ref="Q25" si="27">IFERROR(O25*M25*K25,0)</f>
        <v>0</v>
      </c>
      <c r="R25" s="211">
        <f t="shared" ref="R25" si="28">Q25-P25</f>
        <v>-1300</v>
      </c>
      <c r="S25" s="177">
        <v>0.06</v>
      </c>
      <c r="T25" s="177">
        <v>0</v>
      </c>
      <c r="U25" s="205"/>
      <c r="V25" s="205"/>
    </row>
    <row r="26" spans="1:25" s="212" customFormat="1" ht="22" customHeight="1">
      <c r="A26" s="205" t="s">
        <v>93</v>
      </c>
      <c r="B26" s="205" t="s">
        <v>2987</v>
      </c>
      <c r="C26" s="205" t="s">
        <v>2987</v>
      </c>
      <c r="D26" s="201" t="s">
        <v>2988</v>
      </c>
      <c r="E26" s="201" t="s">
        <v>129</v>
      </c>
      <c r="F26" s="206"/>
      <c r="G26" s="201"/>
      <c r="H26" s="207" t="s">
        <v>2989</v>
      </c>
      <c r="I26" s="201" t="s">
        <v>2972</v>
      </c>
      <c r="J26" s="208" t="s">
        <v>2990</v>
      </c>
      <c r="K26" s="208"/>
      <c r="L26" s="209">
        <v>204</v>
      </c>
      <c r="M26" s="209"/>
      <c r="N26" s="209">
        <v>30</v>
      </c>
      <c r="O26" s="209"/>
      <c r="P26" s="175">
        <f t="shared" si="8"/>
        <v>648.72</v>
      </c>
      <c r="Q26" s="210">
        <f t="shared" si="25"/>
        <v>0</v>
      </c>
      <c r="R26" s="211">
        <f t="shared" si="26"/>
        <v>-648.72</v>
      </c>
      <c r="S26" s="177">
        <v>0.06</v>
      </c>
      <c r="T26" s="177">
        <v>0</v>
      </c>
      <c r="U26" s="205"/>
      <c r="V26" s="205"/>
    </row>
    <row r="27" spans="1:25" s="75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190"/>
      <c r="K27" s="190"/>
      <c r="L27" s="58"/>
      <c r="M27" s="58"/>
      <c r="N27" s="58"/>
      <c r="O27" s="58"/>
      <c r="P27" s="258" t="s">
        <v>95</v>
      </c>
      <c r="Q27" s="259"/>
      <c r="R27" s="260"/>
      <c r="S27" s="165"/>
      <c r="T27" s="165"/>
      <c r="U27" s="60"/>
      <c r="V27" s="60"/>
    </row>
    <row r="28" spans="1:25" s="75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191"/>
      <c r="K28" s="191"/>
      <c r="L28" s="55"/>
      <c r="M28" s="55"/>
      <c r="N28" s="55"/>
      <c r="O28" s="55"/>
      <c r="P28" s="158">
        <f>SUM(P12:P26)</f>
        <v>883316.46</v>
      </c>
      <c r="Q28" s="158">
        <f>SUM(Q12:Q26)</f>
        <v>0</v>
      </c>
      <c r="R28" s="158">
        <f>Q28-P28</f>
        <v>-883316.46</v>
      </c>
      <c r="S28" s="166"/>
      <c r="T28" s="171"/>
      <c r="U28" s="55"/>
      <c r="V28" s="56"/>
    </row>
    <row r="29" spans="1:25" s="181" customFormat="1" ht="22" customHeight="1">
      <c r="A29" s="182" t="s">
        <v>2940</v>
      </c>
      <c r="B29" s="178" t="s">
        <v>2978</v>
      </c>
      <c r="C29" s="178" t="s">
        <v>2978</v>
      </c>
      <c r="D29" s="178" t="s">
        <v>2978</v>
      </c>
      <c r="E29" s="128" t="s">
        <v>132</v>
      </c>
      <c r="F29" s="174" t="s">
        <v>2943</v>
      </c>
      <c r="G29" s="128" t="str">
        <f>_xlfn.IFNA(IF(VLOOKUP($F29,'[2]3.框架内物料'!$A:$E,2,0)=0,"请勿填写",VLOOKUP($F29,'[2]3.框架内物料'!$A:$E,2,0)),"")</f>
        <v>M939882581652185090</v>
      </c>
      <c r="H29" s="202" t="str">
        <f>_xlfn.IFNA(VLOOKUP($F29,'[2]3.框架内物料'!$A:$E,4,0),"")</f>
        <v>服务费税费-项目服务费-项目服务费-制作搭建、AVL设备、第三方人员服务费-服务费比例</v>
      </c>
      <c r="I29" s="128" t="str">
        <f>_xlfn.IFNA(VLOOKUP($F29,'[2]3.框架内物料'!$A:$E,5,0),"")</f>
        <v>项</v>
      </c>
      <c r="J29" s="189">
        <f>_xlfn.IFNA(VLOOKUP($F29,'[2]3.框架内物料'!$A:$F,6,0),"")</f>
        <v>0.1</v>
      </c>
      <c r="K29" s="189">
        <f>_xlfn.IFNA(VLOOKUP($F29,'[2]3.框架内物料'!$A:$F,6,0),"")</f>
        <v>0.1</v>
      </c>
      <c r="L29" s="67">
        <f>P7+P11</f>
        <v>7349.8074999999999</v>
      </c>
      <c r="M29" s="67"/>
      <c r="N29" s="67">
        <v>1</v>
      </c>
      <c r="O29" s="67"/>
      <c r="P29" s="175">
        <f>IFERROR(N29*L29*J29,0)</f>
        <v>734.98075000000006</v>
      </c>
      <c r="Q29" s="175">
        <f t="shared" ref="Q29:Q32" si="29">IFERROR(O29*M29*K29,0)</f>
        <v>0</v>
      </c>
      <c r="R29" s="183">
        <f t="shared" ref="R29" si="30">Q29-P29</f>
        <v>-734.98075000000006</v>
      </c>
      <c r="S29" s="177">
        <v>0.06</v>
      </c>
      <c r="T29" s="177">
        <v>0</v>
      </c>
      <c r="U29" s="180"/>
      <c r="V29" s="178"/>
    </row>
    <row r="30" spans="1:25" s="181" customFormat="1" ht="22" customHeight="1">
      <c r="A30" s="182" t="s">
        <v>2940</v>
      </c>
      <c r="B30" s="178" t="s">
        <v>2978</v>
      </c>
      <c r="C30" s="178" t="s">
        <v>2978</v>
      </c>
      <c r="D30" s="178" t="s">
        <v>2978</v>
      </c>
      <c r="E30" s="128" t="s">
        <v>132</v>
      </c>
      <c r="F30" s="174" t="s">
        <v>2942</v>
      </c>
      <c r="G30" s="128" t="str">
        <f>_xlfn.IFNA(IF(VLOOKUP($F30,'[2]3.框架内物料'!$A:$E,2,0)=0,"请勿填写",VLOOKUP($F30,'[2]3.框架内物料'!$A:$E,2,0)),"")</f>
        <v>M939882610784714754</v>
      </c>
      <c r="H30" s="202" t="str">
        <f>_xlfn.IFNA(VLOOKUP($F30,'[2]3.框架内物料'!$A:$E,4,0),"")</f>
        <v>服务费税费-项目服务费-项目服务费-机票、用车、用餐等第三方资源-服务费比例</v>
      </c>
      <c r="I30" s="128" t="str">
        <f>_xlfn.IFNA(VLOOKUP($F30,'[2]3.框架内物料'!$A:$E,5,0),"")</f>
        <v>项</v>
      </c>
      <c r="J30" s="189">
        <f>_xlfn.IFNA(VLOOKUP($F30,'[2]3.框架内物料'!$A:$F,6,0),"")</f>
        <v>0.06</v>
      </c>
      <c r="K30" s="189">
        <f>_xlfn.IFNA(VLOOKUP($F30,'[2]3.框架内物料'!$A:$F,6,0),"")</f>
        <v>0.06</v>
      </c>
      <c r="L30" s="67">
        <f>P28-P15-P16-P17-P18-P23</f>
        <v>544836.46</v>
      </c>
      <c r="M30" s="67"/>
      <c r="N30" s="67">
        <v>1</v>
      </c>
      <c r="O30" s="67"/>
      <c r="P30" s="175">
        <f>IFERROR(N30*L30*J30,0)</f>
        <v>32690.187599999997</v>
      </c>
      <c r="Q30" s="175">
        <f t="shared" si="29"/>
        <v>0</v>
      </c>
      <c r="R30" s="183">
        <f t="shared" ref="R30" si="31">Q30-P30</f>
        <v>-32690.187599999997</v>
      </c>
      <c r="S30" s="177">
        <v>0.06</v>
      </c>
      <c r="T30" s="177">
        <v>0</v>
      </c>
      <c r="U30" s="180" t="s">
        <v>2975</v>
      </c>
      <c r="V30" s="178"/>
    </row>
    <row r="31" spans="1:25" s="181" customFormat="1" ht="22" customHeight="1">
      <c r="A31" s="182" t="s">
        <v>2940</v>
      </c>
      <c r="B31" s="178" t="s">
        <v>2978</v>
      </c>
      <c r="C31" s="178" t="s">
        <v>2978</v>
      </c>
      <c r="D31" s="178" t="s">
        <v>2978</v>
      </c>
      <c r="E31" s="128" t="s">
        <v>132</v>
      </c>
      <c r="F31" s="174" t="s">
        <v>2941</v>
      </c>
      <c r="G31" s="128" t="str">
        <f>_xlfn.IFNA(IF(VLOOKUP($F31,'[2]3.框架内物料'!$A:$E,2,0)=0,"请勿填写",VLOOKUP($F31,'[2]3.框架内物料'!$A:$E,2,0)),"")</f>
        <v>M939882699754164225</v>
      </c>
      <c r="H31" s="202" t="str">
        <f>_xlfn.IFNA(VLOOKUP($F31,'[2]3.框架内物料'!$A:$E,4,0),"")</f>
        <v>服务费税费-项目服务费-项目服务费-场地采买、酒店用房服务费-服务费比例</v>
      </c>
      <c r="I31" s="128" t="str">
        <f>_xlfn.IFNA(VLOOKUP($F31,'[2]3.框架内物料'!$A:$E,5,0),"")</f>
        <v>项</v>
      </c>
      <c r="J31" s="189">
        <f>_xlfn.IFNA(VLOOKUP($F31,'[2]3.框架内物料'!$A:$F,6,0),"")</f>
        <v>0.06</v>
      </c>
      <c r="K31" s="189">
        <f>_xlfn.IFNA(VLOOKUP($F31,'[2]3.框架内物料'!$A:$F,6,0),"")</f>
        <v>0.06</v>
      </c>
      <c r="L31" s="67">
        <f>P15+P16+P17+P18+P23</f>
        <v>338480</v>
      </c>
      <c r="M31" s="67"/>
      <c r="N31" s="67">
        <v>1</v>
      </c>
      <c r="O31" s="67"/>
      <c r="P31" s="175">
        <f>IFERROR(N31*L31*J31,0)</f>
        <v>20308.8</v>
      </c>
      <c r="Q31" s="175">
        <f t="shared" si="29"/>
        <v>0</v>
      </c>
      <c r="R31" s="183">
        <f t="shared" ref="R31" si="32">Q31-P31</f>
        <v>-20308.8</v>
      </c>
      <c r="S31" s="177">
        <v>0.06</v>
      </c>
      <c r="T31" s="177">
        <v>0</v>
      </c>
      <c r="U31" s="180" t="s">
        <v>2974</v>
      </c>
      <c r="V31" s="178"/>
    </row>
    <row r="32" spans="1:25" s="181" customFormat="1" ht="22" customHeight="1">
      <c r="A32" s="182" t="s">
        <v>2947</v>
      </c>
      <c r="B32" s="178" t="s">
        <v>2979</v>
      </c>
      <c r="C32" s="178" t="s">
        <v>2979</v>
      </c>
      <c r="D32" s="178" t="s">
        <v>2979</v>
      </c>
      <c r="E32" s="128" t="s">
        <v>132</v>
      </c>
      <c r="F32" s="174" t="s">
        <v>2946</v>
      </c>
      <c r="G32" s="128" t="str">
        <f>_xlfn.IFNA(IF(VLOOKUP($F32,'[2]3.框架内物料'!$A:$E,2,0)=0,"请勿填写",VLOOKUP($F32,'[2]3.框架内物料'!$A:$E,2,0)),"")</f>
        <v>M939882723582132226</v>
      </c>
      <c r="H32" s="202" t="str">
        <f>_xlfn.IFNA(VLOOKUP($F32,'[2]3.框架内物料'!$A:$E,4,0),"")</f>
        <v>服务费税费-项目税费-项目税费-机票、用车、用餐等第三方资源-增值税比例</v>
      </c>
      <c r="I32" s="128" t="str">
        <f>_xlfn.IFNA(VLOOKUP($F32,'[2]3.框架内物料'!$A:$E,5,0),"")</f>
        <v>项</v>
      </c>
      <c r="J32" s="189">
        <f>_xlfn.IFNA(VLOOKUP($F32,'[2]3.框架内物料'!$A:$F,6,0),"")</f>
        <v>0.06</v>
      </c>
      <c r="K32" s="189">
        <f>_xlfn.IFNA(VLOOKUP($F32,'[2]3.框架内物料'!$A:$F,6,0),"")</f>
        <v>0.06</v>
      </c>
      <c r="L32" s="67">
        <f>P31</f>
        <v>20308.8</v>
      </c>
      <c r="M32" s="67"/>
      <c r="N32" s="67">
        <v>1</v>
      </c>
      <c r="O32" s="67"/>
      <c r="P32" s="175">
        <f>IFERROR(N32*L32*J32,0)</f>
        <v>1218.528</v>
      </c>
      <c r="Q32" s="175">
        <f t="shared" si="29"/>
        <v>0</v>
      </c>
      <c r="R32" s="183">
        <f t="shared" ref="R32" si="33">Q32-P32</f>
        <v>-1218.528</v>
      </c>
      <c r="S32" s="177">
        <v>0.06</v>
      </c>
      <c r="T32" s="177">
        <v>0</v>
      </c>
      <c r="U32" s="180" t="s">
        <v>2973</v>
      </c>
      <c r="V32" s="178"/>
    </row>
    <row r="33" spans="1:22" s="75" customFormat="1" ht="18">
      <c r="A33" s="57"/>
      <c r="B33" s="61"/>
      <c r="C33" s="61"/>
      <c r="D33" s="61"/>
      <c r="E33" s="61"/>
      <c r="F33" s="58"/>
      <c r="G33" s="58"/>
      <c r="H33" s="58"/>
      <c r="I33" s="58"/>
      <c r="J33" s="190"/>
      <c r="K33" s="190"/>
      <c r="L33" s="58"/>
      <c r="M33" s="58"/>
      <c r="N33" s="58"/>
      <c r="O33" s="58"/>
      <c r="P33" s="258" t="s">
        <v>121</v>
      </c>
      <c r="Q33" s="259"/>
      <c r="R33" s="260"/>
      <c r="S33" s="165"/>
      <c r="T33" s="165"/>
      <c r="U33" s="60"/>
      <c r="V33" s="60" t="s">
        <v>170</v>
      </c>
    </row>
    <row r="34" spans="1:22" s="75" customFormat="1" ht="18">
      <c r="A34" s="54"/>
      <c r="B34" s="62"/>
      <c r="C34" s="62"/>
      <c r="D34" s="62"/>
      <c r="E34" s="62"/>
      <c r="F34" s="55"/>
      <c r="G34" s="55"/>
      <c r="H34" s="55"/>
      <c r="I34" s="55"/>
      <c r="J34" s="191"/>
      <c r="K34" s="191"/>
      <c r="L34" s="55"/>
      <c r="M34" s="55"/>
      <c r="N34" s="55"/>
      <c r="O34" s="55"/>
      <c r="P34" s="158">
        <f>SUM(P29:P32)</f>
        <v>54952.496349999994</v>
      </c>
      <c r="Q34" s="158">
        <f>SUM(Q29:Q32)</f>
        <v>0</v>
      </c>
      <c r="R34" s="158">
        <f>Q34-P34</f>
        <v>-54952.496349999994</v>
      </c>
      <c r="S34" s="166"/>
      <c r="T34" s="171"/>
      <c r="U34" s="55"/>
      <c r="V34" s="56"/>
    </row>
    <row r="35" spans="1:22" s="75" customFormat="1" ht="18">
      <c r="A35" s="59"/>
      <c r="B35" s="85"/>
      <c r="C35" s="85"/>
      <c r="D35" s="85"/>
      <c r="E35" s="85"/>
      <c r="F35" s="86"/>
      <c r="G35" s="85"/>
      <c r="H35" s="203"/>
      <c r="I35" s="85"/>
      <c r="J35" s="192"/>
      <c r="K35" s="193"/>
      <c r="L35" s="89"/>
      <c r="M35" s="89"/>
      <c r="N35" s="89"/>
      <c r="O35" s="89"/>
      <c r="P35" s="256" t="s">
        <v>169</v>
      </c>
      <c r="Q35" s="256"/>
      <c r="R35" s="257"/>
      <c r="S35" s="167"/>
      <c r="T35" s="167"/>
      <c r="U35" s="141"/>
      <c r="V35" s="141"/>
    </row>
    <row r="36" spans="1:22" ht="18">
      <c r="A36" s="90"/>
      <c r="B36" s="92"/>
      <c r="C36" s="92"/>
      <c r="D36" s="92"/>
      <c r="E36" s="92"/>
      <c r="F36" s="91"/>
      <c r="G36" s="91"/>
      <c r="H36" s="91"/>
      <c r="I36" s="91"/>
      <c r="J36" s="194"/>
      <c r="K36" s="194"/>
      <c r="L36" s="91"/>
      <c r="M36" s="91"/>
      <c r="N36" s="91"/>
      <c r="O36" s="91"/>
      <c r="P36" s="159">
        <f>SUM(P34,P28,P11,P7)</f>
        <v>945618.76384999999</v>
      </c>
      <c r="Q36" s="159">
        <f>SUM(Q34,Q28,Q11,Q7)</f>
        <v>0</v>
      </c>
      <c r="R36" s="159">
        <f>Q36-P36</f>
        <v>-945618.76384999999</v>
      </c>
      <c r="S36" s="168"/>
      <c r="T36" s="172"/>
      <c r="U36" s="94"/>
      <c r="V36" s="95"/>
    </row>
    <row r="37" spans="1:22" s="181" customFormat="1" ht="74.5" customHeight="1">
      <c r="A37" s="173" t="s">
        <v>126</v>
      </c>
      <c r="B37" s="184"/>
      <c r="C37" s="184"/>
      <c r="D37" s="184"/>
      <c r="E37" s="173" t="s">
        <v>126</v>
      </c>
      <c r="F37" s="184"/>
      <c r="G37" s="184"/>
      <c r="H37" s="185" t="s">
        <v>127</v>
      </c>
      <c r="I37" s="128" t="s">
        <v>15</v>
      </c>
      <c r="J37" s="199" t="s">
        <v>2976</v>
      </c>
      <c r="K37" s="199" t="s">
        <v>2976</v>
      </c>
      <c r="L37" s="186">
        <v>1</v>
      </c>
      <c r="M37" s="186">
        <v>1</v>
      </c>
      <c r="N37" s="186">
        <v>1</v>
      </c>
      <c r="O37" s="186">
        <v>1</v>
      </c>
      <c r="P37" s="175">
        <f>J37*L37*N37</f>
        <v>0</v>
      </c>
      <c r="Q37" s="176">
        <f>K37*M37*O37</f>
        <v>0</v>
      </c>
      <c r="R37" s="176">
        <f>Q37-P37</f>
        <v>0</v>
      </c>
      <c r="S37" s="177">
        <v>0.06</v>
      </c>
      <c r="T37" s="177">
        <v>0</v>
      </c>
      <c r="U37" s="180"/>
      <c r="V37" s="180"/>
    </row>
    <row r="38" spans="1:22" s="75" customFormat="1" ht="18">
      <c r="A38" s="59"/>
      <c r="B38" s="85"/>
      <c r="C38" s="85"/>
      <c r="D38" s="85"/>
      <c r="E38" s="85"/>
      <c r="F38" s="86"/>
      <c r="G38" s="85"/>
      <c r="H38" s="203"/>
      <c r="I38" s="85"/>
      <c r="J38" s="192"/>
      <c r="K38" s="193"/>
      <c r="L38" s="89"/>
      <c r="M38" s="89"/>
      <c r="N38" s="89"/>
      <c r="O38" s="89"/>
      <c r="P38" s="256" t="s">
        <v>133</v>
      </c>
      <c r="Q38" s="256"/>
      <c r="R38" s="257"/>
      <c r="S38" s="167"/>
      <c r="T38" s="167"/>
      <c r="U38" s="141"/>
      <c r="V38" s="141"/>
    </row>
    <row r="39" spans="1:22" ht="18">
      <c r="A39" s="90"/>
      <c r="B39" s="92"/>
      <c r="C39" s="92"/>
      <c r="D39" s="92"/>
      <c r="E39" s="92"/>
      <c r="F39" s="91"/>
      <c r="G39" s="91"/>
      <c r="H39" s="91"/>
      <c r="I39" s="91"/>
      <c r="J39" s="194"/>
      <c r="K39" s="194"/>
      <c r="L39" s="91"/>
      <c r="M39" s="91"/>
      <c r="N39" s="91"/>
      <c r="O39" s="91"/>
      <c r="P39" s="159">
        <f>SUM(P36,P37)</f>
        <v>945618.76384999999</v>
      </c>
      <c r="Q39" s="159">
        <f>SUM(Q36,Q37)</f>
        <v>0</v>
      </c>
      <c r="R39" s="159">
        <f>Q39-P39</f>
        <v>-945618.76384999999</v>
      </c>
      <c r="S39" s="168"/>
      <c r="T39" s="172"/>
      <c r="U39" s="94"/>
      <c r="V39" s="95"/>
    </row>
    <row r="40" spans="1:22" ht="54" customHeight="1">
      <c r="A40" s="99"/>
      <c r="C40" s="100"/>
      <c r="D40" s="100"/>
      <c r="E40" s="100"/>
      <c r="F40" s="99"/>
      <c r="G40" s="99"/>
      <c r="H40" s="99"/>
      <c r="I40" s="99"/>
      <c r="J40" s="195"/>
      <c r="K40" s="233"/>
      <c r="L40" s="233"/>
      <c r="M40" s="233"/>
      <c r="N40" s="233"/>
      <c r="P40" s="160">
        <f>SUMIF(E1:E36,"框架内",P1:P36)/(P39-P37)</f>
        <v>0.13832416281319546</v>
      </c>
      <c r="Q40" s="160" t="e">
        <f>SUMIF(E1:E36,"框架内",Q1:Q36)/(Q39-Q37)</f>
        <v>#DIV/0!</v>
      </c>
      <c r="R40" s="161" t="s">
        <v>100</v>
      </c>
      <c r="S40" s="169"/>
      <c r="T40" s="169"/>
    </row>
    <row r="41" spans="1:22" ht="54" customHeight="1">
      <c r="A41" s="99"/>
      <c r="C41" s="100"/>
      <c r="D41" s="100"/>
      <c r="E41" s="100"/>
      <c r="F41" s="99"/>
      <c r="G41" s="99"/>
      <c r="H41" s="99"/>
      <c r="I41" s="99"/>
      <c r="J41" s="195"/>
      <c r="K41" s="233"/>
      <c r="L41" s="233"/>
      <c r="M41" s="233"/>
      <c r="N41" s="233"/>
      <c r="P41" s="160">
        <f ca="1">SUMIF(E1:E37,"框架外",P1:P36)/(P39-P37)</f>
        <v>0</v>
      </c>
      <c r="Q41" s="160" t="e">
        <f ca="1">SUMIF(E1:E37,"框架外",Q1:Q36)/(Q39-Q37)</f>
        <v>#DIV/0!</v>
      </c>
      <c r="R41" s="161" t="s">
        <v>99</v>
      </c>
      <c r="S41" s="169"/>
      <c r="T41" s="169"/>
    </row>
    <row r="42" spans="1:22" ht="54" customHeight="1">
      <c r="A42" s="99"/>
      <c r="C42" s="100"/>
      <c r="D42" s="100"/>
      <c r="E42" s="100"/>
      <c r="F42" s="99"/>
      <c r="G42" s="99"/>
      <c r="H42" s="99"/>
      <c r="I42" s="99"/>
      <c r="J42" s="195"/>
      <c r="P42" s="160">
        <f ca="1">SUMIF(E1:E37,"据实结算",P1:P36)/(P39-P37)</f>
        <v>0.86167583718680452</v>
      </c>
      <c r="Q42" s="160" t="e">
        <f ca="1">SUMIF(E1:E37,"据实结算",Q1:Q36)/(Q39-Q37)</f>
        <v>#DIV/0!</v>
      </c>
      <c r="R42" s="161" t="s">
        <v>98</v>
      </c>
      <c r="S42" s="169"/>
      <c r="T42" s="169"/>
    </row>
    <row r="43" spans="1:22">
      <c r="K43" s="198"/>
      <c r="L43" s="104"/>
      <c r="M43" s="104"/>
      <c r="N43" s="104"/>
    </row>
  </sheetData>
  <sheetProtection formatCells="0" formatColumns="0" formatRows="0" insertRows="0" insertHyperlinks="0" deleteRows="0" autoFilter="0"/>
  <mergeCells count="8">
    <mergeCell ref="K40:N40"/>
    <mergeCell ref="K41:N41"/>
    <mergeCell ref="P38:R38"/>
    <mergeCell ref="P6:R6"/>
    <mergeCell ref="P10:R10"/>
    <mergeCell ref="P35:R35"/>
    <mergeCell ref="P27:R27"/>
    <mergeCell ref="P33:R33"/>
  </mergeCells>
  <phoneticPr fontId="8" type="noConversion"/>
  <conditionalFormatting sqref="A2:A28">
    <cfRule type="containsText" dxfId="4" priority="1" operator="containsText" text="填写">
      <formula>NOT(ISERROR(SEARCH("填写",A2)))</formula>
    </cfRule>
  </conditionalFormatting>
  <conditionalFormatting sqref="A29:A32">
    <cfRule type="containsText" dxfId="3" priority="5" operator="containsText" text="填写">
      <formula>NOT(ISERROR(SEARCH("填写",A29)))</formula>
    </cfRule>
  </conditionalFormatting>
  <conditionalFormatting sqref="A33:A35">
    <cfRule type="containsText" dxfId="2" priority="15" operator="containsText" text="填写">
      <formula>NOT(ISERROR(SEARCH("填写",A33)))</formula>
    </cfRule>
  </conditionalFormatting>
  <conditionalFormatting sqref="A37:A38">
    <cfRule type="containsText" dxfId="1" priority="16" operator="containsText" text="填写">
      <formula>NOT(ISERROR(SEARCH("填写",A37)))</formula>
    </cfRule>
  </conditionalFormatting>
  <conditionalFormatting sqref="E37">
    <cfRule type="containsText" dxfId="0" priority="17" operator="containsText" text="填写">
      <formula>NOT(ISERROR(SEARCH("填写",E37)))</formula>
    </cfRule>
  </conditionalFormatting>
  <dataValidations count="7">
    <dataValidation type="list" allowBlank="1" showInputMessage="1" showErrorMessage="1" sqref="H39" xr:uid="{00000000-0002-0000-0100-000000000000}">
      <formula1>"是,否"</formula1>
    </dataValidation>
    <dataValidation type="list" allowBlank="1" showInputMessage="1" showErrorMessage="1" sqref="K39" xr:uid="{C24F6F68-857E-5647-839A-4F75562B89C0}">
      <formula1>"0%,1%,3%,6%,13%"</formula1>
    </dataValidation>
    <dataValidation type="list" allowBlank="1" showInputMessage="1" showErrorMessage="1" sqref="D39" xr:uid="{9D1B43E1-175E-4C49-8176-43558324F529}">
      <formula1>"CNY, USD, JPY , HKD"</formula1>
    </dataValidation>
    <dataValidation type="list" allowBlank="1" showInputMessage="1" showErrorMessage="1" sqref="S37 S29:S32 S2:S5 S8:S9 S12:S26" xr:uid="{D7CC39CF-95DC-A64C-A7F7-4CBF33920DCC}">
      <formula1>"0%,1%,3%,6%,9%"</formula1>
    </dataValidation>
    <dataValidation type="list" allowBlank="1" showInputMessage="1" showErrorMessage="1" sqref="A37 E15:E1048576 E2:E13" xr:uid="{E31F6826-CA0D-4785-A20D-8ABED6E0F88E}">
      <formula1>"框架内,框架外,据实结算"</formula1>
    </dataValidation>
    <dataValidation type="list" allowBlank="1" showInputMessage="1" showErrorMessage="1" sqref="A38:A1048576 A2:A36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F38 F35 F29:F32 F3:F4 F8:F9 F15:F26 F12:F13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5" activePane="bottomLeft" state="frozen"/>
      <selection activeCell="C23" sqref="C23:D23"/>
      <selection pane="bottomLeft" activeCell="A531" sqref="A53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2025-08-15T13:32:45Z</dcterms:modified>
</cp:coreProperties>
</file>