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3E9914F2-6C2C-1442-A80C-DCC851803495}" xr6:coauthVersionLast="47" xr6:coauthVersionMax="47" xr10:uidLastSave="{00000000-0000-0000-0000-000000000000}"/>
  <bookViews>
    <workbookView xWindow="0" yWindow="500" windowWidth="28800" windowHeight="1612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4" l="1"/>
  <c r="P3" i="14"/>
  <c r="P6" i="14"/>
  <c r="L7" i="14"/>
  <c r="J7" i="14"/>
  <c r="P7" i="14"/>
  <c r="L8" i="14"/>
  <c r="J8" i="14"/>
  <c r="P8" i="14"/>
  <c r="L9" i="14"/>
  <c r="J9" i="14"/>
  <c r="P9" i="14"/>
  <c r="P11" i="14"/>
  <c r="P13" i="14"/>
  <c r="P2" i="14"/>
  <c r="P16" i="14"/>
  <c r="C21" i="15"/>
  <c r="K7" i="14"/>
  <c r="Q7" i="14"/>
  <c r="K8" i="14"/>
  <c r="Q8" i="14"/>
  <c r="K9" i="14"/>
  <c r="Q9" i="14"/>
  <c r="Q11" i="14"/>
  <c r="Q13" i="14"/>
  <c r="P14" i="14"/>
  <c r="K2" i="14"/>
  <c r="Q2" i="14"/>
  <c r="K3" i="14"/>
  <c r="Q3" i="14"/>
  <c r="Q4" i="14"/>
  <c r="Q6" i="14"/>
  <c r="I9" i="14"/>
  <c r="H9" i="14"/>
  <c r="G9" i="14"/>
  <c r="I8" i="14"/>
  <c r="H8" i="14"/>
  <c r="G8" i="14"/>
  <c r="C13" i="15"/>
  <c r="R4" i="14"/>
  <c r="I7" i="14"/>
  <c r="H7" i="14"/>
  <c r="G7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14" i="14"/>
  <c r="R8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14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3" i="14"/>
  <c r="G2" i="14"/>
  <c r="Q86" i="23"/>
  <c r="Q85" i="23"/>
  <c r="Q84" i="23"/>
  <c r="C16" i="15"/>
  <c r="C15" i="15"/>
  <c r="E16" i="15"/>
  <c r="E15" i="15"/>
  <c r="E14" i="15"/>
  <c r="E13" i="15"/>
  <c r="C12" i="15"/>
  <c r="E12" i="15"/>
  <c r="C11" i="15"/>
  <c r="E11" i="15"/>
  <c r="R2" i="14"/>
  <c r="R3" i="14"/>
  <c r="C14" i="15"/>
  <c r="E17" i="15"/>
  <c r="C17" i="15"/>
  <c r="R6" i="14"/>
  <c r="R7" i="14"/>
  <c r="G20" i="15"/>
  <c r="R9" i="14"/>
  <c r="E18" i="15"/>
  <c r="C10" i="15"/>
  <c r="E10" i="15"/>
  <c r="C18" i="15"/>
  <c r="G13" i="15"/>
  <c r="R11" i="14"/>
  <c r="D10" i="15"/>
  <c r="D12" i="15"/>
  <c r="Q16" i="14"/>
  <c r="R16" i="14"/>
  <c r="R13" i="14"/>
  <c r="G14" i="15"/>
  <c r="G17" i="15"/>
  <c r="G18" i="15"/>
  <c r="G15" i="15"/>
  <c r="G16" i="15"/>
  <c r="G11" i="15"/>
  <c r="G10" i="15"/>
  <c r="G12" i="15"/>
  <c r="Q17" i="14"/>
  <c r="E22" i="15"/>
  <c r="Q19" i="14"/>
  <c r="Q18" i="14"/>
  <c r="E21" i="15"/>
  <c r="F20" i="15"/>
  <c r="C22" i="15"/>
  <c r="D20" i="15"/>
  <c r="P19" i="14"/>
  <c r="P18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17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<sst xmlns="http://schemas.openxmlformats.org/spreadsheetml/2006/main" count="7989" uniqueCount="2985">
  <si>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</si>
  <si>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</si>
  <si>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</si>
  <si>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</si>
  <si>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</si>
  <si>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</si>
  <si>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</si>
  <si>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</si>
  <si>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</si>
  <si>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</si>
  <si>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</si>
  <si>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</si>
  <si>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</si>
  <si>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</si>
  <si>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</si>
  <si>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</si>
  <si>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</si>
  <si>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</si>
  <si>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</si>
  <si>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</si>
  <si>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</si>
  <si>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</si>
  <si>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</si>
  <si>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</si>
  <si>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</si>
  <si>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</si>
  <si>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</si>
  <si>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</si>
  <si>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</si>
  <si>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</si>
  <si>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</si>
  <si>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</si>
  <si>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</si>
  <si>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</si>
  <si>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</si>
  <si>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</si>
  <si>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</si>
  <si>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</si>
  <si>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</si>
  <si>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</si>
  <si>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</si>
  <si>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</si>
  <si>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</si>
  <si>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</si>
  <si>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</si>
  <si>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</si>
  <si>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</si>
  <si>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</si>
  <si>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</si>
  <si>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</si>
  <si>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</si>
  <si>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</si>
  <si>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</si>
  <si>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</si>
  <si>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</si>
  <si>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</si>
  <si>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</si>
  <si>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</si>
  <si>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</si>
  <si>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</si>
  <si>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</si>
  <si>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</si>
  <si>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</si>
  <si>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</si>
  <si>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</si>
  <si>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</si>
  <si>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</si>
  <si>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</si>
  <si>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</si>
  <si>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</si>
  <si>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</si>
  <si>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</si>
  <si>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</si>
  <si>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</si>
  <si>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</si>
  <si>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</si>
  <si>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</si>
  <si>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</si>
  <si>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</si>
  <si>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</si>
  <si>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</si>
  <si>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</si>
  <si>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</si>
  <si>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</si>
  <si>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</si>
  <si>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</si>
  <si>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</si>
  <si>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</si>
  <si>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</si>
  <si>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</si>
  <si>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</si>
  <si>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</si>
  <si>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</si>
  <si>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</si>
  <si>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</si>
  <si>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</si>
  <si>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</si>
  <si>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</si>
  <si>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</si>
  <si>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</si>
  <si>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</si>
  <si>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</si>
  <si>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</si>
  <si>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</si>
  <si>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</si>
  <si>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</si>
  <si>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</si>
  <si>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</si>
  <si>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</si>
  <si>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</si>
  <si>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</si>
  <si>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</si>
  <si>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</si>
  <si>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</si>
  <si>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</si>
  <si>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</si>
  <si>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</si>
  <si>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</si>
  <si>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</si>
  <si>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</si>
  <si>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</si>
  <si>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</si>
  <si>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</si>
  <si>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</si>
  <si>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</si>
  <si>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</si>
  <si>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</si>
  <si>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</si>
  <si>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</si>
  <si>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</si>
  <si>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</si>
  <si>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</si>
  <si>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</si>
  <si>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</si>
  <si>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</si>
  <si>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</si>
  <si>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</si>
  <si>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</si>
  <si>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</si>
  <si>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</si>
  <si>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</si>
  <si>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</si>
  <si>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</si>
  <si>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</si>
  <si>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</si>
  <si>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</si>
  <si>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</si>
  <si>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</si>
  <si>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</si>
  <si>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</si>
  <si>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</si>
  <si>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</si>
  <si>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</si>
  <si>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</si>
  <si>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</si>
  <si>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</si>
  <si>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</si>
  <si>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</si>
  <si>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</si>
  <si>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</si>
  <si>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</si>
  <si>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</si>
  <si>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</si>
  <si>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</si>
  <si>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</si>
  <si>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</si>
  <si>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</si>
  <si>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</si>
  <si>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</si>
  <si>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</si>
  <si>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</si>
  <si>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</si>
  <si>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</si>
  <si>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</si>
  <si>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</si>
  <si>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</si>
  <si>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</si>
  <si>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</si>
  <si>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</si>
  <si>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</si>
  <si>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</si>
  <si>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</si>
  <si>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</si>
  <si>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</si>
  <si>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</si>
  <si>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</si>
  <si>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</si>
  <si>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</si>
  <si>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</si>
  <si>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</si>
  <si>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</si>
  <si>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</si>
  <si>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</si>
  <si>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</si>
  <si>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</si>
  <si>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</si>
  <si>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</si>
  <si>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</si>
  <si>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</si>
  <si>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</si>
  <si>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</si>
  <si>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</si>
  <si>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</si>
  <si>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</si>
  <si>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</si>
  <si>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</si>
  <si>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</si>
  <si>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</si>
  <si>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</si>
  <si>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</si>
  <si>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</si>
  <si>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</si>
  <si>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</si>
  <si>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</si>
  <si>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</si>
  <si>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</si>
  <si>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</si>
  <si>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</si>
  <si>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</si>
  <si>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</si>
  <si>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</si>
  <si>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</si>
  <si>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</si>
  <si>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</si>
  <si>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</si>
  <si>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</si>
  <si>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</si>
  <si>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</si>
  <si>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</si>
  <si>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</si>
  <si>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</si>
  <si>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</si>
  <si>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</si>
  <si>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</si>
  <si>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</si>
  <si>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</si>
  <si>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</si>
  <si>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</si>
  <si>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</si>
  <si>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</si>
  <si>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</si>
  <si>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</si>
  <si>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</si>
  <si>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</si>
  <si>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</si>
  <si>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</si>
  <si>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</si>
  <si>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</si>
  <si>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</si>
  <si>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</si>
  <si>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</si>
  <si>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</si>
  <si>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</si>
  <si>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</si>
  <si>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</si>
  <si>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</si>
  <si>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</si>
  <si>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</si>
  <si>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</si>
  <si>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</si>
  <si>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</si>
  <si>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</si>
  <si>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</si>
  <si>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</si>
  <si>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</si>
  <si>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</si>
  <si>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</si>
  <si>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</si>
  <si>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</si>
  <si>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</si>
  <si>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</si>
  <si>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</si>
  <si>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</si>
  <si>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</si>
  <si>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</si>
  <si>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</si>
  <si>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</si>
  <si>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</si>
  <si>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</si>
  <si>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</si>
  <si>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</si>
  <si>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</si>
  <si>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</si>
  <si>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</si>
  <si>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</si>
  <si>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</si>
  <si>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</si>
  <si>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</si>
  <si>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</si>
  <si>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</si>
  <si>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</si>
  <si>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</si>
  <si>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</si>
  <si>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</si>
  <si>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</si>
  <si>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</si>
  <si>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</si>
  <si>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</si>
  <si>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</si>
  <si>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</si>
  <si>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</si>
  <si>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</si>
  <si>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</si>
  <si>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</si>
  <si>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</si>
  <si>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</si>
  <si>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</si>
  <si>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</si>
  <si>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</si>
  <si>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</si>
  <si>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</si>
  <si>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</si>
  <si>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</si>
  <si>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</si>
  <si>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</si>
  <si>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</si>
  <si>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</si>
  <si>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</si>
  <si>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</si>
  <si>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</si>
  <si>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</si>
  <si>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</si>
  <si>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</si>
  <si>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</si>
  <si>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</si>
  <si>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</si>
  <si>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</si>
  <si>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</si>
  <si>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</si>
  <si>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</si>
  <si>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</si>
  <si>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</si>
  <si>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</si>
  <si>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</si>
  <si>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</si>
  <si>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</si>
  <si>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</si>
  <si>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</si>
  <si>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</si>
  <si>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</si>
  <si>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</si>
  <si>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</si>
  <si>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</si>
  <si>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</si>
  <si>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</si>
  <si>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</si>
  <si>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</si>
  <si>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</si>
  <si>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</si>
  <si>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</si>
  <si>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</si>
  <si>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</si>
  <si>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</si>
  <si>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</si>
  <si>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</si>
  <si>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</si>
  <si>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</si>
  <si>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</si>
  <si>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</si>
  <si>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</si>
  <si>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</si>
  <si>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</si>
  <si>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</si>
  <si>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</si>
  <si>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</si>
  <si>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</si>
  <si>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</si>
  <si>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</si>
  <si>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</si>
  <si>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</si>
  <si>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</si>
  <si>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</si>
  <si>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</si>
  <si>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</si>
  <si>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</si>
  <si>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</si>
  <si>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</si>
  <si>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</si>
  <si>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</si>
  <si>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</si>
  <si>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</si>
  <si>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</si>
  <si>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</si>
  <si>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</si>
  <si>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</si>
  <si>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</si>
  <si>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</si>
  <si>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</si>
  <si>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</si>
  <si>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</si>
  <si>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</si>
  <si>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</si>
  <si>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</si>
  <si>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</si>
  <si>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</si>
  <si>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</si>
  <si>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</si>
  <si>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</si>
  <si>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</si>
  <si>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</si>
  <si>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</si>
  <si>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</si>
  <si>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</si>
  <si>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</si>
  <si>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</si>
  <si>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</si>
  <si>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</si>
  <si>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</si>
  <si>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</si>
  <si>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</si>
  <si>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</si>
  <si>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</si>
  <si>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</si>
  <si>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</si>
  <si>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</si>
  <si>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</si>
  <si>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</si>
  <si>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</si>
  <si>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</si>
  <si>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</si>
  <si>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</si>
  <si>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</si>
  <si>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</si>
  <si>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</si>
  <si>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</si>
  <si>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</si>
  <si>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</si>
  <si>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</si>
  <si>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</si>
  <si>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</si>
  <si>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</si>
  <si>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</si>
  <si>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</si>
  <si>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</si>
  <si>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</si>
  <si>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</si>
  <si>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</si>
  <si>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</si>
  <si>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</si>
  <si>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</si>
  <si>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</si>
  <si>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</si>
  <si>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</si>
  <si>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</si>
  <si>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</si>
  <si>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</si>
  <si>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</si>
  <si>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</si>
  <si>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</si>
  <si>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</si>
  <si>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</si>
  <si>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</si>
  <si>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</si>
  <si>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</si>
  <si>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</si>
  <si>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</si>
  <si>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</si>
  <si>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</si>
  <si>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</si>
  <si>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</si>
  <si>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</si>
  <si>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</si>
  <si>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</si>
  <si>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</si>
  <si>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</si>
  <si>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</si>
  <si>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</si>
  <si>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</si>
  <si>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</si>
  <si>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</si>
  <si>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</si>
  <si>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</si>
  <si>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</si>
  <si>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</si>
  <si>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</si>
  <si>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</si>
  <si>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</si>
  <si>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</si>
  <si>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</si>
  <si>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</si>
  <si>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</si>
  <si>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</si>
  <si>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</si>
  <si>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</si>
  <si>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</si>
  <si>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</si>
  <si>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</si>
  <si>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</si>
  <si>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</si>
  <si>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</si>
  <si>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</si>
  <si>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</si>
  <si>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</si>
  <si>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</si>
  <si>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</si>
  <si>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</si>
  <si>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</si>
  <si>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</si>
  <si>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</si>
  <si>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</si>
  <si>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</si>
  <si>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</si>
  <si>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</si>
  <si>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</si>
  <si>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</si>
  <si>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</si>
  <si>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</si>
  <si>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</si>
  <si>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</si>
  <si>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</si>
  <si>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</si>
  <si>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</si>
  <si>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</si>
  <si>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</si>
  <si>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</si>
  <si>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</si>
  <si>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</si>
  <si>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</si>
  <si>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</si>
  <si>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</si>
  <si>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</si>
  <si>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</si>
  <si>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</si>
  <si>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</si>
  <si>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</si>
  <si>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</si>
  <si>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</si>
  <si>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</si>
  <si>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</si>
  <si>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</si>
  <si>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</si>
  <si>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</si>
  <si>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</si>
  <si>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</si>
  <si>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</si>
  <si>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</si>
  <si>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</si>
  <si>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</si>
  <si>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</si>
  <si>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</si>
  <si>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</si>
  <si>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</si>
  <si>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</si>
  <si>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</si>
  <si>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</si>
  <si>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</si>
  <si>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</si>
  <si>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</si>
  <si>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</si>
  <si>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</si>
  <si>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</si>
  <si>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</si>
  <si>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</si>
  <si>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</si>
  <si>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</si>
  <si>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</si>
  <si>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</si>
  <si>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</si>
  <si>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</si>
  <si>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</si>
  <si>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</si>
  <si>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</si>
  <si>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</si>
  <si>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</si>
  <si>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</si>
  <si>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</si>
  <si>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</si>
  <si>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</si>
  <si>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</si>
  <si>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</si>
  <si>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</si>
  <si>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</si>
  <si>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</si>
  <si>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</si>
  <si>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</si>
  <si>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</si>
  <si>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</si>
  <si>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</si>
  <si>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</si>
  <si>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</si>
  <si>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</si>
  <si>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</si>
  <si>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</si>
  <si>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</si>
  <si>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</si>
  <si>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</si>
  <si>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</si>
  <si>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</si>
  <si>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</si>
  <si>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</si>
  <si>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</si>
  <si>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</si>
  <si>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</si>
  <si>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</si>
  <si>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</si>
  <si>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</si>
  <si>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</si>
  <si>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</si>
  <si>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</si>
  <si>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</si>
  <si>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</si>
  <si>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</si>
  <si>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</si>
  <si>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</si>
  <si>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</si>
  <si>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</si>
  <si>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</si>
  <si>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</si>
  <si>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</si>
  <si>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</si>
  <si>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</si>
  <si>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</si>
  <si>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</si>
  <si>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</si>
  <si>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</si>
  <si>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</si>
  <si>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</si>
  <si>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</si>
  <si>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</si>
  <si>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</si>
  <si>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</si>
  <si>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</si>
  <si>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</si>
  <si>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</si>
  <si>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</si>
  <si>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</si>
  <si>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</si>
  <si>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</si>
  <si>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</si>
  <si>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</si>
  <si>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</si>
  <si>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</si>
  <si>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</si>
  <si>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</si>
  <si>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</si>
  <si>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</si>
  <si>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</si>
  <si>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</si>
  <si>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</si>
  <si>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</si>
  <si>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</si>
  <si>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</si>
  <si>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</si>
  <si>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</si>
  <si>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</si>
  <si>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</si>
  <si>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</si>
  <si>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</si>
  <si>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</si>
  <si>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</si>
  <si>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</si>
  <si>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</si>
  <si>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</si>
  <si>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</si>
  <si>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</si>
  <si>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</si>
  <si>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</si>
  <si>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</si>
  <si>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</si>
  <si>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</si>
  <si>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</si>
  <si>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</si>
  <si>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</si>
  <si>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</si>
  <si>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</si>
  <si>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</si>
  <si>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</si>
  <si>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</si>
  <si>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</si>
  <si>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</si>
  <si>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</si>
  <si>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</si>
  <si>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</si>
  <si>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</si>
  <si>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</si>
  <si>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</si>
  <si>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</si>
  <si>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</si>
  <si>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</si>
  <si>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</si>
  <si>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</si>
  <si>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</si>
  <si>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</si>
  <si>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</si>
  <si>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</si>
  <si>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</si>
  <si>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</si>
  <si>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</si>
  <si>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</si>
  <si>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</si>
  <si>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</si>
  <si>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</si>
  <si>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</si>
  <si>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</si>
  <si>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</si>
  <si>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</si>
  <si>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</si>
  <si>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</si>
  <si>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</si>
  <si>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</si>
  <si>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</si>
  <si>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</si>
  <si>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</si>
  <si>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</si>
  <si>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</si>
  <si>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</si>
  <si>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</si>
  <si>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</si>
  <si>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</si>
  <si>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</si>
  <si>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</si>
  <si>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</si>
  <si>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</si>
  <si>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</si>
  <si>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</si>
  <si>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</si>
  <si>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</si>
  <si>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</si>
  <si>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</si>
  <si>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</si>
  <si>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</si>
  <si>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</si>
  <si>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</si>
  <si>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</si>
  <si>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</si>
  <si>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</si>
  <si>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</si>
  <si>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</si>
  <si>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</si>
  <si>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</si>
  <si>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</si>
  <si>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</si>
  <si>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</si>
  <si>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</si>
  <si>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</si>
  <si>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</si>
  <si>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</si>
  <si>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</si>
  <si>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</si>
  <si>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</si>
  <si>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</si>
  <si>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</si>
  <si>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</si>
  <si>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</si>
  <si>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</si>
  <si>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</si>
  <si>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</si>
  <si>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</si>
  <si>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</si>
  <si>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</si>
  <si>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</si>
  <si>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</si>
  <si>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</si>
  <si>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</si>
  <si>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</si>
  <si>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</si>
  <si>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</si>
  <si>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</si>
  <si>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</si>
  <si>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</si>
  <si>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</si>
  <si>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</si>
  <si>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</si>
  <si>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</si>
  <si>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</si>
  <si>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</si>
  <si>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</si>
  <si>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</si>
  <si>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</si>
  <si>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</si>
  <si>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</si>
  <si>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</si>
  <si>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</si>
  <si>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</si>
  <si>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</si>
  <si>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</si>
  <si>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</si>
  <si>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</si>
  <si>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</si>
  <si>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</si>
  <si>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</si>
  <si>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</si>
  <si>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</si>
  <si>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</si>
  <si>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</si>
  <si>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</si>
  <si>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</si>
  <si>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</si>
  <si>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</si>
  <si>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</si>
  <si>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</si>
  <si>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</si>
  <si>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</si>
  <si>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</si>
  <si>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</si>
  <si>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</si>
  <si>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</si>
  <si>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</si>
  <si>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</si>
  <si>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</si>
  <si>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</si>
  <si>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</si>
  <si>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</si>
  <si>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</si>
  <si>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</si>
  <si>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</si>
  <si>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</si>
  <si>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</si>
  <si>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</si>
  <si>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</si>
  <si>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</si>
  <si>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</si>
  <si>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</si>
  <si>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</si>
  <si>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</si>
  <si>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</si>
  <si>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</si>
  <si>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</si>
  <si>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</si>
  <si>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</si>
  <si>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</si>
  <si>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</si>
  <si>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</si>
  <si>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</si>
  <si>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</si>
  <si>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</si>
  <si>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</si>
  <si>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</si>
  <si>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</si>
  <si>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</si>
  <si>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</si>
  <si>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</si>
  <si>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</si>
  <si>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</si>
  <si>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</si>
  <si>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</si>
  <si>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</si>
  <si>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</si>
  <si>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</si>
  <si>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</si>
  <si>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</si>
  <si>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</si>
  <si>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</si>
  <si>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</si>
  <si>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</si>
  <si>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</si>
  <si>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</si>
  <si>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</si>
  <si>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</si>
  <si>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</si>
  <si>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</si>
  <si>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</si>
  <si>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</si>
  <si>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</si>
  <si>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</si>
  <si>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</si>
  <si>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</si>
  <si>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</si>
  <si>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</si>
  <si>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</si>
  <si>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</si>
  <si>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</si>
  <si>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</si>
  <si>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</si>
  <si>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</si>
  <si>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</si>
  <si>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</si>
  <si>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</si>
  <si>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</si>
  <si>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</si>
  <si>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</si>
  <si>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</si>
  <si>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</si>
  <si>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</si>
  <si>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</si>
  <si>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</si>
  <si>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</si>
  <si>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</si>
  <si>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</si>
  <si>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</si>
  <si>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</si>
  <si>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</si>
  <si>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</si>
  <si>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</si>
  <si>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</si>
  <si>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</si>
  <si>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</si>
  <si>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</si>
  <si>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</si>
  <si>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</si>
  <si>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</si>
  <si>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</si>
  <si>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</si>
  <si>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</si>
  <si>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</si>
  <si>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</si>
  <si>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</si>
  <si>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</si>
  <si>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</si>
  <si>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</si>
  <si>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</si>
  <si>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</si>
  <si>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</si>
  <si>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</si>
  <si>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</si>
  <si>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</si>
  <si>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</si>
  <si>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</si>
  <si>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</si>
  <si>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</si>
  <si>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</si>
  <si>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</si>
  <si>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</si>
  <si>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</si>
  <si>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</si>
  <si>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</si>
  <si>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</si>
  <si>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</si>
  <si>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</si>
  <si>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</si>
  <si>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</si>
  <si>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</si>
  <si>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</si>
  <si>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</si>
  <si>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</si>
  <si>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</si>
  <si>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</si>
  <si>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</si>
  <si>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</si>
  <si>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</si>
  <si>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</si>
  <si>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</si>
  <si>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</si>
  <si>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</si>
  <si>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</si>
  <si>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</si>
  <si>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</si>
  <si>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</si>
  <si>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</si>
  <si>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</si>
  <si>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</si>
  <si>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</si>
  <si>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</si>
  <si>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</si>
  <si>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</si>
  <si>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</si>
  <si>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</si>
  <si>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</si>
  <si>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</si>
  <si>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</si>
  <si>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</si>
  <si>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</si>
  <si>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</si>
  <si>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</si>
  <si>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</si>
  <si>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</si>
  <si>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</si>
  <si>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</si>
  <si>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</si>
  <si>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</si>
  <si>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</si>
  <si>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</si>
  <si>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</si>
  <si>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</si>
  <si>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</si>
  <si>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</si>
  <si>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</si>
  <si>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</si>
  <si>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</si>
  <si>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</si>
  <si>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</si>
  <si>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</si>
  <si>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</si>
  <si>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</si>
  <si>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</si>
  <si>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</si>
  <si>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</si>
  <si>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</si>
  <si>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</si>
  <si>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</si>
  <si>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</si>
  <si>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</si>
  <si>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</si>
  <si>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</si>
  <si>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</si>
  <si>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</si>
  <si>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</si>
  <si>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</si>
  <si>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</si>
  <si>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</si>
  <si>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</si>
  <si>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</si>
  <si>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</si>
  <si>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</si>
  <si>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</si>
  <si>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</si>
  <si>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</si>
  <si>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</si>
  <si>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</si>
  <si>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</si>
  <si>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</si>
  <si>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</si>
  <si>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</si>
  <si>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</si>
  <si>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</si>
  <si>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</si>
  <si>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</si>
  <si>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</si>
  <si>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</si>
  <si>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</si>
  <si>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</si>
  <si>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</si>
  <si>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</si>
  <si>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</si>
  <si>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</si>
  <si>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</si>
  <si>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</si>
  <si>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</si>
  <si>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</si>
  <si>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</si>
  <si>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</si>
  <si>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</si>
  <si>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</si>
  <si>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</si>
  <si>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</si>
  <si>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</si>
  <si>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</si>
  <si>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</si>
  <si>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</si>
  <si>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</si>
  <si>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</si>
  <si>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</si>
  <si>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</si>
  <si>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</si>
  <si>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</si>
  <si>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</si>
  <si>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</si>
  <si>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</si>
  <si>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</si>
  <si>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</si>
  <si>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</si>
  <si>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</si>
  <si>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</si>
  <si>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</si>
  <si>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</si>
  <si>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</si>
  <si>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</si>
  <si>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</si>
  <si>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</si>
  <si>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</si>
  <si>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</si>
  <si>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</si>
  <si>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</si>
  <si>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</si>
  <si>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</si>
  <si>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</si>
  <si>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</si>
  <si>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</si>
  <si>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</si>
  <si>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</si>
  <si>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</si>
  <si>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</si>
  <si>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</si>
  <si>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</si>
  <si>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</si>
  <si>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</si>
  <si>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</si>
  <si>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</si>
  <si>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</si>
  <si>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</si>
  <si>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</si>
  <si>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</si>
  <si>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</si>
  <si>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</si>
  <si>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</si>
  <si>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</si>
  <si>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</si>
  <si>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</si>
  <si>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</si>
  <si>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</si>
  <si>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</si>
  <si>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</si>
  <si>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</si>
  <si>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</si>
  <si>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</si>
  <si>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</si>
  <si>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</si>
  <si>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</si>
  <si>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</si>
  <si>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</si>
  <si>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</si>
  <si>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</si>
  <si>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</si>
  <si>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</si>
  <si>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</si>
  <si>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</si>
  <si>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</si>
  <si>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</si>
  <si>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</si>
  <si>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</si>
  <si>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</si>
  <si>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</si>
  <si>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</si>
  <si>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</si>
  <si>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</si>
  <si>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</si>
  <si>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</si>
  <si>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</si>
  <si>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</si>
  <si>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</si>
  <si>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</si>
  <si>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</si>
  <si>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</si>
  <si>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</si>
  <si>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</si>
  <si>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</si>
  <si>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</si>
  <si>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</si>
  <si>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</si>
  <si>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</si>
  <si>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</si>
  <si>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</si>
  <si>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</si>
  <si>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</si>
  <si>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</si>
  <si>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</si>
  <si>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</si>
  <si>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</si>
  <si>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</si>
  <si>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</si>
  <si>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</si>
  <si>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</si>
  <si>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</si>
  <si>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</si>
  <si>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</si>
  <si>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</si>
  <si>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</si>
  <si>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</si>
  <si>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</si>
  <si>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</si>
  <si>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</si>
  <si>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</si>
  <si>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</si>
  <si>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</si>
  <si>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</si>
  <si>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</si>
  <si>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</si>
  <si>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</si>
  <si>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</si>
  <si>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</si>
  <si>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</si>
  <si>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</si>
  <si>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</si>
  <si>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</si>
  <si>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</si>
  <si>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</si>
  <si>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</si>
  <si>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</si>
  <si>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</si>
  <si>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</si>
  <si>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</si>
  <si>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</si>
  <si>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</si>
  <si>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</si>
  <si>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</si>
  <si>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</si>
  <si>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</si>
  <si>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</si>
  <si>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</si>
  <si>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</si>
  <si>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</si>
  <si>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</si>
  <si>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</si>
  <si>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</si>
  <si>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</si>
  <si>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</si>
  <si>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</si>
  <si>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</si>
  <si>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</si>
  <si>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</si>
  <si>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</si>
  <si>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</si>
  <si>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</si>
  <si>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</si>
  <si>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</si>
  <si>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</si>
  <si>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</si>
  <si>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</si>
  <si>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</si>
  <si>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</si>
  <si>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</si>
  <si>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</si>
  <si>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</si>
  <si>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</si>
  <si>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</si>
  <si>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</si>
  <si>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</si>
  <si>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</si>
  <si>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</si>
  <si>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</si>
  <si>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</si>
  <si>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</si>
  <si>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</si>
  <si>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</si>
  <si>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</si>
  <si>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</si>
  <si>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</si>
  <si>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</si>
  <si>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</si>
  <si>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</si>
  <si>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</si>
  <si>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</si>
  <si>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</si>
  <si>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</si>
  <si>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</si>
  <si>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</si>
  <si>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</si>
  <si>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</si>
  <si>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</si>
  <si>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</si>
  <si>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</si>
  <si>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</si>
  <si>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</si>
  <si>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</si>
  <si>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</si>
  <si>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</si>
  <si>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</si>
  <si>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</si>
  <si>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</si>
  <si>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</si>
  <si>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</si>
  <si>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</si>
  <si>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</si>
  <si>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</si>
  <si>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</si>
  <si>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</si>
  <si>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</si>
  <si>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</si>
  <si>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</si>
  <si>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</si>
  <si>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</si>
  <si>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</si>
  <si>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</si>
  <si>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</si>
  <si>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</si>
  <si>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</si>
  <si>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</si>
  <si>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</si>
  <si>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</si>
  <si>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</si>
  <si>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</si>
  <si>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</si>
  <si>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</si>
  <si>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</si>
  <si>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</si>
  <si>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</si>
  <si>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</si>
  <si>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</si>
  <si>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</si>
  <si>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</si>
  <si>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</si>
  <si>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</si>
  <si>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</si>
  <si>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</si>
  <si>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</si>
  <si>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</si>
  <si>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</si>
  <si>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</si>
  <si>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</si>
  <si>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</si>
  <si>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</si>
  <si>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</si>
  <si>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</si>
  <si>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</si>
  <si>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</si>
  <si>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</si>
  <si>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</si>
  <si>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</si>
  <si>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</si>
  <si>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</si>
  <si>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</si>
  <si>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</si>
  <si>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</si>
  <si>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</si>
  <si>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</si>
  <si>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</si>
  <si>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</si>
  <si>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</si>
  <si>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</si>
  <si>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</si>
  <si>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</si>
  <si>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</si>
  <si>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</si>
  <si>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</si>
  <si>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</si>
  <si>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</si>
  <si>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</si>
  <si>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</si>
  <si>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</si>
  <si>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</si>
  <si>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</si>
  <si>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</si>
  <si>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</si>
  <si>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</si>
  <si>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</si>
  <si>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</si>
  <si>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</si>
  <si>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</si>
  <si>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</si>
  <si>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</si>
  <si>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</si>
  <si>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</si>
  <si>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</si>
  <si>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</si>
  <si>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</si>
  <si>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</si>
  <si>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</si>
  <si>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</si>
  <si>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</si>
  <si>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</si>
  <si>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</si>
  <si>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</si>
  <si>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</si>
  <si>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</si>
  <si>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</si>
  <si>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</si>
  <si>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</si>
  <si>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</si>
  <si>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</si>
  <si>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</si>
  <si>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</si>
  <si>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</si>
  <si>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</si>
  <si>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</si>
  <si>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</si>
  <si>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</si>
  <si>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</si>
  <si>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</si>
  <si>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</si>
  <si>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</si>
  <si>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</si>
  <si>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</si>
  <si>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</si>
  <si>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</si>
  <si>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</si>
  <si>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</si>
  <si>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</si>
  <si>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</si>
  <si>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</si>
  <si>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</si>
  <si>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</si>
  <si>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</si>
  <si>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</si>
  <si>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</si>
  <si>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</si>
  <si>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</si>
  <si>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</si>
  <si>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</si>
  <si>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</si>
  <si>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</si>
  <si>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</si>
  <si>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</si>
  <si>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</si>
  <si>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</si>
  <si>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</si>
  <si>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</si>
  <si>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</si>
  <si>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</si>
  <si>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</si>
  <si>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</si>
  <si>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</si>
  <si>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</si>
  <si>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</si>
  <si>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</si>
  <si>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</si>
  <si>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</si>
  <si>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</si>
  <si>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</si>
  <si>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</si>
  <si>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</si>
  <si>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</si>
  <si>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</si>
  <si>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</si>
  <si>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</si>
  <si>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</si>
  <si>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</si>
  <si>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</si>
  <si>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</si>
  <si>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</si>
  <si>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</si>
  <si>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</si>
  <si>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</si>
  <si>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</si>
  <si>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</si>
  <si>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</si>
  <si>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</si>
  <si>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</si>
  <si>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</si>
  <si>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</si>
  <si>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</si>
  <si>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</si>
  <si>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</si>
  <si>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</si>
  <si>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</si>
  <si>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</si>
  <si>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</si>
  <si>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</si>
  <si>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</si>
  <si>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</si>
  <si>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</si>
  <si>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</si>
  <si>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</si>
  <si>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</si>
  <si>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</si>
  <si>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</si>
  <si>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</si>
  <si>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</si>
  <si>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</si>
  <si>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</si>
  <si>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</si>
  <si>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</si>
  <si>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</si>
  <si>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</si>
  <si>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</si>
  <si>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</si>
  <si>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</si>
  <si>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</si>
  <si>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</si>
  <si>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</si>
  <si>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</si>
  <si>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</si>
  <si>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</si>
  <si>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</si>
  <si>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</si>
  <si>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</si>
  <si>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</si>
  <si>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</si>
  <si>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</si>
  <si>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</si>
  <si>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</si>
  <si>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</si>
  <si>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</si>
  <si>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</si>
  <si>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</si>
  <si>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</si>
  <si>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</si>
  <si>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</si>
  <si>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</si>
  <si>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</si>
  <si>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</si>
  <si>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</si>
  <si>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</si>
  <si>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</si>
  <si>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</si>
  <si>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</si>
  <si>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</si>
  <si>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</si>
  <si>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</si>
  <si>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</si>
  <si>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</si>
  <si>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</si>
  <si>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</si>
  <si>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</si>
  <si>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</si>
  <si>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</si>
  <si>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</si>
  <si>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</si>
  <si>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</si>
  <si>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</si>
  <si>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</si>
  <si>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</si>
  <si>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</si>
  <si>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</si>
  <si>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</si>
  <si>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</si>
  <si>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</si>
  <si>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</si>
  <si>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</si>
  <si>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</si>
  <si>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</si>
  <si>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</si>
  <si>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</si>
  <si>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</si>
  <si>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</si>
  <si>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</si>
  <si>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</si>
  <si>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</si>
  <si>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</si>
  <si>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</si>
  <si>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</si>
  <si>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</si>
  <si>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</si>
  <si>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</si>
  <si>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</si>
  <si>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</si>
  <si>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</si>
  <si>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</si>
  <si>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</si>
  <si>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</si>
  <si>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</si>
  <si>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</si>
  <si>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</si>
  <si>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</si>
  <si>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</si>
  <si>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</si>
  <si>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</si>
  <si>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</si>
  <si>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</si>
  <si>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</si>
  <si>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</si>
  <si>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</si>
  <si>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</si>
  <si>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</si>
  <si>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</si>
  <si>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</si>
  <si>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</si>
  <si>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</si>
  <si>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</si>
  <si>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</si>
  <si>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</si>
  <si>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</si>
  <si>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</si>
  <si>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</si>
  <si>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</si>
  <si>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</si>
  <si>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</si>
  <si>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</si>
  <si>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</si>
  <si>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</si>
  <si>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</si>
  <si>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</si>
  <si>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</si>
  <si>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</si>
  <si>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</si>
  <si>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</si>
  <si>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</si>
  <si>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</si>
  <si>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</si>
  <si>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</si>
  <si>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</si>
  <si>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</si>
  <si>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</si>
  <si>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</si>
  <si>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</si>
  <si>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</si>
  <si>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</si>
  <si>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</si>
  <si>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</si>
  <si>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</si>
  <si>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</si>
  <si>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</si>
  <si>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</si>
  <si>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</si>
  <si>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</si>
  <si>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</si>
  <si>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</si>
  <si>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</si>
  <si>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</si>
  <si>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</si>
  <si>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</si>
  <si>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</si>
  <si>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</si>
  <si>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</si>
  <si>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</si>
  <si>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</si>
  <si>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</si>
  <si>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</si>
  <si>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</si>
  <si>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</si>
  <si>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</si>
  <si>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</si>
  <si>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</si>
  <si>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</si>
  <si>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</si>
  <si>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</si>
  <si>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</si>
  <si>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</si>
  <si>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</si>
  <si>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</si>
  <si>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</si>
  <si>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</si>
  <si>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</si>
  <si>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</si>
  <si>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</si>
  <si>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</si>
  <si>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</si>
  <si>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</si>
  <si>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</si>
  <si>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</si>
  <si>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</si>
  <si>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</si>
  <si>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</si>
  <si>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</si>
  <si>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</si>
  <si>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</si>
  <si>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</si>
  <si>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</si>
  <si>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</si>
  <si>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</si>
  <si>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</si>
  <si>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</si>
  <si>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</si>
  <si>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</si>
  <si>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</si>
  <si>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</si>
  <si>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</si>
  <si>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</si>
  <si>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</si>
  <si>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</si>
  <si>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</si>
  <si>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</si>
  <si>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</si>
  <si>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</si>
  <si>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</si>
  <si>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</si>
  <si>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</si>
  <si>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</si>
  <si>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</si>
  <si>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</si>
  <si>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</si>
  <si>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</si>
  <si>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</si>
  <si>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</si>
  <si>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</si>
  <si>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</si>
  <si>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</si>
  <si>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</si>
  <si>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</si>
  <si>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</si>
  <si>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</si>
  <si>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</si>
  <si>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</si>
  <si>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</si>
  <si>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</si>
  <si>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</si>
  <si>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</si>
  <si>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</si>
  <si>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</si>
  <si>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</si>
  <si>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</si>
  <si>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</si>
  <si>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</si>
  <si>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</si>
  <si>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</si>
  <si>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</si>
  <si>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</si>
  <si>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</si>
  <si>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</si>
  <si>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</si>
  <si>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</si>
  <si>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</si>
  <si>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</si>
  <si>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</si>
  <si>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</si>
  <si>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</si>
  <si>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</si>
  <si>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</si>
  <si>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</si>
  <si>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</si>
  <si>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</si>
  <si>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</si>
  <si>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</si>
  <si>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</si>
  <si>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</si>
  <si>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</si>
  <si>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</si>
  <si>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</si>
  <si>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</si>
  <si>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</si>
  <si>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</si>
  <si>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</si>
  <si>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</si>
  <si>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</si>
  <si>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</si>
  <si>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</si>
  <si>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</si>
  <si>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</si>
  <si>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</si>
  <si>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</si>
  <si>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</si>
  <si>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</si>
  <si>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</si>
  <si>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</si>
  <si>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</si>
  <si>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</si>
  <si>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</si>
  <si>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</si>
  <si>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</si>
  <si>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</si>
  <si>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</si>
  <si>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</si>
  <si>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</si>
  <si>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</si>
  <si>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</si>
  <si>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</si>
  <si>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</si>
  <si>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</si>
  <si>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</si>
  <si>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</si>
  <si>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</si>
  <si>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</si>
  <si>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</si>
  <si>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</si>
  <si>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</si>
  <si>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</si>
  <si>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</si>
  <si>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</si>
  <si>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</si>
  <si>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</si>
  <si>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</si>
  <si>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</si>
  <si>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</si>
  <si>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</si>
  <si>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</si>
  <si>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</si>
  <si>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</si>
  <si>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</si>
  <si>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</si>
  <si>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</si>
  <si>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</si>
  <si>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</si>
  <si>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</si>
  <si>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</si>
  <si>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</si>
  <si>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</si>
  <si>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</si>
  <si>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</si>
  <si>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</si>
  <si>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</si>
  <si>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</si>
  <si>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</si>
  <si>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</si>
  <si>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</si>
  <si>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</si>
  <si>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</si>
  <si>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</si>
  <si>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</si>
  <si>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</si>
  <si>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</si>
  <si>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</si>
  <si>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</si>
  <si>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</si>
  <si>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</si>
  <si>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</si>
  <si>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</si>
  <si>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</si>
  <si>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</si>
  <si>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</si>
  <si>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</si>
  <si>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</si>
  <si>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</si>
  <si>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</si>
  <si>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</si>
  <si>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</si>
  <si>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</si>
  <si>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</si>
  <si>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</si>
  <si>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</si>
  <si>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</si>
  <si>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</si>
  <si>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</si>
  <si>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</si>
  <si>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</si>
  <si>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</si>
  <si>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</si>
  <si>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</si>
  <si>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</si>
  <si>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</si>
  <si>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</si>
  <si>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</si>
  <si>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</si>
  <si>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</si>
  <si>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</si>
  <si>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</si>
  <si>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</si>
  <si>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</si>
  <si>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</si>
  <si>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</si>
  <si>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</si>
  <si>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</si>
  <si>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</si>
  <si>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</si>
  <si>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</si>
  <si>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</si>
  <si>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</si>
  <si>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</si>
  <si>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</si>
  <si>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</si>
  <si>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</si>
  <si>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</si>
  <si>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</si>
  <si>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</si>
  <si>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</si>
  <si>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</si>
  <si>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</si>
  <si>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</si>
  <si>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</si>
  <si>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</si>
  <si>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</si>
  <si>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</si>
  <si>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</si>
  <si>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</si>
  <si>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</si>
  <si>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</si>
  <si>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</si>
  <si>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</si>
  <si>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</si>
  <si>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</si>
  <si>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</si>
  <si>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</si>
  <si>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</si>
  <si>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</si>
  <si>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</si>
  <si>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</si>
  <si>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</si>
  <si>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</si>
  <si>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</si>
  <si>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</si>
  <si>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</si>
  <si>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</si>
  <si>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</si>
  <si>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</si>
  <si>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</si>
  <si>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</si>
  <si>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</si>
  <si>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</si>
  <si>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</si>
  <si>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</si>
  <si>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</si>
  <si>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</si>
  <si>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</si>
  <si>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</si>
  <si>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</si>
  <si>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</si>
  <si>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</si>
  <si>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</si>
  <si>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</si>
  <si>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</si>
  <si>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</si>
  <si>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</si>
  <si>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</si>
  <si>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</si>
  <si>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</si>
  <si>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</si>
  <si>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</si>
  <si>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</si>
  <si>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</si>
  <si>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</si>
  <si>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</si>
  <si>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</si>
  <si>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</si>
  <si>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</si>
  <si>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</si>
  <si>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</si>
  <si>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</si>
  <si>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</si>
  <si>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</si>
  <si>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</si>
  <si>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</si>
  <si>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</si>
  <si>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</si>
  <si>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</si>
  <si>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</si>
  <si>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</si>
  <si>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</si>
  <si>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</si>
  <si>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</si>
  <si>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</si>
  <si>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</si>
  <si>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</si>
  <si>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</si>
  <si>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</si>
  <si>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</si>
  <si>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</si>
  <si>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</si>
  <si>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</si>
  <si>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</si>
  <si>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</si>
  <si>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</si>
  <si>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</si>
  <si>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</si>
  <si>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</si>
  <si>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</si>
  <si>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</si>
  <si>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</si>
  <si>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</si>
  <si>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</si>
  <si>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</si>
  <si>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</si>
  <si>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</si>
  <si>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</si>
  <si>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</si>
  <si>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</si>
  <si>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</si>
  <si>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</si>
  <si>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</si>
  <si>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</si>
  <si>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</si>
  <si>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</si>
  <si>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</si>
  <si>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</si>
  <si>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</si>
  <si>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</si>
  <si>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</si>
  <si>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</si>
  <si>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</si>
  <si>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</si>
  <si>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</si>
  <si>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</si>
  <si>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</si>
  <si>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</si>
  <si>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</si>
  <si>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</si>
  <si>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</si>
  <si>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</si>
  <si>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</si>
  <si>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</si>
  <si>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</si>
  <si>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</si>
  <si>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</si>
  <si>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</si>
  <si>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</si>
  <si>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</si>
  <si>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</si>
  <si>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</si>
  <si>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</si>
  <si>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</si>
  <si>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</si>
  <si>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</si>
  <si>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</si>
  <si>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</si>
  <si>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</si>
  <si>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</si>
  <si>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</si>
  <si>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</si>
  <si>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</si>
  <si>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</si>
  <si>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</si>
  <si>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</si>
  <si>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</si>
  <si>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</si>
  <si>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</si>
  <si>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</si>
  <si>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</si>
  <si>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</si>
  <si>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</si>
  <si>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</si>
  <si>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</si>
  <si>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</si>
  <si>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</si>
  <si>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</si>
  <si>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</si>
  <si>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</si>
  <si>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</si>
  <si>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</si>
  <si>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</si>
  <si>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</si>
  <si>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</si>
  <si>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</si>
  <si>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</si>
  <si>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</si>
  <si>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</si>
  <si>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</si>
  <si>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</si>
  <si>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</si>
  <si>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</si>
  <si>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</si>
  <si>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</si>
  <si>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</si>
  <si>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</si>
  <si>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</si>
  <si>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</si>
  <si>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</si>
  <si>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</si>
  <si>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</si>
  <si>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</si>
  <si>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</si>
  <si>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</si>
  <si>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</si>
  <si>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</si>
  <si>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</si>
  <si>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</si>
  <si>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</si>
  <si>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</si>
  <si>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</si>
  <si>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</si>
  <si>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</si>
  <si>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</si>
  <si>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</si>
  <si>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</si>
  <si>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</si>
  <si>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</si>
  <si>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</si>
  <si>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</si>
  <si>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</si>
  <si>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</si>
  <si>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</si>
  <si>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</si>
  <si>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</si>
  <si>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</si>
  <si>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</si>
  <si>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</si>
  <si>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</si>
  <si>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</si>
  <si>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</si>
  <si>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</si>
  <si>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</si>
  <si>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</si>
  <si>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</si>
  <si>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</si>
  <si>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</si>
  <si>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</si>
  <si>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</si>
  <si>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</si>
  <si>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</si>
  <si>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</si>
  <si>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</si>
  <si>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</si>
  <si>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</si>
  <si>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</si>
  <si>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</si>
  <si>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</si>
  <si>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</si>
  <si>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</si>
  <si>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</si>
  <si>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</si>
  <si>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</si>
  <si>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</si>
  <si>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</si>
  <si>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</si>
  <si>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</si>
  <si>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</si>
  <si>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</si>
  <si>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</si>
  <si>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</si>
  <si>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</si>
  <si>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</si>
  <si>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</si>
  <si>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</si>
  <si>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</si>
  <si>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</si>
  <si>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</si>
  <si>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</si>
  <si>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</si>
  <si>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</si>
  <si>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</si>
  <si>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</si>
  <si>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</si>
  <si>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</si>
  <si>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</si>
  <si>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</si>
  <si>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</si>
  <si>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</si>
  <si>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</si>
  <si>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</si>
  <si>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</si>
  <si>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</si>
  <si>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</si>
  <si>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</si>
  <si>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</si>
  <si>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</si>
  <si>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</si>
  <si>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</si>
  <si>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</si>
  <si>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</si>
  <si>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</si>
  <si>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</si>
  <si>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</si>
  <si>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</si>
  <si>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</si>
  <si>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</si>
  <si>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</si>
  <si>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</si>
  <si>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</si>
  <si>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</si>
  <si>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</si>
  <si>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</si>
  <si>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</si>
  <si>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</si>
  <si>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</si>
  <si>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</si>
  <si>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</si>
  <si>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</si>
  <si>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</si>
  <si>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</si>
  <si>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</si>
  <si>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</si>
  <si>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</si>
  <si>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</si>
  <si>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</si>
  <si>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</si>
  <si>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</si>
  <si>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</si>
  <si>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</si>
  <si>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</si>
  <si>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</si>
  <si>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</si>
  <si>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</si>
  <si>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</si>
  <si>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</si>
  <si>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</si>
  <si>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</si>
  <si>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</si>
  <si>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</si>
  <si>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</si>
  <si>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</si>
  <si>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</si>
  <si>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</si>
  <si>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</si>
  <si>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</si>
  <si>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</si>
  <si>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</si>
  <si>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</si>
  <si>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</si>
  <si>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</si>
  <si>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</si>
  <si>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</si>
  <si>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</si>
  <si>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</si>
  <si>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</si>
  <si>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</si>
  <si>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</si>
  <si>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</si>
  <si>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</si>
  <si>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</si>
  <si>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</si>
  <si>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</si>
  <si>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</si>
  <si>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</si>
  <si>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</si>
  <si>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</si>
  <si>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</si>
  <si>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</si>
  <si>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</si>
  <si>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</si>
  <si>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</si>
  <si>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</si>
  <si>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</si>
  <si>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</si>
  <si>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</si>
  <si>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</si>
  <si>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</si>
  <si>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</si>
  <si>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</si>
  <si>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</si>
  <si>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</si>
  <si>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</si>
  <si>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</si>
  <si>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</si>
  <si>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</si>
  <si>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</si>
  <si>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</si>
  <si>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</si>
  <si>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</si>
  <si>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</si>
  <si>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</si>
  <si>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</si>
  <si>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</si>
  <si>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</si>
  <si>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</si>
  <si>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</si>
  <si>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</si>
  <si>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</si>
  <si>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</si>
  <si>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</si>
  <si>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</si>
  <si>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</si>
  <si>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</si>
  <si>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</si>
  <si>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</si>
  <si>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</si>
  <si>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</si>
  <si>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</si>
  <si>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</si>
  <si>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</si>
  <si>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</si>
  <si>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</si>
  <si>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</si>
  <si>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</si>
  <si>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</si>
  <si>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</si>
  <si>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</si>
  <si>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</si>
  <si>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</si>
  <si>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</si>
  <si>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</si>
  <si>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</si>
  <si>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</si>
  <si>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</si>
  <si>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</si>
  <si>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</si>
  <si>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</si>
  <si>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</si>
  <si>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</si>
  <si>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</si>
  <si>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</si>
  <si>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</si>
  <si>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</si>
  <si>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</si>
  <si>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</si>
  <si>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</si>
  <si>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</si>
  <si>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</si>
  <si>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</si>
  <si>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</si>
  <si>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</si>
  <si>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</si>
  <si>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</si>
  <si>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</si>
  <si>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</si>
  <si>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</si>
  <si>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</si>
  <si>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</si>
  <si>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</si>
  <si>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</si>
  <si>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</si>
  <si>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</si>
  <si>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</si>
  <si>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</si>
  <si>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</si>
  <si>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</si>
  <si>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</si>
  <si>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</si>
  <si>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</si>
  <si>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</si>
  <si>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</si>
  <si>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</si>
  <si>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</si>
  <si>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</si>
  <si>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</si>
  <si>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</si>
  <si>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</si>
  <si>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</si>
  <si>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</si>
  <si>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</si>
  <si>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</si>
  <si>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</si>
  <si>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</si>
  <si>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</si>
  <si>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</si>
  <si>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</si>
  <si>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</si>
  <si>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</si>
  <si>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</si>
  <si>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</si>
  <si>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</si>
  <si>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</si>
  <si>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</si>
  <si>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</si>
  <si>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</si>
  <si>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</si>
  <si>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</si>
  <si>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</si>
  <si>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</si>
  <si>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</si>
  <si>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</si>
  <si>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</si>
  <si>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</si>
  <si>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</si>
  <si>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</si>
  <si>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</si>
  <si>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</si>
  <si>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</si>
  <si>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</si>
  <si>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</si>
  <si>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</si>
  <si>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</si>
  <si>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</si>
  <si>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</si>
  <si>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</si>
  <si>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</si>
  <si>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</si>
  <si>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</si>
  <si>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</si>
  <si>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</si>
  <si>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</si>
  <si>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</si>
  <si>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</si>
  <si>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</si>
  <si>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</si>
  <si>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</si>
  <si>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</si>
  <si>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</si>
  <si>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</si>
  <si>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</si>
  <si>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</si>
  <si>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</si>
  <si>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</si>
  <si>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</si>
  <si>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</si>
  <si>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</si>
  <si>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</si>
  <si>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</si>
  <si>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</si>
  <si>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</si>
  <si>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</si>
  <si>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</si>
  <si>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</si>
  <si>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</si>
  <si>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</si>
  <si>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</si>
  <si>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</si>
  <si>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</si>
  <si>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</si>
  <si>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</si>
  <si>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</si>
  <si>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</si>
  <si>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</si>
  <si>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</si>
  <si>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</si>
  <si>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</si>
  <si>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</si>
  <si>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</si>
  <si>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</si>
  <si>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</si>
  <si>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</si>
  <si>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</si>
  <si>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</si>
  <si>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</si>
  <si>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</si>
  <si>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</si>
  <si>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</si>
  <si>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</si>
  <si>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</si>
  <si>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</si>
  <si>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</si>
  <si>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</si>
  <si>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</si>
  <si>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</si>
  <si>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</si>
  <si>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</si>
  <si>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</si>
  <si>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</si>
  <si>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</si>
  <si>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</si>
  <si>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</si>
  <si>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</si>
  <si>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</si>
  <si>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</si>
  <si>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</si>
  <si>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</si>
  <si>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</si>
  <si>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</si>
  <si>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</si>
  <si>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</si>
  <si>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</si>
  <si>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</si>
  <si>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</si>
  <si>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</si>
  <si>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</si>
  <si>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</si>
  <si>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</si>
  <si>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</si>
  <si>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</si>
  <si>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</si>
  <si>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</si>
  <si>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</si>
  <si>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</si>
  <si>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</si>
  <si>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</si>
  <si>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</si>
  <si>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</si>
  <si>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</si>
  <si>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</si>
  <si>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</si>
  <si>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</si>
  <si>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</si>
  <si>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</si>
  <si>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</si>
  <si>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</si>
  <si>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</si>
  <si>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</si>
  <si>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</si>
  <si>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</si>
  <si>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</si>
  <si>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</si>
  <si>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</si>
  <si>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</si>
  <si>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</si>
  <si>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</si>
  <si>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</si>
  <si>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</si>
  <si>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</si>
  <si>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</si>
  <si>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</si>
  <si>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</si>
  <si>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</si>
  <si>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</si>
  <si>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</si>
  <si>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</si>
  <si>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</si>
  <si>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</si>
  <si>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</si>
  <si>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</si>
  <si>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</si>
  <si>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</si>
  <si>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</si>
  <si>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</si>
  <si>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</si>
  <si>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</si>
  <si>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</si>
  <si>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</si>
  <si>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</si>
  <si>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</si>
  <si>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</si>
  <si>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</si>
  <si>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</si>
  <si>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</si>
  <si>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</si>
  <si>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</si>
  <si>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</si>
  <si>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</si>
  <si>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</si>
  <si>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</si>
  <si>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</si>
  <si>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</si>
  <si>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</si>
  <si>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</si>
  <si>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</si>
  <si>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</si>
  <si>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</si>
  <si>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</si>
  <si>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</si>
  <si>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</si>
  <si>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</si>
  <si>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</si>
  <si>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</si>
  <si>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</si>
  <si>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</si>
  <si>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</si>
  <si>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</si>
  <si>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</si>
  <si>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</si>
  <si>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</si>
  <si>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</si>
  <si>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</si>
  <si>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</si>
  <si>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</si>
  <si>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</si>
  <si>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</si>
  <si>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</si>
  <si>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</si>
  <si>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</si>
  <si>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</si>
  <si>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</si>
  <si>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</si>
  <si>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</si>
  <si>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</si>
  <si>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</si>
  <si>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</si>
  <si>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</si>
  <si>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</si>
  <si>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</si>
  <si>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</si>
  <si>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</si>
  <si>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</si>
  <si>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</si>
  <si>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</si>
  <si>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</si>
  <si>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</si>
  <si>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</si>
  <si>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</si>
  <si>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</si>
  <si>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</si>
  <si>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</si>
  <si>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</si>
  <si>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</si>
  <si>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</si>
  <si>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</si>
  <si>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</si>
  <si>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</si>
  <si>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</si>
  <si>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</si>
  <si>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</si>
  <si>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</si>
  <si>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</si>
  <si>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</si>
  <si>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</si>
  <si>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</si>
  <si>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</si>
  <si>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</si>
  <si>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</si>
  <si>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</si>
  <si>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</si>
  <si>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</si>
  <si>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</si>
  <si>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</si>
  <si>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</si>
  <si>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</si>
  <si>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</si>
  <si>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</si>
  <si>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</si>
  <si>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</si>
  <si>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</si>
  <si>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</si>
  <si>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</si>
  <si>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</si>
  <si>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</si>
  <si>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</si>
  <si>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</si>
  <si>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</si>
  <si>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</si>
  <si>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</si>
  <si>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</si>
  <si>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</si>
  <si>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</si>
  <si>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</si>
  <si>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</si>
  <si>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</si>
  <si>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</si>
  <si>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</si>
  <si>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</si>
  <si>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</si>
  <si>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</si>
  <si>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</si>
  <si>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</si>
  <si>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</si>
  <si>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</si>
  <si>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</si>
  <si>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</si>
  <si>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</si>
  <si>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</si>
  <si>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</si>
  <si>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</si>
  <si>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</si>
  <si>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</si>
  <si>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</si>
  <si>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</si>
  <si>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</si>
  <si>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</si>
  <si>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</si>
  <si>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</si>
  <si>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</si>
  <si>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</si>
  <si>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</si>
  <si>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</si>
  <si>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</si>
  <si>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</si>
  <si>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</si>
  <si>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</si>
  <si>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</si>
  <si>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</si>
  <si>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</si>
  <si>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</si>
  <si>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</si>
  <si>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</si>
  <si>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</si>
  <si>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</si>
  <si>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</si>
  <si>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</si>
  <si>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</si>
  <si>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</si>
  <si>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</si>
  <si>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</si>
  <si>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</si>
  <si>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</si>
  <si>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</si>
  <si>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</si>
  <si>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</si>
  <si>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</si>
  <si>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</si>
  <si>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</si>
  <si>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</si>
  <si>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</si>
  <si>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</si>
  <si>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</si>
  <si>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</si>
  <si>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</si>
  <si>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</si>
  <si>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</si>
  <si>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</si>
  <si>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</si>
  <si>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</si>
  <si>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</si>
  <si>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</si>
  <si>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</si>
  <si>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</si>
  <si>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</si>
  <si>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</si>
  <si>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</si>
  <si>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</si>
  <si>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</si>
  <si>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</si>
  <si>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</si>
  <si>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</si>
  <si>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</si>
  <si>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</si>
  <si>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</si>
  <si>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</si>
  <si>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</si>
  <si>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</si>
  <si>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</si>
  <si>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</si>
  <si>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</si>
  <si>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</si>
  <si>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</si>
  <si>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</si>
  <si>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</si>
  <si>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</si>
  <si>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</si>
  <si>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</si>
  <si>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</si>
  <si>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</si>
  <si>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</si>
  <si>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</si>
  <si>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</si>
  <si>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</si>
  <si>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</si>
  <si>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</si>
  <si>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</si>
  <si>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</si>
  <si>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</si>
  <si>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</si>
  <si>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</si>
  <si>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</si>
  <si>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</si>
  <si>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</si>
  <si>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</si>
  <si>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</si>
  <si>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</si>
  <si>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</si>
  <si>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</si>
  <si>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</si>
  <si>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</si>
  <si>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</si>
  <si>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</si>
  <si>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</si>
  <si>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</si>
  <si>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</si>
  <si>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</si>
  <si>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</si>
  <si>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</si>
  <si>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</si>
  <si>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</si>
  <si>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</si>
  <si>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</si>
  <si>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</si>
  <si>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</si>
  <si>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</si>
  <si>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</si>
  <si>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</si>
  <si>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</si>
  <si>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</si>
  <si>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</si>
  <si>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</si>
  <si>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</si>
  <si>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</si>
  <si>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</si>
  <si>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</si>
  <si>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</si>
  <si>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</si>
  <si>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</si>
  <si>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</si>
  <si>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</si>
  <si>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</si>
  <si>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</si>
  <si>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</si>
  <si>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</si>
  <si>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</si>
  <si>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</si>
  <si>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</si>
  <si>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</si>
  <si>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</si>
  <si>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</si>
  <si>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</si>
  <si>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</si>
  <si>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</si>
  <si>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</si>
  <si>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</si>
  <si>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</si>
  <si>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</si>
  <si>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</si>
  <si>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</si>
  <si>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</si>
  <si>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</si>
  <si>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</si>
  <si>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</si>
  <si>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</si>
  <si>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</si>
  <si>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</si>
  <si>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</si>
  <si>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</si>
  <si>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</si>
  <si>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</si>
  <si>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</si>
  <si>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</si>
  <si>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</si>
  <si>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</si>
  <si>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</si>
  <si>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</si>
  <si>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</si>
  <si>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</si>
  <si>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</si>
  <si>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</si>
  <si>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</si>
  <si>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</si>
  <si>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</si>
  <si>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</si>
  <si>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</si>
  <si>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</si>
  <si>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</si>
  <si>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</si>
  <si>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</si>
  <si>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</si>
  <si>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</si>
  <si>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</si>
  <si>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</si>
  <si>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</si>
  <si>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</si>
  <si>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</si>
  <si>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</si>
  <si>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</si>
  <si>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</si>
  <si>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</si>
  <si>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</si>
  <si>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</si>
  <si>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</si>
  <si>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</si>
  <si>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</si>
  <si>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</si>
  <si>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</si>
  <si>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</si>
  <si>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</si>
  <si>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</si>
  <si>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</si>
  <si>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</si>
  <si>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</si>
  <si>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</si>
  <si>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</si>
  <si>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</si>
  <si>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</si>
  <si>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</si>
  <si>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</si>
  <si>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</si>
  <si>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</si>
  <si>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</si>
  <si>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</si>
  <si>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</si>
  <si>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</si>
  <si>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</si>
  <si>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</si>
  <si>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</si>
  <si>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</si>
  <si>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</si>
  <si>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</si>
  <si>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</si>
  <si>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</si>
  <si>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</si>
  <si>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</si>
  <si>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</si>
  <si>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</si>
  <si>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</si>
  <si>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</si>
  <si>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</si>
  <si>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</si>
  <si>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</si>
  <si>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</si>
  <si>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</si>
  <si>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</si>
  <si>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</si>
  <si>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</si>
  <si>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</si>
  <si>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</si>
  <si>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</si>
  <si>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</si>
  <si>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</si>
  <si>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</si>
  <si>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</si>
  <si>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</si>
  <si>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</si>
  <si>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</si>
  <si>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</si>
  <si>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</si>
  <si>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</si>
  <si>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</si>
  <si>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</si>
  <si>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</si>
  <si>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</si>
  <si>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</si>
  <si>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</si>
  <si>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</si>
  <si>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</si>
  <si>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</si>
  <si>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</si>
  <si>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</si>
  <si>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</si>
  <si>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</si>
  <si>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</si>
  <si>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</si>
  <si>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</si>
  <si>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</si>
  <si>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</si>
  <si>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</si>
  <si>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</si>
  <si>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</si>
  <si>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</si>
  <si>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</si>
  <si>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</si>
  <si>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</si>
  <si>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</si>
  <si>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</si>
  <si>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</si>
  <si>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</si>
  <si>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</si>
  <si>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</si>
  <si>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</si>
  <si>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</si>
  <si>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</si>
  <si>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</si>
  <si>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</si>
  <si>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</si>
  <si>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</si>
  <si>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</si>
  <si>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</si>
  <si>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</si>
  <si>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</si>
  <si>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</si>
  <si>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</si>
  <si>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</si>
  <si>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</si>
  <si>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</si>
  <si>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</si>
  <si>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</si>
  <si>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</si>
  <si>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</si>
  <si>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</si>
  <si>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</si>
  <si>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</si>
  <si>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</si>
  <si>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</si>
  <si>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</si>
  <si>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</si>
  <si>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</si>
  <si>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</si>
  <si>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</si>
  <si>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</si>
  <si>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</si>
  <si>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</si>
  <si>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</si>
  <si>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</si>
  <si>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</si>
  <si>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</si>
  <si>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</si>
  <si>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</si>
  <si>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</si>
  <si>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</si>
  <si>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</si>
  <si>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</si>
  <si>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</si>
  <si>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</si>
  <si>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</si>
  <si>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</si>
  <si>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</si>
  <si>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</si>
  <si>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</si>
  <si>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</si>
  <si>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</si>
  <si>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</si>
  <si>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</si>
  <si>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</si>
  <si>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</si>
  <si>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</si>
  <si>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</si>
  <si>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</si>
  <si>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</si>
  <si>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</si>
  <si>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</si>
  <si>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</si>
  <si>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</si>
  <si>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</si>
  <si>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</si>
  <si>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</si>
  <si>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</si>
  <si>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</si>
  <si>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</si>
  <si>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</si>
  <si>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</si>
  <si>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</si>
  <si>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</si>
  <si>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</si>
  <si>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</si>
  <si>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</si>
  <si>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</si>
  <si>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</si>
  <si>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</si>
  <si>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</si>
  <si>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</si>
  <si>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</si>
  <si>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</si>
  <si>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</si>
  <si>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</si>
  <si>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</si>
  <si>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</si>
  <si>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</si>
  <si>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</si>
  <si>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</si>
  <si>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</si>
  <si>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</si>
  <si>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</si>
  <si>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</si>
  <si>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</si>
  <si>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</si>
  <si>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</si>
  <si>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</si>
  <si>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</si>
  <si>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</si>
  <si>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</si>
  <si>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</si>
  <si>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</si>
  <si>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</si>
  <si>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</si>
  <si>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</si>
  <si>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</si>
  <si>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</si>
  <si>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</si>
  <si>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</si>
  <si>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</si>
  <si>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</si>
  <si>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</si>
  <si>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</si>
  <si>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</si>
  <si>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</si>
  <si>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</si>
  <si>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</si>
  <si>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</si>
  <si>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</si>
  <si>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</si>
  <si>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</si>
  <si>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</si>
  <si>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</si>
  <si>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</si>
  <si>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</si>
  <si>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</si>
  <si>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</si>
  <si>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</si>
  <si>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</si>
  <si>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</si>
  <si>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</si>
  <si>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</si>
  <si>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</si>
  <si>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</si>
  <si>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</si>
  <si>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</si>
  <si>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</si>
  <si>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</si>
  <si>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</si>
  <si>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</si>
  <si>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</si>
  <si>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</si>
  <si>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</si>
  <si>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</si>
  <si>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</si>
  <si>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</si>
  <si>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</si>
  <si>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</si>
  <si>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</si>
  <si>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</si>
  <si>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</si>
  <si>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</si>
  <si>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</si>
  <si>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</si>
  <si>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</si>
  <si>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</si>
  <si>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</si>
  <si>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</si>
  <si>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</si>
  <si>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</si>
  <si>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</si>
  <si>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</si>
  <si>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</si>
  <si>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</si>
  <si>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</si>
  <si>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</si>
  <si>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</si>
  <si>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张瑾秋</t>
    <phoneticPr fontId="8" type="noConversion"/>
  </si>
  <si>
    <t>zhangjinqiu@cct.cn</t>
    <phoneticPr fontId="8" type="noConversion"/>
  </si>
  <si>
    <t>预留费用，实际出票为准；</t>
    <phoneticPr fontId="8" type="noConversion"/>
  </si>
  <si>
    <t>海宁酒店（待定）</t>
    <phoneticPr fontId="8" type="noConversion"/>
  </si>
  <si>
    <t>2025抖音创作者大会
CSR</t>
    <phoneticPr fontId="8" type="noConversion"/>
  </si>
  <si>
    <t>18人</t>
    <phoneticPr fontId="8" type="noConversion"/>
  </si>
  <si>
    <t>孙铭泽</t>
    <phoneticPr fontId="8" type="noConversion"/>
  </si>
  <si>
    <t>sunmingze@bytedance.com</t>
    <phoneticPr fontId="8" type="noConversion"/>
  </si>
  <si>
    <t>2025抖音创作者大会 CSR会务接待报价单</t>
    <phoneticPr fontId="8" type="noConversion"/>
  </si>
  <si>
    <t>海宁酒店（待定）房型随机，9.20-9.23，3晚，6组*2间</t>
    <phoneticPr fontId="8" type="noConversion"/>
  </si>
  <si>
    <t>张好好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</si>
</sst>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6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sunmingze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6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6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6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7" t="s">
        <v>140</v>
      </c>
      <c r="B6" s="153" t="s">
        <v>141</v>
      </c>
      <c r="C6" s="154"/>
    </row>
    <row r="7" spans="1:21" s="149" customFormat="1">
      <c r="A7" s="217"/>
      <c r="B7" s="153" t="s">
        <v>142</v>
      </c>
      <c r="C7" s="154"/>
    </row>
    <row r="8" spans="1:21" s="149" customFormat="1">
      <c r="A8" s="217"/>
      <c r="B8" s="154" t="s">
        <v>143</v>
      </c>
      <c r="C8" s="154"/>
    </row>
    <row r="9" spans="1:21" s="149" customFormat="1" ht="19" customHeight="1">
      <c r="A9" s="217"/>
      <c r="B9" s="153" t="s">
        <v>144</v>
      </c>
      <c r="C9" s="154"/>
    </row>
    <row r="10" spans="1:21" s="149" customFormat="1" ht="19" customHeight="1">
      <c r="A10" s="217"/>
      <c r="B10" s="153" t="s">
        <v>145</v>
      </c>
      <c r="C10" s="154"/>
    </row>
    <row r="11" spans="1:21" s="149" customFormat="1" ht="19" customHeight="1">
      <c r="A11" s="217" t="s">
        <v>146</v>
      </c>
      <c r="B11" s="153" t="s">
        <v>147</v>
      </c>
      <c r="C11" s="153"/>
    </row>
    <row r="12" spans="1:21" s="149" customFormat="1">
      <c r="A12" s="217"/>
      <c r="B12" s="153" t="s">
        <v>148</v>
      </c>
      <c r="C12" s="153"/>
    </row>
    <row r="13" spans="1:21" s="149" customFormat="1">
      <c r="A13" s="217"/>
      <c r="B13" s="153" t="s">
        <v>149</v>
      </c>
      <c r="C13" s="153"/>
    </row>
    <row r="14" spans="1:21" s="149" customFormat="1">
      <c r="A14" s="217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19" t="s">
        <v>89</v>
      </c>
      <c r="Q9" s="220"/>
      <c r="R9" s="221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9" t="s">
        <v>90</v>
      </c>
      <c r="Q18" s="220"/>
      <c r="R18" s="221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9" t="s">
        <v>91</v>
      </c>
      <c r="Q27" s="220"/>
      <c r="R27" s="221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9" t="s">
        <v>94</v>
      </c>
      <c r="Q36" s="220"/>
      <c r="R36" s="221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9" t="s">
        <v>95</v>
      </c>
      <c r="Q45" s="220"/>
      <c r="R45" s="221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9" t="s">
        <v>97</v>
      </c>
      <c r="Q51" s="220"/>
      <c r="R51" s="221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9" t="s">
        <v>96</v>
      </c>
      <c r="Q60" s="220"/>
      <c r="R60" s="221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9" t="s">
        <v>134</v>
      </c>
      <c r="Q69" s="220"/>
      <c r="R69" s="221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9" t="s">
        <v>120</v>
      </c>
      <c r="Q73" s="220"/>
      <c r="R73" s="221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2" t="s">
        <v>54</v>
      </c>
      <c r="Q75" s="222"/>
      <c r="R75" s="223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9" t="s">
        <v>121</v>
      </c>
      <c r="Q79" s="220"/>
      <c r="R79" s="221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2" t="s">
        <v>133</v>
      </c>
      <c r="Q82" s="222"/>
      <c r="R82" s="223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18"/>
      <c r="L84" s="218"/>
      <c r="M84" s="218"/>
      <c r="N84" s="218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18"/>
      <c r="L85" s="218"/>
      <c r="M85" s="218"/>
      <c r="N85" s="218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F4" sqref="F4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25" t="s">
        <v>2982</v>
      </c>
      <c r="B1" s="226"/>
      <c r="C1" s="226"/>
      <c r="D1" s="226"/>
      <c r="E1" s="226"/>
      <c r="F1" s="226"/>
      <c r="G1" s="226"/>
      <c r="H1" s="227"/>
    </row>
    <row r="2" spans="1:8" ht="30">
      <c r="A2" s="4" t="s">
        <v>0</v>
      </c>
      <c r="B2" s="10" t="s">
        <v>2978</v>
      </c>
      <c r="C2" s="11" t="s">
        <v>1</v>
      </c>
      <c r="D2" s="228" t="s">
        <v>2953</v>
      </c>
      <c r="E2" s="229"/>
      <c r="F2" s="229"/>
      <c r="G2" s="230" t="s">
        <v>37</v>
      </c>
      <c r="H2" s="231"/>
    </row>
    <row r="3" spans="1:8">
      <c r="A3" s="3" t="s">
        <v>2</v>
      </c>
      <c r="B3" s="13" t="s">
        <v>2969</v>
      </c>
      <c r="C3" s="14" t="s">
        <v>3</v>
      </c>
      <c r="D3" s="228" t="s">
        <v>2979</v>
      </c>
      <c r="E3" s="229"/>
      <c r="F3" s="229"/>
      <c r="G3" s="232"/>
      <c r="H3" s="233"/>
    </row>
    <row r="4" spans="1:8">
      <c r="A4" s="3" t="s">
        <v>23</v>
      </c>
      <c r="B4" s="10" t="s">
        <v>2984</v>
      </c>
      <c r="C4" s="1" t="s">
        <v>4</v>
      </c>
      <c r="D4" s="12"/>
      <c r="E4" s="14" t="s">
        <v>5</v>
      </c>
      <c r="F4" s="212"/>
      <c r="G4" s="36"/>
      <c r="H4" s="37" t="s">
        <v>17</v>
      </c>
    </row>
    <row r="5" spans="1:8" ht="16">
      <c r="A5" s="3" t="s">
        <v>24</v>
      </c>
      <c r="B5" s="10" t="s">
        <v>2980</v>
      </c>
      <c r="C5" s="1" t="s">
        <v>4</v>
      </c>
      <c r="D5" s="12"/>
      <c r="E5" s="14" t="s">
        <v>5</v>
      </c>
      <c r="F5" s="212" t="s">
        <v>2981</v>
      </c>
      <c r="G5" s="38"/>
      <c r="H5" s="37" t="s">
        <v>18</v>
      </c>
    </row>
    <row r="6" spans="1:8">
      <c r="A6" s="3" t="s">
        <v>6</v>
      </c>
      <c r="B6" s="234" t="s">
        <v>2952</v>
      </c>
      <c r="C6" s="235"/>
      <c r="D6" s="235"/>
      <c r="E6" s="235"/>
      <c r="F6" s="235"/>
      <c r="G6" s="39"/>
      <c r="H6" s="37" t="s">
        <v>19</v>
      </c>
    </row>
    <row r="7" spans="1:8" ht="16">
      <c r="A7" s="3" t="s">
        <v>7</v>
      </c>
      <c r="B7" s="10" t="s">
        <v>2974</v>
      </c>
      <c r="C7" s="1" t="s">
        <v>4</v>
      </c>
      <c r="D7" s="12">
        <v>15811515220</v>
      </c>
      <c r="E7" s="14" t="s">
        <v>5</v>
      </c>
      <c r="F7" s="199" t="s">
        <v>2975</v>
      </c>
      <c r="G7" s="40"/>
      <c r="H7" s="37" t="s">
        <v>20</v>
      </c>
    </row>
    <row r="8" spans="1:8" ht="18">
      <c r="A8" s="224" t="s">
        <v>38</v>
      </c>
      <c r="B8" s="224"/>
      <c r="C8" s="224"/>
      <c r="D8" s="224"/>
      <c r="E8" s="224"/>
      <c r="F8" s="224"/>
      <c r="G8" s="224"/>
      <c r="H8" s="224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'2.报价结算清单'!P6</f>
        <v>55154.06</v>
      </c>
      <c r="D14" s="6">
        <f t="shared" si="1"/>
        <v>0.9426648398101507</v>
      </c>
      <c r="E14" s="8">
        <f>'2.报价结算清单'!Q6</f>
        <v>0</v>
      </c>
      <c r="F14" s="6" t="str">
        <f t="shared" si="0"/>
        <v/>
      </c>
      <c r="G14" s="8">
        <f t="shared" si="2"/>
        <v>-55154.06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8" t="s">
        <v>53</v>
      </c>
      <c r="B19" s="239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0" t="s">
        <v>87</v>
      </c>
      <c r="B20" s="239"/>
      <c r="C20" s="9" t="str">
        <f>'2.报价结算清单'!J14</f>
        <v>0</v>
      </c>
      <c r="D20" s="6">
        <f>IFERROR(_xlfn.IFNA(C20/$C$22,""),"")</f>
        <v>0</v>
      </c>
      <c r="E20" s="9" t="str">
        <f>'2.报价结算清单'!K14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8" t="s">
        <v>13</v>
      </c>
      <c r="B21" s="238"/>
      <c r="C21" s="9">
        <f>'2.报价结算清单'!P16</f>
        <v>58508.6636</v>
      </c>
      <c r="D21" s="6">
        <f>IFERROR(_xlfn.IFNA(C21/$C$22,""),"")</f>
        <v>1</v>
      </c>
      <c r="E21" s="9">
        <f>'2.报价结算清单'!Q16</f>
        <v>0</v>
      </c>
      <c r="F21" s="6" t="str">
        <f>IFERROR(_xlfn.IFNA(E21/$E$22,""),"")</f>
        <v/>
      </c>
      <c r="G21" s="8">
        <f>IFERROR(E21-C21,"")</f>
        <v>-58508.6636</v>
      </c>
      <c r="H21" s="5"/>
    </row>
    <row r="22" spans="1:8">
      <c r="A22" s="236" t="s">
        <v>42</v>
      </c>
      <c r="B22" s="236"/>
      <c r="C22" s="237">
        <f>'2.报价结算清单'!P16</f>
        <v>58508.6636</v>
      </c>
      <c r="D22" s="237"/>
      <c r="E22" s="237">
        <f>'2.报价结算清单'!Q16</f>
        <v>0</v>
      </c>
      <c r="F22" s="237"/>
      <c r="G22" s="7">
        <f>IFERROR(E22-C22,"")</f>
        <v>-58508.6636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5" r:id="rId2" xr:uid="{335724B8-C9A8-0F4C-8039-06860D2F241C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20"/>
  <sheetViews>
    <sheetView topLeftCell="G1" zoomScaleNormal="55" workbookViewId="0">
      <selection activeCell="O3" sqref="O3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93</v>
      </c>
      <c r="B2" s="200" t="s">
        <v>2957</v>
      </c>
      <c r="C2" s="128" t="s">
        <v>2959</v>
      </c>
      <c r="D2" s="128" t="s">
        <v>2954</v>
      </c>
      <c r="E2" s="128" t="s">
        <v>129</v>
      </c>
      <c r="F2" s="174"/>
      <c r="G2" s="128" t="str">
        <f>_xlfn.IFNA(IF(VLOOKUP($F2,'3.框架内物料'!$A:$E,2,0)=0,"请勿填写",VLOOKUP($F2,'3.框架内物料'!$A:$E,2,0)),"")</f>
        <v/>
      </c>
      <c r="H2" s="201" t="s">
        <v>2976</v>
      </c>
      <c r="I2" s="128" t="s">
        <v>2955</v>
      </c>
      <c r="J2" s="188" t="s">
        <v>2956</v>
      </c>
      <c r="K2" s="188" t="str">
        <f>_xlfn.IFNA(VLOOKUP($F2,'3.框架内物料'!$A:$F,6,0),"")</f>
        <v/>
      </c>
      <c r="L2" s="67">
        <v>17</v>
      </c>
      <c r="M2" s="67"/>
      <c r="N2" s="67">
        <v>1</v>
      </c>
      <c r="O2" s="67"/>
      <c r="P2" s="175">
        <f t="shared" ref="P2:P4" si="0">IFERROR(N2*L2*J2,0)</f>
        <v>42500</v>
      </c>
      <c r="Q2" s="175">
        <f t="shared" ref="Q2" si="1">IFERROR(O2*M2*K2,0)</f>
        <v>0</v>
      </c>
      <c r="R2" s="176">
        <f t="shared" ref="R2:R3" si="2">Q2-P2</f>
        <v>-42500</v>
      </c>
      <c r="S2" s="177">
        <v>0.06</v>
      </c>
      <c r="T2" s="177">
        <v>0</v>
      </c>
      <c r="U2" s="179"/>
      <c r="V2" s="178"/>
    </row>
    <row r="3" spans="1:25" s="214" customFormat="1" ht="22" customHeight="1">
      <c r="A3" s="204" t="s">
        <v>93</v>
      </c>
      <c r="B3" s="200" t="s">
        <v>2958</v>
      </c>
      <c r="C3" s="200" t="s">
        <v>2977</v>
      </c>
      <c r="D3" s="200" t="s">
        <v>2977</v>
      </c>
      <c r="E3" s="200" t="s">
        <v>129</v>
      </c>
      <c r="F3" s="205"/>
      <c r="G3" s="200" t="str">
        <f>_xlfn.IFNA(IF(VLOOKUP($F3,'3.框架内物料'!$A:$E,2,0)=0,"请勿填写",VLOOKUP($F3,'3.框架内物料'!$A:$E,2,0)),"")</f>
        <v/>
      </c>
      <c r="H3" s="206" t="s">
        <v>2983</v>
      </c>
      <c r="I3" s="200" t="s">
        <v>2960</v>
      </c>
      <c r="J3" s="207" t="s">
        <v>2968</v>
      </c>
      <c r="K3" s="207" t="str">
        <f>_xlfn.IFNA(VLOOKUP($F3,'3.框架内物料'!$A:$F,6,0),"")</f>
        <v/>
      </c>
      <c r="L3" s="208">
        <v>12</v>
      </c>
      <c r="M3" s="208"/>
      <c r="N3" s="208">
        <v>3</v>
      </c>
      <c r="O3" s="208"/>
      <c r="P3" s="209">
        <f t="shared" si="0"/>
        <v>12600</v>
      </c>
      <c r="Q3" s="209">
        <f t="shared" ref="Q3" si="3">IFERROR(O3*M3*K3,0)</f>
        <v>0</v>
      </c>
      <c r="R3" s="210">
        <f t="shared" si="2"/>
        <v>-12600</v>
      </c>
      <c r="S3" s="177">
        <v>0.06</v>
      </c>
      <c r="T3" s="177">
        <v>0</v>
      </c>
      <c r="U3" s="213"/>
      <c r="V3" s="204"/>
      <c r="Y3" s="215"/>
    </row>
    <row r="4" spans="1:25" s="211" customFormat="1" ht="22" customHeight="1">
      <c r="A4" s="204" t="s">
        <v>93</v>
      </c>
      <c r="B4" s="204" t="s">
        <v>2970</v>
      </c>
      <c r="C4" s="204" t="s">
        <v>2970</v>
      </c>
      <c r="D4" s="200" t="s">
        <v>2971</v>
      </c>
      <c r="E4" s="200" t="s">
        <v>129</v>
      </c>
      <c r="F4" s="205"/>
      <c r="G4" s="200"/>
      <c r="H4" s="206" t="s">
        <v>2972</v>
      </c>
      <c r="I4" s="200" t="s">
        <v>2961</v>
      </c>
      <c r="J4" s="207" t="s">
        <v>2973</v>
      </c>
      <c r="K4" s="207"/>
      <c r="L4" s="208">
        <v>17</v>
      </c>
      <c r="M4" s="208"/>
      <c r="N4" s="208">
        <v>30</v>
      </c>
      <c r="O4" s="208"/>
      <c r="P4" s="175">
        <f t="shared" si="0"/>
        <v>54.059999999999995</v>
      </c>
      <c r="Q4" s="209">
        <f t="shared" ref="Q4" si="4">IFERROR(O4*M4*K4,0)</f>
        <v>0</v>
      </c>
      <c r="R4" s="210">
        <f t="shared" ref="R4" si="5">Q4-P4</f>
        <v>-54.059999999999995</v>
      </c>
      <c r="S4" s="177">
        <v>0.06</v>
      </c>
      <c r="T4" s="177">
        <v>0</v>
      </c>
      <c r="U4" s="204"/>
      <c r="V4" s="204"/>
    </row>
    <row r="5" spans="1:25" s="75" customFormat="1" ht="18">
      <c r="A5" s="57"/>
      <c r="B5" s="61"/>
      <c r="C5" s="61"/>
      <c r="D5" s="61"/>
      <c r="E5" s="61"/>
      <c r="F5" s="58"/>
      <c r="G5" s="58"/>
      <c r="H5" s="58"/>
      <c r="I5" s="58"/>
      <c r="J5" s="189"/>
      <c r="K5" s="189"/>
      <c r="L5" s="58"/>
      <c r="M5" s="58"/>
      <c r="N5" s="58"/>
      <c r="O5" s="58"/>
      <c r="P5" s="243" t="s">
        <v>95</v>
      </c>
      <c r="Q5" s="244"/>
      <c r="R5" s="245"/>
      <c r="S5" s="165"/>
      <c r="T5" s="165"/>
      <c r="U5" s="60"/>
      <c r="V5" s="60"/>
    </row>
    <row r="6" spans="1:25" s="75" customFormat="1" ht="18">
      <c r="A6" s="54"/>
      <c r="B6" s="62"/>
      <c r="C6" s="62"/>
      <c r="D6" s="62"/>
      <c r="E6" s="62"/>
      <c r="F6" s="55"/>
      <c r="G6" s="55"/>
      <c r="H6" s="55"/>
      <c r="I6" s="55"/>
      <c r="J6" s="190"/>
      <c r="K6" s="190"/>
      <c r="L6" s="55"/>
      <c r="M6" s="55"/>
      <c r="N6" s="55"/>
      <c r="O6" s="55"/>
      <c r="P6" s="158">
        <f>SUM(P2:P4)</f>
        <v>55154.06</v>
      </c>
      <c r="Q6" s="158">
        <f>SUM(Q2:Q4)</f>
        <v>0</v>
      </c>
      <c r="R6" s="158">
        <f>Q6-P6</f>
        <v>-55154.06</v>
      </c>
      <c r="S6" s="166"/>
      <c r="T6" s="171"/>
      <c r="U6" s="55"/>
      <c r="V6" s="56"/>
    </row>
    <row r="7" spans="1:25" s="180" customFormat="1" ht="22" customHeight="1">
      <c r="A7" s="181" t="s">
        <v>2940</v>
      </c>
      <c r="B7" s="178" t="s">
        <v>2966</v>
      </c>
      <c r="C7" s="178" t="s">
        <v>2966</v>
      </c>
      <c r="D7" s="178" t="s">
        <v>2966</v>
      </c>
      <c r="E7" s="128" t="s">
        <v>132</v>
      </c>
      <c r="F7" s="174" t="s">
        <v>2942</v>
      </c>
      <c r="G7" s="128" t="str">
        <f>_xlfn.IFNA(IF(VLOOKUP($F7,'[1]3.框架内物料'!$A:$E,2,0)=0,"请勿填写",VLOOKUP($F7,'[1]3.框架内物料'!$A:$E,2,0)),"")</f>
        <v>M939882610784714754</v>
      </c>
      <c r="H7" s="201" t="str">
        <f>_xlfn.IFNA(VLOOKUP($F7,'[1]3.框架内物料'!$A:$E,4,0),"")</f>
        <v>服务费税费-项目服务费-项目服务费-机票、用车、用餐等第三方资源-服务费比例</v>
      </c>
      <c r="I7" s="128" t="str">
        <f>_xlfn.IFNA(VLOOKUP($F7,'[1]3.框架内物料'!$A:$E,5,0),"")</f>
        <v>项</v>
      </c>
      <c r="J7" s="188">
        <f>_xlfn.IFNA(VLOOKUP($F7,'[1]3.框架内物料'!$A:$F,6,0),"")</f>
        <v>0.06</v>
      </c>
      <c r="K7" s="188">
        <f>_xlfn.IFNA(VLOOKUP($F7,'[1]3.框架内物料'!$A:$F,6,0),"")</f>
        <v>0.06</v>
      </c>
      <c r="L7" s="67">
        <f>P6-P3</f>
        <v>42554.06</v>
      </c>
      <c r="M7" s="67"/>
      <c r="N7" s="67">
        <v>1</v>
      </c>
      <c r="O7" s="67"/>
      <c r="P7" s="175">
        <f>IFERROR(N7*L7*J7,0)</f>
        <v>2553.2435999999998</v>
      </c>
      <c r="Q7" s="175">
        <f t="shared" ref="Q7:Q9" si="6">IFERROR(O7*M7*K7,0)</f>
        <v>0</v>
      </c>
      <c r="R7" s="182">
        <f t="shared" ref="R7" si="7">Q7-P7</f>
        <v>-2553.2435999999998</v>
      </c>
      <c r="S7" s="177">
        <v>0.06</v>
      </c>
      <c r="T7" s="177">
        <v>0</v>
      </c>
      <c r="U7" s="179" t="s">
        <v>2964</v>
      </c>
      <c r="V7" s="178"/>
    </row>
    <row r="8" spans="1:25" s="180" customFormat="1" ht="22" customHeight="1">
      <c r="A8" s="181" t="s">
        <v>2940</v>
      </c>
      <c r="B8" s="178" t="s">
        <v>2966</v>
      </c>
      <c r="C8" s="178" t="s">
        <v>2966</v>
      </c>
      <c r="D8" s="178" t="s">
        <v>2966</v>
      </c>
      <c r="E8" s="128" t="s">
        <v>132</v>
      </c>
      <c r="F8" s="174" t="s">
        <v>2941</v>
      </c>
      <c r="G8" s="128" t="str">
        <f>_xlfn.IFNA(IF(VLOOKUP($F8,'[1]3.框架内物料'!$A:$E,2,0)=0,"请勿填写",VLOOKUP($F8,'[1]3.框架内物料'!$A:$E,2,0)),"")</f>
        <v>M939882699754164225</v>
      </c>
      <c r="H8" s="201" t="str">
        <f>_xlfn.IFNA(VLOOKUP($F8,'[1]3.框架内物料'!$A:$E,4,0),"")</f>
        <v>服务费税费-项目服务费-项目服务费-场地采买、酒店用房服务费-服务费比例</v>
      </c>
      <c r="I8" s="128" t="str">
        <f>_xlfn.IFNA(VLOOKUP($F8,'[1]3.框架内物料'!$A:$E,5,0),"")</f>
        <v>项</v>
      </c>
      <c r="J8" s="188">
        <f>_xlfn.IFNA(VLOOKUP($F8,'[1]3.框架内物料'!$A:$F,6,0),"")</f>
        <v>0.06</v>
      </c>
      <c r="K8" s="188">
        <f>_xlfn.IFNA(VLOOKUP($F8,'[1]3.框架内物料'!$A:$F,6,0),"")</f>
        <v>0.06</v>
      </c>
      <c r="L8" s="67">
        <f>P3</f>
        <v>12600</v>
      </c>
      <c r="M8" s="67"/>
      <c r="N8" s="67">
        <v>1</v>
      </c>
      <c r="O8" s="67"/>
      <c r="P8" s="175">
        <f>IFERROR(N8*L8*J8,0)</f>
        <v>756</v>
      </c>
      <c r="Q8" s="175">
        <f t="shared" si="6"/>
        <v>0</v>
      </c>
      <c r="R8" s="182">
        <f t="shared" ref="R8" si="8">Q8-P8</f>
        <v>-756</v>
      </c>
      <c r="S8" s="177">
        <v>0.06</v>
      </c>
      <c r="T8" s="177">
        <v>0</v>
      </c>
      <c r="U8" s="179" t="s">
        <v>2963</v>
      </c>
      <c r="V8" s="178"/>
    </row>
    <row r="9" spans="1:25" s="180" customFormat="1" ht="22" customHeight="1">
      <c r="A9" s="181" t="s">
        <v>2947</v>
      </c>
      <c r="B9" s="178" t="s">
        <v>2967</v>
      </c>
      <c r="C9" s="178" t="s">
        <v>2967</v>
      </c>
      <c r="D9" s="178" t="s">
        <v>2967</v>
      </c>
      <c r="E9" s="128" t="s">
        <v>132</v>
      </c>
      <c r="F9" s="174" t="s">
        <v>2946</v>
      </c>
      <c r="G9" s="128" t="str">
        <f>_xlfn.IFNA(IF(VLOOKUP($F9,'[1]3.框架内物料'!$A:$E,2,0)=0,"请勿填写",VLOOKUP($F9,'[1]3.框架内物料'!$A:$E,2,0)),"")</f>
        <v>M939882723582132226</v>
      </c>
      <c r="H9" s="201" t="str">
        <f>_xlfn.IFNA(VLOOKUP($F9,'[1]3.框架内物料'!$A:$E,4,0),"")</f>
        <v>服务费税费-项目税费-项目税费-机票、用车、用餐等第三方资源-增值税比例</v>
      </c>
      <c r="I9" s="128" t="str">
        <f>_xlfn.IFNA(VLOOKUP($F9,'[1]3.框架内物料'!$A:$E,5,0),"")</f>
        <v>项</v>
      </c>
      <c r="J9" s="188">
        <f>_xlfn.IFNA(VLOOKUP($F9,'[1]3.框架内物料'!$A:$F,6,0),"")</f>
        <v>0.06</v>
      </c>
      <c r="K9" s="188">
        <f>_xlfn.IFNA(VLOOKUP($F9,'[1]3.框架内物料'!$A:$F,6,0),"")</f>
        <v>0.06</v>
      </c>
      <c r="L9" s="67">
        <f>P8</f>
        <v>756</v>
      </c>
      <c r="M9" s="67"/>
      <c r="N9" s="67">
        <v>1</v>
      </c>
      <c r="O9" s="67"/>
      <c r="P9" s="175">
        <f>IFERROR(N9*L9*J9,0)</f>
        <v>45.36</v>
      </c>
      <c r="Q9" s="175">
        <f t="shared" si="6"/>
        <v>0</v>
      </c>
      <c r="R9" s="182">
        <f t="shared" ref="R9" si="9">Q9-P9</f>
        <v>-45.36</v>
      </c>
      <c r="S9" s="177">
        <v>0.06</v>
      </c>
      <c r="T9" s="177">
        <v>0</v>
      </c>
      <c r="U9" s="179" t="s">
        <v>2962</v>
      </c>
      <c r="V9" s="178"/>
    </row>
    <row r="10" spans="1:25" s="75" customFormat="1" ht="18">
      <c r="A10" s="57"/>
      <c r="B10" s="61"/>
      <c r="C10" s="61"/>
      <c r="D10" s="61"/>
      <c r="E10" s="61"/>
      <c r="F10" s="58"/>
      <c r="G10" s="58"/>
      <c r="H10" s="58"/>
      <c r="I10" s="58"/>
      <c r="J10" s="189"/>
      <c r="K10" s="189"/>
      <c r="L10" s="58"/>
      <c r="M10" s="58"/>
      <c r="N10" s="58"/>
      <c r="O10" s="58"/>
      <c r="P10" s="243" t="s">
        <v>121</v>
      </c>
      <c r="Q10" s="244"/>
      <c r="R10" s="245"/>
      <c r="S10" s="165"/>
      <c r="T10" s="165"/>
      <c r="U10" s="60"/>
      <c r="V10" s="60" t="s">
        <v>170</v>
      </c>
    </row>
    <row r="11" spans="1:25" s="75" customFormat="1" ht="18">
      <c r="A11" s="54"/>
      <c r="B11" s="62"/>
      <c r="C11" s="62"/>
      <c r="D11" s="62"/>
      <c r="E11" s="62"/>
      <c r="F11" s="55"/>
      <c r="G11" s="55"/>
      <c r="H11" s="55"/>
      <c r="I11" s="55"/>
      <c r="J11" s="190"/>
      <c r="K11" s="190"/>
      <c r="L11" s="55"/>
      <c r="M11" s="55"/>
      <c r="N11" s="55"/>
      <c r="O11" s="55"/>
      <c r="P11" s="158">
        <f>SUM(P7:P9)</f>
        <v>3354.6035999999999</v>
      </c>
      <c r="Q11" s="158">
        <f>SUM(Q7:Q9)</f>
        <v>0</v>
      </c>
      <c r="R11" s="158">
        <f>Q11-P11</f>
        <v>-3354.6035999999999</v>
      </c>
      <c r="S11" s="166"/>
      <c r="T11" s="171"/>
      <c r="U11" s="55"/>
      <c r="V11" s="56"/>
    </row>
    <row r="12" spans="1:25" s="75" customFormat="1" ht="18">
      <c r="A12" s="59"/>
      <c r="B12" s="85"/>
      <c r="C12" s="85"/>
      <c r="D12" s="85"/>
      <c r="E12" s="85"/>
      <c r="F12" s="86"/>
      <c r="G12" s="85"/>
      <c r="H12" s="202"/>
      <c r="I12" s="85"/>
      <c r="J12" s="191"/>
      <c r="K12" s="192"/>
      <c r="L12" s="89"/>
      <c r="M12" s="89"/>
      <c r="N12" s="89"/>
      <c r="O12" s="89"/>
      <c r="P12" s="241" t="s">
        <v>169</v>
      </c>
      <c r="Q12" s="241"/>
      <c r="R12" s="242"/>
      <c r="S12" s="167"/>
      <c r="T12" s="167"/>
      <c r="U12" s="141"/>
      <c r="V12" s="141"/>
    </row>
    <row r="13" spans="1:25" ht="18">
      <c r="A13" s="90"/>
      <c r="B13" s="92"/>
      <c r="C13" s="92"/>
      <c r="D13" s="92"/>
      <c r="E13" s="92"/>
      <c r="F13" s="91"/>
      <c r="G13" s="91"/>
      <c r="H13" s="91"/>
      <c r="I13" s="91"/>
      <c r="J13" s="193"/>
      <c r="K13" s="193"/>
      <c r="L13" s="91"/>
      <c r="M13" s="91"/>
      <c r="N13" s="91"/>
      <c r="O13" s="91"/>
      <c r="P13" s="159">
        <f>SUM(P11,P6)</f>
        <v>58508.6636</v>
      </c>
      <c r="Q13" s="159">
        <f>SUM(Q11,Q6)</f>
        <v>0</v>
      </c>
      <c r="R13" s="159">
        <f>Q13-P13</f>
        <v>-58508.6636</v>
      </c>
      <c r="S13" s="168"/>
      <c r="T13" s="172"/>
      <c r="U13" s="94"/>
      <c r="V13" s="95"/>
    </row>
    <row r="14" spans="1:25" s="180" customFormat="1" ht="74.5" customHeight="1">
      <c r="A14" s="173" t="s">
        <v>126</v>
      </c>
      <c r="B14" s="183"/>
      <c r="C14" s="183"/>
      <c r="D14" s="183"/>
      <c r="E14" s="173" t="s">
        <v>126</v>
      </c>
      <c r="F14" s="183"/>
      <c r="G14" s="183"/>
      <c r="H14" s="184" t="s">
        <v>127</v>
      </c>
      <c r="I14" s="128" t="s">
        <v>15</v>
      </c>
      <c r="J14" s="198" t="s">
        <v>2965</v>
      </c>
      <c r="K14" s="198" t="s">
        <v>2965</v>
      </c>
      <c r="L14" s="185">
        <v>1</v>
      </c>
      <c r="M14" s="185">
        <v>1</v>
      </c>
      <c r="N14" s="185">
        <v>1</v>
      </c>
      <c r="O14" s="185">
        <v>1</v>
      </c>
      <c r="P14" s="175">
        <f>J14*L14*N14</f>
        <v>0</v>
      </c>
      <c r="Q14" s="176">
        <f>K14*M14*O14</f>
        <v>0</v>
      </c>
      <c r="R14" s="176">
        <f>Q14-P14</f>
        <v>0</v>
      </c>
      <c r="S14" s="177">
        <v>0.06</v>
      </c>
      <c r="T14" s="177">
        <v>0</v>
      </c>
      <c r="U14" s="179"/>
      <c r="V14" s="179"/>
    </row>
    <row r="15" spans="1:25" s="75" customFormat="1" ht="18">
      <c r="A15" s="59"/>
      <c r="B15" s="85"/>
      <c r="C15" s="85"/>
      <c r="D15" s="85"/>
      <c r="E15" s="85"/>
      <c r="F15" s="86"/>
      <c r="G15" s="85"/>
      <c r="H15" s="202"/>
      <c r="I15" s="85"/>
      <c r="J15" s="191"/>
      <c r="K15" s="192"/>
      <c r="L15" s="89"/>
      <c r="M15" s="89"/>
      <c r="N15" s="89"/>
      <c r="O15" s="89"/>
      <c r="P15" s="241" t="s">
        <v>133</v>
      </c>
      <c r="Q15" s="241"/>
      <c r="R15" s="242"/>
      <c r="S15" s="167"/>
      <c r="T15" s="167"/>
      <c r="U15" s="141"/>
      <c r="V15" s="141"/>
    </row>
    <row r="16" spans="1:25" ht="18">
      <c r="A16" s="90"/>
      <c r="B16" s="92"/>
      <c r="C16" s="92"/>
      <c r="D16" s="92"/>
      <c r="E16" s="92"/>
      <c r="F16" s="91"/>
      <c r="G16" s="91"/>
      <c r="H16" s="91"/>
      <c r="I16" s="91"/>
      <c r="J16" s="193"/>
      <c r="K16" s="193"/>
      <c r="L16" s="91"/>
      <c r="M16" s="91"/>
      <c r="N16" s="91"/>
      <c r="O16" s="91"/>
      <c r="P16" s="159">
        <f>SUM(P13,P14)</f>
        <v>58508.6636</v>
      </c>
      <c r="Q16" s="159">
        <f>SUM(Q13,Q14)</f>
        <v>0</v>
      </c>
      <c r="R16" s="159">
        <f>Q16-P16</f>
        <v>-58508.6636</v>
      </c>
      <c r="S16" s="168"/>
      <c r="T16" s="172"/>
      <c r="U16" s="94"/>
      <c r="V16" s="95"/>
    </row>
    <row r="17" spans="1:20" ht="54" customHeight="1">
      <c r="A17" s="99"/>
      <c r="C17" s="100"/>
      <c r="D17" s="100"/>
      <c r="E17" s="100"/>
      <c r="F17" s="99"/>
      <c r="G17" s="99"/>
      <c r="H17" s="99"/>
      <c r="I17" s="99"/>
      <c r="J17" s="194"/>
      <c r="K17" s="218"/>
      <c r="L17" s="218"/>
      <c r="M17" s="218"/>
      <c r="N17" s="218"/>
      <c r="P17" s="160">
        <f>SUMIF(E1:E13,"框架内",P1:P13)/(P16-P14)</f>
        <v>5.7335160189849216E-2</v>
      </c>
      <c r="Q17" s="160" t="e">
        <f>SUMIF(E1:E13,"框架内",Q1:Q13)/(Q16-Q14)</f>
        <v>#DIV/0!</v>
      </c>
      <c r="R17" s="161" t="s">
        <v>100</v>
      </c>
      <c r="S17" s="169"/>
      <c r="T17" s="169"/>
    </row>
    <row r="18" spans="1:20" ht="54" customHeight="1">
      <c r="A18" s="99"/>
      <c r="C18" s="100"/>
      <c r="D18" s="100"/>
      <c r="E18" s="100"/>
      <c r="F18" s="99"/>
      <c r="G18" s="99"/>
      <c r="H18" s="99"/>
      <c r="I18" s="99"/>
      <c r="J18" s="194"/>
      <c r="K18" s="218"/>
      <c r="L18" s="218"/>
      <c r="M18" s="218"/>
      <c r="N18" s="218"/>
      <c r="P18" s="160">
        <f ca="1">SUMIF(E1:E14,"框架外",P1:P13)/(P16-P14)</f>
        <v>0</v>
      </c>
      <c r="Q18" s="160" t="e">
        <f ca="1">SUMIF(E1:E14,"框架外",Q1:Q13)/(Q16-Q14)</f>
        <v>#DIV/0!</v>
      </c>
      <c r="R18" s="161" t="s">
        <v>99</v>
      </c>
      <c r="S18" s="169"/>
      <c r="T18" s="169"/>
    </row>
    <row r="19" spans="1:20" ht="54" customHeight="1">
      <c r="A19" s="99"/>
      <c r="C19" s="100"/>
      <c r="D19" s="100"/>
      <c r="E19" s="100"/>
      <c r="F19" s="99"/>
      <c r="G19" s="99"/>
      <c r="H19" s="99"/>
      <c r="I19" s="99"/>
      <c r="J19" s="194"/>
      <c r="P19" s="160">
        <f ca="1">SUMIF(E1:E14,"据实结算",P1:P13)/(P16-P14)</f>
        <v>0.9426648398101507</v>
      </c>
      <c r="Q19" s="160" t="e">
        <f ca="1">SUMIF(E1:E14,"据实结算",Q1:Q13)/(Q16-Q14)</f>
        <v>#DIV/0!</v>
      </c>
      <c r="R19" s="161" t="s">
        <v>98</v>
      </c>
      <c r="S19" s="169"/>
      <c r="T19" s="169"/>
    </row>
    <row r="20" spans="1:20">
      <c r="K20" s="197"/>
      <c r="L20" s="104"/>
      <c r="M20" s="104"/>
      <c r="N20" s="104"/>
    </row>
  </sheetData>
  <sheetProtection formatCells="0" formatColumns="0" formatRows="0" insertRows="0" insertHyperlinks="0" deleteRows="0" autoFilter="0"/>
  <mergeCells count="6">
    <mergeCell ref="K17:N17"/>
    <mergeCell ref="K18:N18"/>
    <mergeCell ref="P15:R15"/>
    <mergeCell ref="P12:R12"/>
    <mergeCell ref="P5:R5"/>
    <mergeCell ref="P10:R10"/>
  </mergeCells>
  <phoneticPr fontId="8" type="noConversion"/>
  <conditionalFormatting sqref="A2:A6 A10:A12">
    <cfRule type="containsText" dxfId="3" priority="11" operator="containsText" text="填写">
      <formula>NOT(ISERROR(SEARCH("填写",A2)))</formula>
    </cfRule>
  </conditionalFormatting>
  <conditionalFormatting sqref="A7:A9">
    <cfRule type="containsText" dxfId="2" priority="1" operator="containsText" text="填写">
      <formula>NOT(ISERROR(SEARCH("填写",A7)))</formula>
    </cfRule>
  </conditionalFormatting>
  <conditionalFormatting sqref="A14:A15">
    <cfRule type="containsText" dxfId="1" priority="12" operator="containsText" text="填写">
      <formula>NOT(ISERROR(SEARCH("填写",A14)))</formula>
    </cfRule>
  </conditionalFormatting>
  <conditionalFormatting sqref="E14">
    <cfRule type="containsText" dxfId="0" priority="13" operator="containsText" text="填写">
      <formula>NOT(ISERROR(SEARCH("填写",E14)))</formula>
    </cfRule>
  </conditionalFormatting>
  <dataValidations count="7">
    <dataValidation type="list" allowBlank="1" showInputMessage="1" showErrorMessage="1" sqref="H16" xr:uid="{00000000-0002-0000-0100-000000000000}">
      <formula1>"是,否"</formula1>
    </dataValidation>
    <dataValidation type="list" allowBlank="1" showInputMessage="1" showErrorMessage="1" sqref="K16" xr:uid="{C24F6F68-857E-5647-839A-4F75562B89C0}">
      <formula1>"0%,1%,3%,6%,13%"</formula1>
    </dataValidation>
    <dataValidation type="list" allowBlank="1" showInputMessage="1" showErrorMessage="1" sqref="D16" xr:uid="{9D1B43E1-175E-4C49-8176-43558324F529}">
      <formula1>"CNY, USD, JPY , HKD"</formula1>
    </dataValidation>
    <dataValidation type="list" allowBlank="1" showInputMessage="1" showErrorMessage="1" sqref="S14 S7:S9 S2:S4" xr:uid="{D7CC39CF-95DC-A64C-A7F7-4CBF33920DCC}">
      <formula1>"0%,1%,3%,6%,9%"</formula1>
    </dataValidation>
    <dataValidation type="list" allowBlank="1" showInputMessage="1" showErrorMessage="1" sqref="A14 E2:E1048576" xr:uid="{E31F6826-CA0D-4785-A20D-8ABED6E0F88E}">
      <formula1>"框架内,框架外,据实结算"</formula1>
    </dataValidation>
    <dataValidation type="list" allowBlank="1" showInputMessage="1" showErrorMessage="1" sqref="A15:A1048576 A2:A13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F15 F12 F7:F9 F2:F4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7" activePane="bottomLeft" state="frozen"/>
      <selection activeCell="C23" sqref="C23:D23"/>
      <selection pane="bottomLeft" activeCell="D532" sqref="D532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2025-08-18T07:31:00Z</dcterms:modified>
</cp:coreProperties>
</file>