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chriskurogi/Desktop/快手/康辉 - 2024快手光合创作者大会接待项目/报价/"/>
    </mc:Choice>
  </mc:AlternateContent>
  <xr:revisionPtr revIDLastSave="0" documentId="13_ncr:1_{65EAC351-D815-E245-875F-D5ED7FA0D301}" xr6:coauthVersionLast="47" xr6:coauthVersionMax="47" xr10:uidLastSave="{00000000-0000-0000-0000-000000000000}"/>
  <workbookProtection workbookAlgorithmName="SHA-512" workbookHashValue="vdoAmUGsRTqNAx02aN6LLFt9RtwR/oYgWxZiZh2CpxdcCfmvKWpKrwnoSJP0CQKcH8F/tsAlULFZmUAT2qNpmw==" workbookSaltValue="w1kR86itPG8AcqYLxUsX2A==" workbookSpinCount="100000" lockStructure="1"/>
  <bookViews>
    <workbookView xWindow="0" yWindow="740" windowWidth="29400" windowHeight="17120" activeTab="1" xr2:uid="{293C734A-62D1-9C40-BE97-560E51D23380}"/>
  </bookViews>
  <sheets>
    <sheet name="汇总" sheetId="11" r:id="rId1"/>
    <sheet name="报价单拟制" sheetId="6" r:id="rId2"/>
    <sheet name="需求分类占比分析" sheetId="5" state="hidden" r:id="rId3"/>
    <sheet name="常用条目" sheetId="9" state="hidden" r:id="rId4"/>
    <sheet name="非常用条目" sheetId="10" state="hidden" r:id="rId5"/>
    <sheet name="地面交通-数量预估" sheetId="7" state="hidden" r:id="rId6"/>
    <sheet name="人员费用-数量预估" sheetId="8" state="hidden" r:id="rId7"/>
    <sheet name="物料-数量预估" sheetId="12" state="hidden" r:id="rId8"/>
    <sheet name="年度" sheetId="2" state="hidden" r:id="rId9"/>
    <sheet name="100万以上" sheetId="1" state="hidden" r:id="rId10"/>
    <sheet name="100万以下项目" sheetId="3" state="hidden" r:id="rId11"/>
  </sheets>
  <externalReferences>
    <externalReference r:id="rId12"/>
  </externalReferences>
  <definedNames>
    <definedName name="_xlnm._FilterDatabase" localSheetId="5" hidden="1">'地面交通-数量预估'!$A$2:$I$30</definedName>
    <definedName name="_xlnm._FilterDatabase" localSheetId="4" hidden="1">非常用条目!$A$1:$D$32</definedName>
    <definedName name="_xlnm._FilterDatabase" localSheetId="8" hidden="1">年度!$A$2:$G$155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8" i="6" l="1"/>
  <c r="J9" i="6"/>
  <c r="J10" i="6"/>
  <c r="J63" i="6"/>
  <c r="J102" i="6"/>
  <c r="J50" i="6"/>
  <c r="J51" i="6"/>
  <c r="J49" i="6"/>
  <c r="J68" i="6"/>
  <c r="J59" i="6"/>
  <c r="J58" i="6"/>
  <c r="J105" i="6"/>
  <c r="J86" i="6"/>
  <c r="J85" i="6"/>
  <c r="J104" i="6"/>
  <c r="J12" i="6"/>
  <c r="J101" i="6"/>
  <c r="J103" i="6"/>
  <c r="J35" i="6"/>
  <c r="J84" i="6"/>
  <c r="J66" i="6"/>
  <c r="J65" i="6"/>
  <c r="J45" i="6"/>
  <c r="J60" i="6"/>
  <c r="J57" i="6"/>
  <c r="J56" i="6"/>
  <c r="J47" i="6"/>
  <c r="J55" i="6"/>
  <c r="J67" i="6"/>
  <c r="J69" i="6"/>
  <c r="J70" i="6"/>
  <c r="J83" i="6"/>
  <c r="J53" i="6"/>
  <c r="J96" i="6"/>
  <c r="J97" i="6"/>
  <c r="J98" i="6"/>
  <c r="J99" i="6"/>
  <c r="J100" i="6"/>
  <c r="J106" i="6"/>
  <c r="J107" i="6"/>
  <c r="J108" i="6"/>
  <c r="J109" i="6"/>
  <c r="J95" i="6"/>
  <c r="J76" i="6"/>
  <c r="J77" i="6"/>
  <c r="J79" i="6"/>
  <c r="J80" i="6"/>
  <c r="J81" i="6"/>
  <c r="J82" i="6"/>
  <c r="J87" i="6"/>
  <c r="J88" i="6"/>
  <c r="J89" i="6"/>
  <c r="J90" i="6"/>
  <c r="J91" i="6"/>
  <c r="J92" i="6"/>
  <c r="J38" i="6"/>
  <c r="J32" i="6"/>
  <c r="J33" i="6"/>
  <c r="J34" i="6"/>
  <c r="J31" i="6"/>
  <c r="J28" i="6"/>
  <c r="J24" i="6"/>
  <c r="J25" i="6"/>
  <c r="J23" i="6"/>
  <c r="J7" i="6"/>
  <c r="J11" i="6"/>
  <c r="J75" i="6"/>
  <c r="J15" i="6"/>
  <c r="J16" i="6"/>
  <c r="J17" i="6"/>
  <c r="J18" i="6"/>
  <c r="J42" i="6"/>
  <c r="J43" i="6"/>
  <c r="J44" i="6"/>
  <c r="J46" i="6"/>
  <c r="J48" i="6"/>
  <c r="J52" i="6"/>
  <c r="J54" i="6"/>
  <c r="J61" i="6"/>
  <c r="J62" i="6"/>
  <c r="J64" i="6"/>
  <c r="J41" i="6"/>
  <c r="H3" i="12"/>
  <c r="I3" i="12" s="1"/>
  <c r="J3" i="12" s="1"/>
  <c r="H4" i="12"/>
  <c r="I4" i="12" s="1"/>
  <c r="J4" i="12" s="1"/>
  <c r="H6" i="12"/>
  <c r="I6" i="12" s="1"/>
  <c r="H8" i="12"/>
  <c r="I8" i="12" s="1"/>
  <c r="H9" i="12"/>
  <c r="I9" i="12" s="1"/>
  <c r="J9" i="12" s="1"/>
  <c r="H10" i="12"/>
  <c r="I10" i="12" s="1"/>
  <c r="J10" i="12" s="1"/>
  <c r="H11" i="12"/>
  <c r="I11" i="12" s="1"/>
  <c r="J11" i="12" s="1"/>
  <c r="H12" i="12"/>
  <c r="I12" i="12" s="1"/>
  <c r="H13" i="12"/>
  <c r="I13" i="12" s="1"/>
  <c r="H14" i="12"/>
  <c r="I14" i="12" s="1"/>
  <c r="J14" i="12" s="1"/>
  <c r="H15" i="12"/>
  <c r="I15" i="12" s="1"/>
  <c r="J15" i="12" s="1"/>
  <c r="H16" i="12"/>
  <c r="I16" i="12" s="1"/>
  <c r="H17" i="12"/>
  <c r="I17" i="12" s="1"/>
  <c r="J17" i="12" s="1"/>
  <c r="H18" i="12"/>
  <c r="I18" i="12" s="1"/>
  <c r="J18" i="12" s="1"/>
  <c r="H19" i="12"/>
  <c r="I19" i="12" s="1"/>
  <c r="J19" i="12" s="1"/>
  <c r="H20" i="12"/>
  <c r="I20" i="12" s="1"/>
  <c r="J20" i="12" s="1"/>
  <c r="H21" i="12"/>
  <c r="I21" i="12" s="1"/>
  <c r="J21" i="12" s="1"/>
  <c r="H22" i="12"/>
  <c r="I22" i="12" s="1"/>
  <c r="J22" i="12" s="1"/>
  <c r="H23" i="12"/>
  <c r="I23" i="12" s="1"/>
  <c r="J23" i="12" s="1"/>
  <c r="H24" i="12"/>
  <c r="I24" i="12" s="1"/>
  <c r="J24" i="12" s="1"/>
  <c r="H25" i="12"/>
  <c r="I25" i="12" s="1"/>
  <c r="J25" i="12" s="1"/>
  <c r="F2" i="12"/>
  <c r="F5" i="12"/>
  <c r="E5" i="12"/>
  <c r="H5" i="12" s="1"/>
  <c r="I5" i="12" s="1"/>
  <c r="E2" i="12"/>
  <c r="D7" i="12"/>
  <c r="H7" i="12" s="1"/>
  <c r="I7" i="12" s="1"/>
  <c r="J7" i="12" s="1"/>
  <c r="D2" i="12"/>
  <c r="H2" i="12" s="1"/>
  <c r="I2" i="12" s="1"/>
  <c r="C13" i="5"/>
  <c r="D13" i="5"/>
  <c r="E13" i="5"/>
  <c r="B13" i="5"/>
  <c r="C14" i="5"/>
  <c r="D14" i="5"/>
  <c r="E14" i="5"/>
  <c r="B14" i="5"/>
  <c r="J36" i="6" l="1"/>
  <c r="D8" i="11" s="1"/>
  <c r="F8" i="11" s="1"/>
  <c r="J26" i="6"/>
  <c r="D6" i="11" s="1"/>
  <c r="F6" i="11" s="1"/>
  <c r="J93" i="6"/>
  <c r="J73" i="6"/>
  <c r="D9" i="11" s="1"/>
  <c r="F9" i="11" s="1"/>
  <c r="F14" i="5"/>
  <c r="J20" i="6" l="1"/>
  <c r="J19" i="6"/>
  <c r="F12" i="5"/>
  <c r="H3" i="8"/>
  <c r="H5" i="8"/>
  <c r="H6" i="8"/>
  <c r="H7" i="8"/>
  <c r="H8" i="8"/>
  <c r="H9" i="8"/>
  <c r="H10" i="8"/>
  <c r="H11" i="8"/>
  <c r="H12" i="8"/>
  <c r="H13" i="8"/>
  <c r="H14" i="8"/>
  <c r="H15" i="8"/>
  <c r="H16" i="8"/>
  <c r="H17" i="8"/>
  <c r="H19" i="8"/>
  <c r="H22" i="8"/>
  <c r="H25" i="8"/>
  <c r="H2" i="8"/>
  <c r="E24" i="8"/>
  <c r="H24" i="8" s="1"/>
  <c r="E23" i="8"/>
  <c r="E20" i="8"/>
  <c r="E21" i="8"/>
  <c r="H21" i="8" s="1"/>
  <c r="D24" i="8"/>
  <c r="D23" i="8"/>
  <c r="D20" i="8"/>
  <c r="D18" i="8"/>
  <c r="H18" i="8" s="1"/>
  <c r="D4" i="8"/>
  <c r="H4" i="8" s="1"/>
  <c r="G31" i="7"/>
  <c r="G30" i="7"/>
  <c r="H30" i="7" s="1"/>
  <c r="G4" i="7"/>
  <c r="H4" i="7" s="1"/>
  <c r="G5" i="7"/>
  <c r="G6" i="7"/>
  <c r="H6" i="7" s="1"/>
  <c r="G7" i="7"/>
  <c r="H7" i="7" s="1"/>
  <c r="G8" i="7"/>
  <c r="H8" i="7" s="1"/>
  <c r="G9" i="7"/>
  <c r="H9" i="7" s="1"/>
  <c r="G10" i="7"/>
  <c r="H10" i="7" s="1"/>
  <c r="G11" i="7"/>
  <c r="H11" i="7" s="1"/>
  <c r="G12" i="7"/>
  <c r="H12" i="7" s="1"/>
  <c r="G13" i="7"/>
  <c r="H13" i="7" s="1"/>
  <c r="G14" i="7"/>
  <c r="H14" i="7" s="1"/>
  <c r="G15" i="7"/>
  <c r="H15" i="7" s="1"/>
  <c r="G16" i="7"/>
  <c r="H16" i="7" s="1"/>
  <c r="G17" i="7"/>
  <c r="H17" i="7" s="1"/>
  <c r="G18" i="7"/>
  <c r="H18" i="7" s="1"/>
  <c r="G19" i="7"/>
  <c r="G20" i="7"/>
  <c r="G21" i="7"/>
  <c r="G22" i="7"/>
  <c r="H22" i="7" s="1"/>
  <c r="G23" i="7"/>
  <c r="G24" i="7"/>
  <c r="H24" i="7" s="1"/>
  <c r="G25" i="7"/>
  <c r="H25" i="7" s="1"/>
  <c r="G26" i="7"/>
  <c r="H26" i="7" s="1"/>
  <c r="G27" i="7"/>
  <c r="H27" i="7" s="1"/>
  <c r="G28" i="7"/>
  <c r="H28" i="7" s="1"/>
  <c r="G29" i="7"/>
  <c r="H29" i="7" s="1"/>
  <c r="G3" i="7"/>
  <c r="H3" i="7" s="1"/>
  <c r="J110" i="6"/>
  <c r="D11" i="11" s="1"/>
  <c r="F11" i="11" s="1"/>
  <c r="J39" i="6"/>
  <c r="D10" i="11" s="1"/>
  <c r="F10" i="11" s="1"/>
  <c r="F4" i="5"/>
  <c r="F5" i="5"/>
  <c r="F6" i="5"/>
  <c r="F7" i="5"/>
  <c r="F8" i="5"/>
  <c r="F9" i="5"/>
  <c r="F10" i="5"/>
  <c r="F11" i="5"/>
  <c r="F3" i="5"/>
  <c r="J34" i="3"/>
  <c r="J35" i="3" s="1"/>
  <c r="J32" i="3"/>
  <c r="J31" i="3"/>
  <c r="J29" i="3"/>
  <c r="J28" i="3"/>
  <c r="J26" i="3"/>
  <c r="J27" i="3" s="1"/>
  <c r="J24" i="3"/>
  <c r="J25" i="3" s="1"/>
  <c r="J22" i="3"/>
  <c r="J21" i="3"/>
  <c r="J20" i="3"/>
  <c r="J18" i="3"/>
  <c r="J17" i="3"/>
  <c r="J19" i="3" s="1"/>
  <c r="J15" i="3"/>
  <c r="J14" i="3"/>
  <c r="J13" i="3"/>
  <c r="J12" i="3"/>
  <c r="J10" i="3"/>
  <c r="J9" i="3"/>
  <c r="J8" i="3"/>
  <c r="J7" i="3"/>
  <c r="J6" i="3"/>
  <c r="F150" i="2"/>
  <c r="F149" i="2"/>
  <c r="F146" i="2"/>
  <c r="F145" i="2"/>
  <c r="F144" i="2"/>
  <c r="F143" i="2"/>
  <c r="F142" i="2"/>
  <c r="F141" i="2"/>
  <c r="F138" i="2"/>
  <c r="F137" i="2"/>
  <c r="F136" i="2"/>
  <c r="F135" i="2"/>
  <c r="F134" i="2"/>
  <c r="F133" i="2"/>
  <c r="F132" i="2"/>
  <c r="F129" i="2"/>
  <c r="F128" i="2"/>
  <c r="F127" i="2"/>
  <c r="F126" i="2"/>
  <c r="F125" i="2"/>
  <c r="F124" i="2"/>
  <c r="C123" i="2"/>
  <c r="F123" i="2" s="1"/>
  <c r="C122" i="2"/>
  <c r="F122" i="2" s="1"/>
  <c r="C121" i="2"/>
  <c r="F121" i="2" s="1"/>
  <c r="C120" i="2"/>
  <c r="F120" i="2" s="1"/>
  <c r="C119" i="2"/>
  <c r="F119" i="2" s="1"/>
  <c r="C118" i="2"/>
  <c r="F118" i="2" s="1"/>
  <c r="C117" i="2"/>
  <c r="F117" i="2" s="1"/>
  <c r="C116" i="2"/>
  <c r="F116" i="2" s="1"/>
  <c r="C115" i="2"/>
  <c r="F115" i="2" s="1"/>
  <c r="F114" i="2"/>
  <c r="F113" i="2"/>
  <c r="F112" i="2"/>
  <c r="F111" i="2"/>
  <c r="F110" i="2"/>
  <c r="F109" i="2"/>
  <c r="F108" i="2"/>
  <c r="F107" i="2"/>
  <c r="F106" i="2"/>
  <c r="F105" i="2"/>
  <c r="F104" i="2"/>
  <c r="F103" i="2"/>
  <c r="F102" i="2"/>
  <c r="F101" i="2"/>
  <c r="C100" i="2"/>
  <c r="F100" i="2" s="1"/>
  <c r="F99" i="2"/>
  <c r="F96" i="2"/>
  <c r="F95" i="2"/>
  <c r="F94" i="2"/>
  <c r="F93" i="2"/>
  <c r="F92" i="2"/>
  <c r="F91" i="2"/>
  <c r="F90" i="2"/>
  <c r="F89" i="2"/>
  <c r="F88" i="2"/>
  <c r="F87" i="2"/>
  <c r="F86" i="2"/>
  <c r="C85" i="2"/>
  <c r="F85" i="2" s="1"/>
  <c r="C84" i="2"/>
  <c r="F84" i="2" s="1"/>
  <c r="C83" i="2"/>
  <c r="F83" i="2" s="1"/>
  <c r="F82" i="2"/>
  <c r="C81" i="2"/>
  <c r="F81" i="2" s="1"/>
  <c r="C80" i="2"/>
  <c r="F80" i="2" s="1"/>
  <c r="C79" i="2"/>
  <c r="F79" i="2" s="1"/>
  <c r="F78" i="2"/>
  <c r="F77" i="2"/>
  <c r="F74" i="2"/>
  <c r="F73" i="2"/>
  <c r="F72" i="2"/>
  <c r="F71" i="2"/>
  <c r="F70" i="2"/>
  <c r="F69" i="2"/>
  <c r="F68" i="2"/>
  <c r="F67" i="2"/>
  <c r="F66" i="2"/>
  <c r="F63" i="2"/>
  <c r="F62" i="2"/>
  <c r="F61" i="2"/>
  <c r="F60" i="2"/>
  <c r="C59" i="2"/>
  <c r="F59" i="2" s="1"/>
  <c r="F56" i="2"/>
  <c r="F55" i="2"/>
  <c r="F54" i="2"/>
  <c r="F53" i="2"/>
  <c r="F52" i="2"/>
  <c r="F51" i="2"/>
  <c r="C50" i="2"/>
  <c r="F50" i="2" s="1"/>
  <c r="C49" i="2"/>
  <c r="F49" i="2" s="1"/>
  <c r="C48" i="2"/>
  <c r="F48" i="2" s="1"/>
  <c r="C47" i="2"/>
  <c r="F47" i="2" s="1"/>
  <c r="C46" i="2"/>
  <c r="F46" i="2" s="1"/>
  <c r="C45" i="2"/>
  <c r="F45" i="2" s="1"/>
  <c r="F42" i="2"/>
  <c r="F41" i="2"/>
  <c r="F40" i="2"/>
  <c r="F39" i="2"/>
  <c r="F38" i="2"/>
  <c r="F37" i="2"/>
  <c r="F36" i="2"/>
  <c r="F35" i="2"/>
  <c r="F34" i="2"/>
  <c r="F33" i="2"/>
  <c r="C32" i="2"/>
  <c r="F32" i="2" s="1"/>
  <c r="C31" i="2"/>
  <c r="F31" i="2" s="1"/>
  <c r="C30" i="2"/>
  <c r="F30" i="2" s="1"/>
  <c r="C27" i="2"/>
  <c r="F27" i="2" s="1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0" i="2"/>
  <c r="C8" i="2"/>
  <c r="C7" i="2"/>
  <c r="F7" i="2" s="1"/>
  <c r="C6" i="2"/>
  <c r="F6" i="2" s="1"/>
  <c r="C5" i="2"/>
  <c r="F5" i="2" s="1"/>
  <c r="C4" i="2"/>
  <c r="F4" i="2" s="1"/>
  <c r="F68" i="1"/>
  <c r="F69" i="1" s="1"/>
  <c r="F65" i="1"/>
  <c r="F64" i="1"/>
  <c r="F63" i="1"/>
  <c r="F60" i="1"/>
  <c r="F59" i="1"/>
  <c r="F58" i="1"/>
  <c r="F57" i="1"/>
  <c r="F56" i="1"/>
  <c r="F61" i="1" s="1"/>
  <c r="F53" i="1"/>
  <c r="F52" i="1"/>
  <c r="F51" i="1"/>
  <c r="F50" i="1"/>
  <c r="F49" i="1"/>
  <c r="F48" i="1"/>
  <c r="F47" i="1"/>
  <c r="F46" i="1"/>
  <c r="F45" i="1"/>
  <c r="F42" i="1"/>
  <c r="F41" i="1"/>
  <c r="F40" i="1"/>
  <c r="F39" i="1"/>
  <c r="F38" i="1"/>
  <c r="F37" i="1"/>
  <c r="F36" i="1"/>
  <c r="F35" i="1"/>
  <c r="F34" i="1"/>
  <c r="F31" i="1"/>
  <c r="F32" i="1" s="1"/>
  <c r="F28" i="1"/>
  <c r="F27" i="1"/>
  <c r="F24" i="1"/>
  <c r="F23" i="1"/>
  <c r="F22" i="1"/>
  <c r="F21" i="1"/>
  <c r="F20" i="1"/>
  <c r="F19" i="1"/>
  <c r="F18" i="1"/>
  <c r="F17" i="1"/>
  <c r="F14" i="1"/>
  <c r="F13" i="1"/>
  <c r="F12" i="1"/>
  <c r="F11" i="1"/>
  <c r="F10" i="1"/>
  <c r="F7" i="1"/>
  <c r="F6" i="1"/>
  <c r="F5" i="1"/>
  <c r="E4" i="1"/>
  <c r="F4" i="1" s="1"/>
  <c r="J16" i="3" l="1"/>
  <c r="F15" i="1"/>
  <c r="F66" i="1"/>
  <c r="J30" i="3"/>
  <c r="H20" i="8"/>
  <c r="H23" i="8"/>
  <c r="J33" i="3"/>
  <c r="F13" i="5"/>
  <c r="F54" i="1"/>
  <c r="J23" i="3"/>
  <c r="J21" i="6"/>
  <c r="D5" i="11" s="1"/>
  <c r="F5" i="11" s="1"/>
  <c r="C9" i="2"/>
  <c r="F9" i="2" s="1"/>
  <c r="F8" i="2"/>
  <c r="F11" i="2" s="1"/>
  <c r="G14" i="5"/>
  <c r="F151" i="2"/>
  <c r="J13" i="6"/>
  <c r="D4" i="11" s="1"/>
  <c r="F4" i="11" s="1"/>
  <c r="J29" i="6"/>
  <c r="D7" i="11" s="1"/>
  <c r="F7" i="11" s="1"/>
  <c r="F147" i="2"/>
  <c r="F57" i="2"/>
  <c r="F139" i="2"/>
  <c r="J11" i="3"/>
  <c r="F8" i="1"/>
  <c r="F43" i="2"/>
  <c r="F75" i="2"/>
  <c r="F130" i="2"/>
  <c r="F29" i="1"/>
  <c r="F25" i="1"/>
  <c r="F43" i="1"/>
  <c r="F70" i="1" s="1"/>
  <c r="F64" i="2"/>
  <c r="J36" i="3"/>
  <c r="F97" i="2"/>
  <c r="F28" i="2"/>
  <c r="F12" i="11" l="1"/>
  <c r="J111" i="6"/>
  <c r="G6" i="5"/>
  <c r="G9" i="5"/>
  <c r="G10" i="5"/>
  <c r="G4" i="5"/>
  <c r="G7" i="5"/>
  <c r="G3" i="5"/>
  <c r="G8" i="5"/>
  <c r="G12" i="5"/>
  <c r="G11" i="5"/>
  <c r="G5" i="5"/>
  <c r="F152" i="2"/>
  <c r="F153" i="2" s="1"/>
  <c r="J37" i="3"/>
  <c r="F71" i="1"/>
  <c r="J112" i="6" l="1"/>
  <c r="D12" i="11" s="1"/>
  <c r="C17" i="5"/>
  <c r="C24" i="5" s="1"/>
  <c r="J38" i="3"/>
  <c r="J39" i="3" s="1"/>
  <c r="F154" i="2"/>
  <c r="F155" i="2" s="1"/>
  <c r="F72" i="1"/>
  <c r="F73" i="1" s="1"/>
  <c r="J113" i="6" l="1"/>
  <c r="J114" i="6" l="1"/>
  <c r="D13" i="11"/>
  <c r="F13" i="11" s="1"/>
</calcChain>
</file>

<file path=xl/sharedStrings.xml><?xml version="1.0" encoding="utf-8"?>
<sst xmlns="http://schemas.openxmlformats.org/spreadsheetml/2006/main" count="1419" uniqueCount="597">
  <si>
    <t>创作者侧：接待部分报价</t>
  </si>
  <si>
    <t>编号</t>
  </si>
  <si>
    <t>项目</t>
  </si>
  <si>
    <t>数量</t>
  </si>
  <si>
    <t>次数/天数</t>
  </si>
  <si>
    <t>单价</t>
  </si>
  <si>
    <t>总价</t>
  </si>
  <si>
    <t>备注</t>
  </si>
  <si>
    <t>大交通</t>
  </si>
  <si>
    <t>飞机经济舱：创作者</t>
  </si>
  <si>
    <t>飞机经济舱，以北京为例报价,8.5折预估，以实际出票为准</t>
  </si>
  <si>
    <t>高铁二等座：创作者</t>
  </si>
  <si>
    <t>高铁二等座，以北京为例报价，以实际出票为准</t>
  </si>
  <si>
    <t>火车票出票费</t>
  </si>
  <si>
    <t>12306身份免核验，代订火车票出票手续费</t>
  </si>
  <si>
    <t>退改签费用预估</t>
  </si>
  <si>
    <t>仅为预估，据实结算</t>
  </si>
  <si>
    <t>费用小计</t>
  </si>
  <si>
    <t>酒店</t>
  </si>
  <si>
    <t>城景大床房，上海W酒店，8月8日入住</t>
  </si>
  <si>
    <t>城景大床房，上海W酒店，8月9日-8月10日</t>
  </si>
  <si>
    <t>含单早含税</t>
  </si>
  <si>
    <t>城景双床房，上海W酒店</t>
  </si>
  <si>
    <t>含双早含税</t>
  </si>
  <si>
    <t>高级大床房，上海中星铂尔曼酒店，8月9日-8月10日</t>
  </si>
  <si>
    <t>上海中星铂尔曼酒店：户外道旗场地费</t>
  </si>
  <si>
    <t>当地交通</t>
  </si>
  <si>
    <t>接送机/接送站：GL8单趟，8月8日</t>
  </si>
  <si>
    <t>接送机/接送站：大巴车摆渡车，8月9日/8月11日</t>
  </si>
  <si>
    <t>按照实际出票情况及入住酒店分配车辆</t>
  </si>
  <si>
    <t>接送机/接送站：GL8包车，备用车辆，预估2辆，8月9日/8月11日</t>
  </si>
  <si>
    <t>接送机/接送站：GL8单趟，8月9日</t>
  </si>
  <si>
    <r>
      <rPr>
        <b/>
        <sz val="9"/>
        <color rgb="FF3F3F3F"/>
        <rFont val="微软雅黑"/>
        <family val="2"/>
        <charset val="134"/>
      </rPr>
      <t>VIP用车</t>
    </r>
    <r>
      <rPr>
        <sz val="9"/>
        <color rgb="FF3F3F3F"/>
        <rFont val="微软雅黑"/>
        <family val="2"/>
        <charset val="134"/>
      </rPr>
      <t>：</t>
    </r>
    <r>
      <rPr>
        <sz val="9"/>
        <color rgb="FFFF0000"/>
        <rFont val="微软雅黑"/>
        <family val="2"/>
        <charset val="134"/>
      </rPr>
      <t>GL8</t>
    </r>
    <r>
      <rPr>
        <sz val="9"/>
        <color rgb="FF3F3F3F"/>
        <rFont val="微软雅黑"/>
        <family val="2"/>
        <charset val="134"/>
      </rPr>
      <t>全天包车8月8日-11日</t>
    </r>
  </si>
  <si>
    <r>
      <rPr>
        <b/>
        <sz val="9"/>
        <color rgb="FF3F3F3F"/>
        <rFont val="微软雅黑"/>
        <family val="2"/>
        <charset val="134"/>
      </rPr>
      <t>活动日用车：</t>
    </r>
    <r>
      <rPr>
        <sz val="9"/>
        <color rgb="FFFF0000"/>
        <rFont val="微软雅黑"/>
        <family val="2"/>
        <charset val="134"/>
      </rPr>
      <t>GL8</t>
    </r>
    <r>
      <rPr>
        <sz val="9"/>
        <color rgb="FF3F3F3F"/>
        <rFont val="微软雅黑"/>
        <family val="2"/>
        <charset val="134"/>
      </rPr>
      <t>全天包车，备用车辆，预估每个酒店2辆</t>
    </r>
  </si>
  <si>
    <t>交通杂费（停车&amp;过路费）</t>
  </si>
  <si>
    <t>停车费、高速费等其他费用预估，以实际发生为准</t>
  </si>
  <si>
    <t>餐饮</t>
  </si>
  <si>
    <r>
      <rPr>
        <b/>
        <sz val="9"/>
        <color rgb="FF3F3F3F"/>
        <rFont val="微软雅黑"/>
        <family val="2"/>
        <charset val="134"/>
      </rPr>
      <t>VIP</t>
    </r>
    <r>
      <rPr>
        <sz val="9"/>
        <color rgb="FF3F3F3F"/>
        <rFont val="微软雅黑"/>
        <family val="2"/>
        <charset val="134"/>
      </rPr>
      <t>：酒店内用餐（桌餐/自助餐），1天*2餐，每餐500元，8月9日</t>
    </r>
  </si>
  <si>
    <t>酒店中餐厅包间</t>
  </si>
  <si>
    <r>
      <rPr>
        <b/>
        <sz val="9"/>
        <color rgb="FF3F3F3F"/>
        <rFont val="微软雅黑"/>
        <family val="2"/>
        <charset val="134"/>
      </rPr>
      <t>VIP：</t>
    </r>
    <r>
      <rPr>
        <sz val="9"/>
        <color rgb="FF3F3F3F"/>
        <rFont val="微软雅黑"/>
        <family val="2"/>
        <charset val="134"/>
      </rPr>
      <t>社会餐厅用餐（午餐/晚餐），1天*2餐，每次500元，8月10日</t>
    </r>
  </si>
  <si>
    <t>社会餐饮</t>
  </si>
  <si>
    <t>保险及核酸</t>
  </si>
  <si>
    <t>参会人员保险</t>
  </si>
  <si>
    <t>50万意外伤亡险，7天</t>
  </si>
  <si>
    <t>同程工作人员</t>
  </si>
  <si>
    <t>前期运营：同程工作人员：总控：2人，8月6日-8月11日</t>
  </si>
  <si>
    <t>工作时间8小时，超时费80元/小时</t>
  </si>
  <si>
    <t>前期运营：中台工作组核心人员：9人（机票1/酒店2/车辆3/人员1/高管1/餐饮1）</t>
  </si>
  <si>
    <t>on-site期间，预计10天，7月27日-8月6日</t>
  </si>
  <si>
    <t>VIP管家：10人</t>
  </si>
  <si>
    <t>上述人员飞机/高铁，预估</t>
  </si>
  <si>
    <t>以实际发生为准</t>
  </si>
  <si>
    <t>上述人员当地住宿费用</t>
  </si>
  <si>
    <t>主会场周边酒店，以实际发生为准</t>
  </si>
  <si>
    <t>上述人员当地交通费，预估</t>
  </si>
  <si>
    <t>以实际发生为准，7:00之前及22:30后打车费用实报实销</t>
  </si>
  <si>
    <t>上述人员当地餐费，预估</t>
  </si>
  <si>
    <t>上述人员超时费，预估</t>
  </si>
  <si>
    <t>三方工作人员</t>
  </si>
  <si>
    <t>三方人员总控：2人，8月6日-8月11日</t>
  </si>
  <si>
    <t>兼职人员筛选/培训/现场监督/临时调度/应急等；工作人员 8小时工作制，超时100元/小时；晚于21点30分，需要支付交通费用，交通费用以实际发生为准；</t>
  </si>
  <si>
    <t>机场工作人员：举牌2+引领4+物料2+车辆2，预估4天，暂时按照2个机场预估，最终按照实际出票信息为准</t>
  </si>
  <si>
    <t>机场举牌、引领、物料、车调等，工作人员 8小时工作制，超时100元/小时；晚于21点30分，需要支付交通费用，交通费用以实际发生为准；</t>
  </si>
  <si>
    <t>高铁站工作人员：举牌2+引领4+物料2+车辆2，预估4天，暂时按照2个火车站预估，最终按照实际出票信息为准</t>
  </si>
  <si>
    <t>车站举牌、引领、物料、车调等，工作人员 8小时工作制，超时100元/小时；晚于21点30分，需要支付交通费用，交通费用以实际发生为准；</t>
  </si>
  <si>
    <t>酒店工作人员：前台接待+名单管理2、引领2、物料2、应急1，合规1），每家酒店8人</t>
  </si>
  <si>
    <t>工作人员 8小时工作制，超时100元/小时；晚于21点30分，需要支付交通费用，交通费用以实际发生为准；</t>
  </si>
  <si>
    <t>酒店工作人员：车辆调度1人</t>
  </si>
  <si>
    <t>上述工作人员：交通补助</t>
  </si>
  <si>
    <t>上述工作人员：餐饮预估</t>
  </si>
  <si>
    <t>当地工作人员培训费：核心人员+组长+司机等</t>
  </si>
  <si>
    <t>当地工作人员超时费：预估每天2小时*100元*3天</t>
  </si>
  <si>
    <t>延展及物料</t>
  </si>
  <si>
    <t>机场/火车站：接机牌，KT板+手柄</t>
  </si>
  <si>
    <t>车上物品：车头牌，A3塑封</t>
  </si>
  <si>
    <t>车上物品：大巴车+GL8车内矿泉水</t>
  </si>
  <si>
    <t>车内有水，纸巾，小食，防疫物资等备品</t>
  </si>
  <si>
    <t>车上物品：大巴车+GL8车内纸巾</t>
  </si>
  <si>
    <t>物料打样费用预估</t>
  </si>
  <si>
    <t>活动期间运营费用</t>
  </si>
  <si>
    <t>短信平台使用：出票信息、出行提醒、活动提醒等</t>
  </si>
  <si>
    <t>考察费用</t>
  </si>
  <si>
    <t>物资运输+物资前后期快递费</t>
  </si>
  <si>
    <t>以实际发生为准，仅为预估</t>
  </si>
  <si>
    <t>不可预见</t>
  </si>
  <si>
    <t>酒店内破损，房间吸烟赔偿等</t>
  </si>
  <si>
    <t>以上合计</t>
  </si>
  <si>
    <t>同程服务费4%</t>
  </si>
  <si>
    <r>
      <rPr>
        <b/>
        <sz val="11"/>
        <rFont val="微软雅黑"/>
        <family val="2"/>
        <charset val="134"/>
      </rPr>
      <t>专票税费</t>
    </r>
    <r>
      <rPr>
        <sz val="9"/>
        <color rgb="FF3F3F3F"/>
        <rFont val="微软雅黑"/>
        <family val="2"/>
        <charset val="134"/>
      </rPr>
      <t>6%</t>
    </r>
  </si>
  <si>
    <t>总计</t>
  </si>
  <si>
    <t>主播侧：接待部分报价</t>
  </si>
  <si>
    <t>飞机公务舱：第一梯度：主播</t>
  </si>
  <si>
    <t>飞机头等舱，以北京为例报价,5折预估，以实际出票为准</t>
  </si>
  <si>
    <t>飞机公务舱：第二梯度：主播</t>
  </si>
  <si>
    <t>高铁商务座：第二梯度：主播</t>
  </si>
  <si>
    <t>高铁商务座，以北京为例报价，以实际出票为准</t>
  </si>
  <si>
    <t>飞机经济舱：第三+四+五梯度人群</t>
  </si>
  <si>
    <r>
      <rPr>
        <sz val="9"/>
        <rFont val="SimSun"/>
        <family val="3"/>
        <charset val="134"/>
      </rPr>
      <t>飞机经济舱，以北京为例报价</t>
    </r>
    <r>
      <rPr>
        <sz val="9"/>
        <rFont val="Times New Roman"/>
        <family val="1"/>
      </rPr>
      <t>,5</t>
    </r>
    <r>
      <rPr>
        <sz val="9"/>
        <rFont val="SimSun"/>
        <family val="3"/>
        <charset val="134"/>
      </rPr>
      <t>折预估，以实际出票为准</t>
    </r>
  </si>
  <si>
    <t>高铁二等座：第三+四+五梯度人群</t>
  </si>
  <si>
    <t>第一梯度：冠军主播：南京凯宾斯基酒店-总统套房（235平米）12月27日-1月1日</t>
  </si>
  <si>
    <t>含早含税</t>
  </si>
  <si>
    <t>第一梯度：冠军主播：南京金奥费尔蒙酒店-总统套房（261平米）12月27日-1月1日</t>
  </si>
  <si>
    <t>第二梯度：主播：南京凯宾斯基酒店-行政套房（82平米）12月26日-1月1日</t>
  </si>
  <si>
    <t>第二梯度：主播：南京金鹰世界G酒店-行政套房（80-100平米）12月26日-1月1日</t>
  </si>
  <si>
    <t>第三+四梯度：南京金奥费尔蒙酒店--高/豪大床房/双床房，12月25日-1月1日</t>
  </si>
  <si>
    <t>第三+四梯度：南京凯宾斯基酒店-高/豪大床房/双床房，12月28日-1月1日</t>
  </si>
  <si>
    <t>第三梯度：南京金鹰世界G酒店-高/豪大床房/双床房</t>
  </si>
  <si>
    <t>第三+四梯度：南京金鹰世界G酒店-高/豪大床房/双床房</t>
  </si>
  <si>
    <r>
      <rPr>
        <sz val="9"/>
        <rFont val="宋体"/>
        <family val="3"/>
        <charset val="134"/>
      </rPr>
      <t>第五梯度：</t>
    </r>
    <r>
      <rPr>
        <sz val="9"/>
        <color rgb="FFFF0000"/>
        <rFont val="宋体"/>
        <family val="3"/>
        <charset val="134"/>
      </rPr>
      <t>四星酒店</t>
    </r>
    <r>
      <rPr>
        <sz val="9"/>
        <rFont val="宋体"/>
        <family val="3"/>
        <charset val="134"/>
      </rPr>
      <t>-高/豪大床房/双床房</t>
    </r>
  </si>
  <si>
    <t>酒店mini bar</t>
  </si>
  <si>
    <t>第一梯度：冠军专属座驾：（全程用车，接送机/站+彩排+活动日）-埃尔法</t>
  </si>
  <si>
    <t>全天包车，8小时，100公里，超时300元/小时，超公里20元/公里；停车费&amp;高速费实际发生为准；</t>
  </si>
  <si>
    <t>第二梯度；主播专属用车：（全程用车，接送机/站+彩排+活动日）-GL8包车</t>
  </si>
  <si>
    <t>全天包车，8小时，100公里，超时100元/小时，超公里10元/公里；停车费&amp;高速费实际发生为准；</t>
  </si>
  <si>
    <t>第三+四+五梯度人群总计：接送机/接送站：GL8单趟用车</t>
  </si>
  <si>
    <r>
      <t>接送机/接送站：GL8包车，</t>
    </r>
    <r>
      <rPr>
        <sz val="9"/>
        <color rgb="FFFF0000"/>
        <rFont val="宋体"/>
        <family val="3"/>
        <charset val="134"/>
      </rPr>
      <t>备用车辆</t>
    </r>
  </si>
  <si>
    <t>乐团（外部嘉宾）：接送机/接送站：考斯特</t>
  </si>
  <si>
    <t>第三+四+五梯度人群彩排/培训：考斯特包车</t>
  </si>
  <si>
    <r>
      <t>考斯特包车5辆；8小时，100公里；活动期间酒店-场馆摆渡车，</t>
    </r>
    <r>
      <rPr>
        <sz val="9"/>
        <color rgb="FFFF0000"/>
        <rFont val="宋体"/>
        <family val="3"/>
        <charset val="134"/>
      </rPr>
      <t>根据实际rundown进行车辆调整，最终以实际使用结算，凯宾斯基：3辆，金鹰G：3辆，四星酒店：1辆</t>
    </r>
  </si>
  <si>
    <t>第三+四+五梯度人群彩排/培训：GL8包车</t>
  </si>
  <si>
    <t>全天包车，8小时，100公里，凯宾斯基：4辆，金鹰G：4辆，四星酒店：2辆</t>
  </si>
  <si>
    <t>第三+四+五梯度人群活动日用车：考斯特全天包车，预估10辆/天（酒店-盛典-酒店）</t>
  </si>
  <si>
    <t>全天包车，8小时，100公里,凯宾斯基：3辆，金鹰G：3辆，四星酒店：1辆</t>
  </si>
  <si>
    <t>第三+四+五梯度人群活动日用车：GL8全天包车，预估35辆/天（（酒店-盛典-酒店）不包含第一和第二梯度</t>
  </si>
  <si>
    <t>全天包车，8小时，100公里，凯宾斯基：6辆，金鹰G：6辆，四星酒店：2辆</t>
  </si>
  <si>
    <t>酒店备车，3家酒店</t>
  </si>
  <si>
    <t>机场VIP通道费用：第一梯度&amp;第二梯度，往返各一次</t>
  </si>
  <si>
    <t>第一梯度：冠军主播：全程酒店挂帐/点餐/商务餐，正餐400元/人天</t>
  </si>
  <si>
    <t>以实际消费为准</t>
  </si>
  <si>
    <t>第二梯度：获奖主播：酒店内自助午餐/晚餐，正餐400元/人天</t>
  </si>
  <si>
    <t>第三+四梯度人群：酒店内自助午餐/晚餐，正餐400元/人天</t>
  </si>
  <si>
    <t>第五梯度：四星酒店-300/天</t>
  </si>
  <si>
    <t>全体人员：彩排日商务餐，场馆1餐</t>
  </si>
  <si>
    <t>以实际产生消费为准</t>
  </si>
  <si>
    <t>全体人员：活动日商务餐，场馆1餐</t>
  </si>
  <si>
    <t>含随行用餐，以实际产生消费为准</t>
  </si>
  <si>
    <t>展馆茶歇-活动当天，预估400人*2次</t>
  </si>
  <si>
    <t>人员保险</t>
  </si>
  <si>
    <r>
      <rPr>
        <sz val="9"/>
        <rFont val="Arial"/>
        <family val="2"/>
      </rPr>
      <t>50</t>
    </r>
    <r>
      <rPr>
        <sz val="9"/>
        <rFont val="宋体"/>
        <family val="3"/>
        <charset val="134"/>
      </rPr>
      <t>万意外伤亡险，</t>
    </r>
    <r>
      <rPr>
        <sz val="9"/>
        <rFont val="Arial"/>
        <family val="2"/>
      </rPr>
      <t>5</t>
    </r>
    <r>
      <rPr>
        <sz val="9"/>
        <rFont val="宋体"/>
        <family val="3"/>
        <charset val="134"/>
      </rPr>
      <t>天</t>
    </r>
  </si>
  <si>
    <t>核酸检测：当地医务人员，上门服务费（3个地点*6次）12月26日-12月31日，凯宾、金鹰世界G酒店</t>
  </si>
  <si>
    <r>
      <rPr>
        <sz val="9"/>
        <rFont val="Arial"/>
        <family val="2"/>
      </rPr>
      <t>8</t>
    </r>
    <r>
      <rPr>
        <sz val="9"/>
        <rFont val="宋体"/>
        <family val="3"/>
        <charset val="134"/>
      </rPr>
      <t>小时工作制；超时</t>
    </r>
    <r>
      <rPr>
        <sz val="9"/>
        <rFont val="Arial"/>
        <family val="2"/>
      </rPr>
      <t>200</t>
    </r>
    <r>
      <rPr>
        <sz val="9"/>
        <rFont val="宋体"/>
        <family val="3"/>
        <charset val="134"/>
      </rPr>
      <t>元</t>
    </r>
    <r>
      <rPr>
        <sz val="9"/>
        <rFont val="Arial"/>
        <family val="2"/>
      </rPr>
      <t>/</t>
    </r>
    <r>
      <rPr>
        <sz val="9"/>
        <rFont val="宋体"/>
        <family val="3"/>
        <charset val="134"/>
      </rPr>
      <t>小时，包含医护人员值班费、交通费及餐补等</t>
    </r>
  </si>
  <si>
    <t>核酸检测：医疗物资，运输费，凯宾斯基、金鹰世界G酒店</t>
  </si>
  <si>
    <t>全体人员：核酸检测费用</t>
  </si>
  <si>
    <r>
      <rPr>
        <sz val="9"/>
        <rFont val="宋体"/>
        <family val="3"/>
        <charset val="134"/>
      </rPr>
      <t>混检，单检</t>
    </r>
    <r>
      <rPr>
        <sz val="9"/>
        <rFont val="Arial"/>
        <family val="2"/>
      </rPr>
      <t>16</t>
    </r>
    <r>
      <rPr>
        <sz val="9"/>
        <rFont val="宋体"/>
        <family val="3"/>
        <charset val="134"/>
      </rPr>
      <t>元</t>
    </r>
    <r>
      <rPr>
        <sz val="9"/>
        <rFont val="Arial"/>
        <family val="2"/>
      </rPr>
      <t>/</t>
    </r>
    <r>
      <rPr>
        <sz val="9"/>
        <rFont val="宋体"/>
        <family val="3"/>
        <charset val="134"/>
      </rPr>
      <t>人</t>
    </r>
  </si>
  <si>
    <t>核酸检测场地租金（2个地点*6次）</t>
  </si>
  <si>
    <t>前期运营：同程工作人员-3人,11月27日-12月22日</t>
  </si>
  <si>
    <t>前期运营：中台工作组核心人员：23人（机票4/酒店5/车辆4/人员4/物料3/搭建3）12月8日-12月22日</t>
  </si>
  <si>
    <t>on-site及执行期间，预计10天，12月22日-1月1日</t>
  </si>
  <si>
    <r>
      <rPr>
        <sz val="9"/>
        <rFont val="宋体"/>
        <family val="3"/>
        <charset val="134"/>
      </rPr>
      <t>工作时间</t>
    </r>
    <r>
      <rPr>
        <sz val="9"/>
        <rFont val="Arial"/>
        <family val="2"/>
      </rPr>
      <t>8</t>
    </r>
    <r>
      <rPr>
        <sz val="9"/>
        <rFont val="宋体"/>
        <family val="3"/>
        <charset val="134"/>
      </rPr>
      <t>小时，超时费80元/小时</t>
    </r>
  </si>
  <si>
    <t>活动期间，信息收集人员：12月20日-1月1日,12天</t>
  </si>
  <si>
    <t>信息收集人员，工作8小时，超时100元/小时；</t>
  </si>
  <si>
    <t>三方人员总控：2人</t>
  </si>
  <si>
    <t>兼职人员筛选/培训/现场监督/临时调度/应急等</t>
  </si>
  <si>
    <t>机场工作人员：举牌+引领+物料+车辆调度+应急+核验，12月25日-1月1日</t>
  </si>
  <si>
    <t>目前为预估人数，具体人数按照出票信息落站情况为准。工作人员 8小时工作制，超时100元/小时；晚于21点30分，需要支付交通费用，交通费用以实际发生为准；详见第三方明细表</t>
  </si>
  <si>
    <t>机场工作人员：机场礼仪人员，12月25日-1月1日</t>
  </si>
  <si>
    <t>工作人员8小时工作制，超时150元/小时，不含定制服装费用；晚于21点30分，需要支付交通费用，交通费用以实际发生为准；详见第三方明细表</t>
  </si>
  <si>
    <t>机场工作人员：机场安保人员，12月25日-1月1日</t>
  </si>
  <si>
    <t>工作人员8小时工作制，超时200元/小时，不含定制服装费用；晚于21点30分，需要支付交通费用，交通费用以实际发生为准；详见第三方明细表</t>
  </si>
  <si>
    <t>机场工作人员：机场摄影师，12月25日-1月1日</t>
  </si>
  <si>
    <t>工作人员8小时工作制，超时200元/小时，晚于21点30分，需要支付交通费用，交通费用以实际发生为准，包含修图；详见第三方明细表</t>
  </si>
  <si>
    <t>高铁站工作人员：举牌+引领+物料+车辆调度+应急+核验，12月25日-1月1日</t>
  </si>
  <si>
    <t>目前只按照南京站预估人数，具体人数按照出票信息落站情况为准。工作人员 8小时工作制，超时100元/小时；晚于21点30分，需要支付交通费用，交通费用以实际发生为准；详见第三方明细表</t>
  </si>
  <si>
    <t>高铁站工作人员-火车站礼仪人员</t>
  </si>
  <si>
    <t>高铁站工作人员-火车站安保人员</t>
  </si>
  <si>
    <t>高铁站工作人员-火车站摄影师2人</t>
  </si>
  <si>
    <t>酒店工作人员：凯宾斯基酒店--前台接待+名单管理、引领、物料、应急，核酸、餐饮）12月25日-1月1日</t>
  </si>
  <si>
    <t>工作人员 8小时工作制，超时100元/小时；晚于21点30分，需要支付交通费用，交通费用以实际发生为准；详见第三方明细表</t>
  </si>
  <si>
    <t>酒店工作人员：金鹰世界G酒店--前台接待+名单管理、引领、物料、应急，核酸、餐饮）12月25日-1月1日</t>
  </si>
  <si>
    <t>酒店工作人员：迎宾礼仪（凯宾——金鹰世界G酒店）12月25日-1月1日</t>
  </si>
  <si>
    <t>酒店工作人员：安保人员（凯宾——金鹰世界G酒店）12月25日-1月1日</t>
  </si>
  <si>
    <t>酒店工作人员：摄影师（凯宾——金鹰世界G酒店）12月25日-1月1日</t>
  </si>
  <si>
    <t>场馆工作人员-会场举牌及引领+餐饮组12月26日-12月31日</t>
  </si>
  <si>
    <t>场馆工作人员：餐饮预估</t>
  </si>
  <si>
    <t>上述工作人员：核酸费用</t>
  </si>
  <si>
    <t>当地工作人员超时费：预估每天2小时</t>
  </si>
  <si>
    <t>机场/火车站：接机牌+引领，KT板+手柄</t>
  </si>
  <si>
    <t>机场/火车站：迎宾鲜花</t>
  </si>
  <si>
    <t>机场/火车站：防疫物资（备用口罩+消毒湿巾+免洗消毒液）</t>
  </si>
  <si>
    <t>备用防疫物资</t>
  </si>
  <si>
    <t>第一梯度：车上物品：冠军主播：埃尔法，4天，每天补充</t>
  </si>
  <si>
    <t>第一梯度：车贴：埃尔法磁吸车贴，含车贴制作+人工工时+车辆工时+清洁费</t>
  </si>
  <si>
    <t>第二梯度：车贴：GL8车贴，含车贴制作+人工工时+车辆工时+清洁费</t>
  </si>
  <si>
    <t>第三+四+五梯度人群：车上物品：GL8，接送机&amp;包车期间，3天，每天补充</t>
  </si>
  <si>
    <t>车内有水，纸巾，小食，防疫物资等备品，接机/站，只含一次</t>
  </si>
  <si>
    <t>第三+四+五梯度人群：车上物品：考斯特，包车期间，3天，每天补充</t>
  </si>
  <si>
    <t>彩排/培训期间</t>
  </si>
  <si>
    <t>第三+四+五梯度人群：车贴：GL8车贴，含车贴制作+人工工时+车辆工时+清洁费</t>
  </si>
  <si>
    <t>第三+四+五梯度人群：车贴：考斯特车贴，含车贴制作+人工工时+车辆工时+清洁费</t>
  </si>
  <si>
    <t>签到台：鲜花</t>
  </si>
  <si>
    <t>2家酒店，每家2套,2天换一次，一共换5次,12月23日-1月1日</t>
  </si>
  <si>
    <t>签到台：指引牌</t>
  </si>
  <si>
    <t>2家酒店，每家4套，木质T字板，华邑8个，金鹰G酒店2个</t>
  </si>
  <si>
    <t>签到台：A4立牌，亚克力</t>
  </si>
  <si>
    <t>2家酒店，每家5套，亚克力+打印（1个核酸、2个云摄影、2个健康防疫二维码）</t>
  </si>
  <si>
    <t>签到台：防疫物品</t>
  </si>
  <si>
    <t>2家酒店，每家1套，含口罩、消毒湿纸巾、免洗洗手液</t>
  </si>
  <si>
    <t>房间物料：餐券</t>
  </si>
  <si>
    <r>
      <t>12</t>
    </r>
    <r>
      <rPr>
        <sz val="9"/>
        <rFont val="宋体"/>
        <family val="3"/>
        <charset val="134"/>
      </rPr>
      <t>月</t>
    </r>
    <r>
      <rPr>
        <sz val="9"/>
        <rFont val="Arial"/>
        <family val="2"/>
      </rPr>
      <t>23</t>
    </r>
    <r>
      <rPr>
        <sz val="9"/>
        <rFont val="宋体"/>
        <family val="3"/>
        <charset val="134"/>
      </rPr>
      <t>日</t>
    </r>
    <r>
      <rPr>
        <sz val="9"/>
        <rFont val="Arial"/>
        <family val="2"/>
      </rPr>
      <t>-12</t>
    </r>
    <r>
      <rPr>
        <sz val="9"/>
        <rFont val="宋体"/>
        <family val="3"/>
        <charset val="134"/>
      </rPr>
      <t>月</t>
    </r>
    <r>
      <rPr>
        <sz val="9"/>
        <rFont val="Arial"/>
        <family val="2"/>
      </rPr>
      <t>31</t>
    </r>
    <r>
      <rPr>
        <sz val="9"/>
        <rFont val="宋体"/>
        <family val="3"/>
        <charset val="134"/>
      </rPr>
      <t>日，</t>
    </r>
    <r>
      <rPr>
        <sz val="9"/>
        <rFont val="Arial"/>
        <family val="2"/>
      </rPr>
      <t>7</t>
    </r>
    <r>
      <rPr>
        <sz val="9"/>
        <rFont val="宋体"/>
        <family val="3"/>
        <charset val="134"/>
      </rPr>
      <t>天，每人每天</t>
    </r>
    <r>
      <rPr>
        <sz val="9"/>
        <rFont val="Arial"/>
        <family val="2"/>
      </rPr>
      <t>2</t>
    </r>
    <r>
      <rPr>
        <sz val="9"/>
        <rFont val="宋体"/>
        <family val="3"/>
        <charset val="134"/>
      </rPr>
      <t>张，一共</t>
    </r>
    <r>
      <rPr>
        <sz val="9"/>
        <rFont val="Arial"/>
        <family val="2"/>
      </rPr>
      <t>14</t>
    </r>
    <r>
      <rPr>
        <sz val="9"/>
        <rFont val="宋体"/>
        <family val="3"/>
        <charset val="134"/>
      </rPr>
      <t>张</t>
    </r>
  </si>
  <si>
    <t>房间物料：房卡套</t>
  </si>
  <si>
    <t>房间物料：行程卡</t>
  </si>
  <si>
    <t>房间物料：零食提示卡</t>
  </si>
  <si>
    <t>房间物料：信封</t>
  </si>
  <si>
    <t>房间物料：云摄影直播二维码卡片</t>
  </si>
  <si>
    <t>客房欢迎礼：欢迎水果</t>
  </si>
  <si>
    <t>客房欢迎礼：零食</t>
  </si>
  <si>
    <t>客房欢迎礼：欢迎信-定制3D立体城市剪影</t>
  </si>
  <si>
    <t>定制冠军礼袍设计费</t>
  </si>
  <si>
    <t>定制矿泉水</t>
  </si>
  <si>
    <r>
      <rPr>
        <sz val="9"/>
        <rFont val="宋体"/>
        <family val="3"/>
        <charset val="134"/>
      </rPr>
      <t>定制</t>
    </r>
    <r>
      <rPr>
        <sz val="9"/>
        <rFont val="Arial"/>
        <family val="2"/>
      </rPr>
      <t>logo</t>
    </r>
    <r>
      <rPr>
        <sz val="9"/>
        <rFont val="宋体"/>
        <family val="3"/>
        <charset val="134"/>
      </rPr>
      <t>百岁山，签到台、车辆、房间</t>
    </r>
  </si>
  <si>
    <t>定制工作服</t>
  </si>
  <si>
    <t>定制logo冲锋衣</t>
  </si>
  <si>
    <t>会场发光手举牌</t>
  </si>
  <si>
    <r>
      <rPr>
        <sz val="9"/>
        <rFont val="宋体"/>
        <family val="3"/>
        <charset val="134"/>
      </rPr>
      <t>奥体</t>
    </r>
    <r>
      <rPr>
        <sz val="9"/>
        <rFont val="Arial"/>
        <family val="2"/>
      </rPr>
      <t>10</t>
    </r>
    <r>
      <rPr>
        <sz val="9"/>
        <rFont val="宋体"/>
        <family val="3"/>
        <charset val="134"/>
      </rPr>
      <t>个，国博15个</t>
    </r>
  </si>
  <si>
    <t>运输及快递费用预估</t>
  </si>
  <si>
    <t>搭建</t>
  </si>
  <si>
    <t>酒店外场道旗</t>
  </si>
  <si>
    <t>酒店户外发光立体字</t>
  </si>
  <si>
    <t>酒店户外欢迎异形背板</t>
  </si>
  <si>
    <t>酒店内大堂立体字</t>
  </si>
  <si>
    <t>签到台墙：异形发光背板</t>
  </si>
  <si>
    <t>4*7.异形</t>
  </si>
  <si>
    <t>签到台：签到桌</t>
  </si>
  <si>
    <t>长度5m，木质烤漆，异形结构</t>
  </si>
  <si>
    <t>四星酒店签到背板+签到桌</t>
  </si>
  <si>
    <t>工作间：酒店内会议室租金</t>
  </si>
  <si>
    <t>工作间：办公用品预估</t>
  </si>
  <si>
    <t>3D设计费</t>
  </si>
  <si>
    <t>平面设计费</t>
  </si>
  <si>
    <t>物资快递费</t>
  </si>
  <si>
    <t>酒店内破损等</t>
  </si>
  <si>
    <t>其他不可预见</t>
  </si>
  <si>
    <r>
      <rPr>
        <b/>
        <sz val="11"/>
        <rFont val="宋体"/>
        <family val="3"/>
        <charset val="134"/>
      </rPr>
      <t>专票税费</t>
    </r>
    <r>
      <rPr>
        <sz val="9"/>
        <rFont val="Arial"/>
        <family val="2"/>
      </rPr>
      <t>6%</t>
    </r>
  </si>
  <si>
    <t>客户单位</t>
  </si>
  <si>
    <t>快手-娱乐暑期计划发布会</t>
  </si>
  <si>
    <t>联系人</t>
  </si>
  <si>
    <t>孙晓达</t>
  </si>
  <si>
    <t>联系方式</t>
  </si>
  <si>
    <t>项目日期</t>
  </si>
  <si>
    <t>6月28日-6月29日</t>
  </si>
  <si>
    <t>人数</t>
  </si>
  <si>
    <r>
      <t>20</t>
    </r>
    <r>
      <rPr>
        <sz val="10"/>
        <color indexed="12"/>
        <rFont val="微软雅黑"/>
        <family val="2"/>
        <charset val="134"/>
      </rPr>
      <t>人</t>
    </r>
  </si>
  <si>
    <t>目的地</t>
  </si>
  <si>
    <t>北京</t>
  </si>
  <si>
    <t>报价时间</t>
  </si>
  <si>
    <t>项目经理</t>
  </si>
  <si>
    <t>王璐露</t>
  </si>
  <si>
    <t>邮箱地址</t>
  </si>
  <si>
    <t>收入明细</t>
  </si>
  <si>
    <t>单位</t>
  </si>
  <si>
    <t>频次</t>
  </si>
  <si>
    <t>青岛-北京</t>
  </si>
  <si>
    <t>火车票</t>
  </si>
  <si>
    <t>人</t>
  </si>
  <si>
    <t>单程</t>
  </si>
  <si>
    <t>元</t>
  </si>
  <si>
    <t>重庆-北京</t>
  </si>
  <si>
    <t>经济舱（境内）</t>
  </si>
  <si>
    <t>预估价格，最终按照实际出票为准</t>
  </si>
  <si>
    <t>长沙-北京</t>
  </si>
  <si>
    <t>厦门-北京</t>
  </si>
  <si>
    <t>广州-北京</t>
  </si>
  <si>
    <t>单项小计:</t>
  </si>
  <si>
    <t>地面交通</t>
  </si>
  <si>
    <t>接机/接站-首都机场</t>
  </si>
  <si>
    <t>7座普通商务车</t>
  </si>
  <si>
    <t>辆/趟</t>
  </si>
  <si>
    <t>100元／小时，10元／公里</t>
  </si>
  <si>
    <t>送机/送站-大兴机场</t>
  </si>
  <si>
    <t>全程包车</t>
  </si>
  <si>
    <t>辆</t>
  </si>
  <si>
    <t>全程</t>
  </si>
  <si>
    <t>19-22座普通小巴</t>
  </si>
  <si>
    <t>150元／小时，15元／公里</t>
  </si>
  <si>
    <t>费用合计</t>
  </si>
  <si>
    <t>酒店住宿</t>
  </si>
  <si>
    <t>首钢香格里拉酒店</t>
  </si>
  <si>
    <t>高级大床</t>
  </si>
  <si>
    <t>间</t>
  </si>
  <si>
    <t>晚</t>
  </si>
  <si>
    <t>双早</t>
  </si>
  <si>
    <t>首钢智选假日酒店</t>
  </si>
  <si>
    <t>会议</t>
  </si>
  <si>
    <t>首钢香格里拉酒店-群明生辉宴会1+2厅</t>
  </si>
  <si>
    <t>进场费</t>
  </si>
  <si>
    <t>个</t>
  </si>
  <si>
    <t>全天</t>
  </si>
  <si>
    <t>首钢香格里拉酒店-群明生辉宴会</t>
  </si>
  <si>
    <t>半日场租</t>
  </si>
  <si>
    <t>半日</t>
  </si>
  <si>
    <t>茶歇</t>
  </si>
  <si>
    <t>次</t>
  </si>
  <si>
    <t>自助午餐</t>
  </si>
  <si>
    <t>保险</t>
  </si>
  <si>
    <t>制作物料</t>
  </si>
  <si>
    <t>接机牌</t>
  </si>
  <si>
    <t>其他</t>
  </si>
  <si>
    <t>赠送</t>
  </si>
  <si>
    <t>车头牌</t>
  </si>
  <si>
    <t>工作人员</t>
  </si>
  <si>
    <t>活动现场工作人员</t>
  </si>
  <si>
    <t>天</t>
  </si>
  <si>
    <t>工作时长8小时</t>
  </si>
  <si>
    <t>餐费</t>
  </si>
  <si>
    <t>运营费用</t>
  </si>
  <si>
    <t>备用金</t>
  </si>
  <si>
    <t>项</t>
  </si>
  <si>
    <t>合计（货币单位）</t>
  </si>
  <si>
    <t>服务费4%（人民币：元）</t>
  </si>
  <si>
    <t>增值税专用发票税6%（人民币：元）</t>
  </si>
  <si>
    <t>费用总计（人民币）</t>
  </si>
  <si>
    <t>项目数量</t>
    <phoneticPr fontId="4" type="noConversion"/>
  </si>
  <si>
    <t>酒店</t>
    <phoneticPr fontId="4" type="noConversion"/>
  </si>
  <si>
    <t>市内交通</t>
    <phoneticPr fontId="4" type="noConversion"/>
  </si>
  <si>
    <t>餐饮</t>
    <phoneticPr fontId="4" type="noConversion"/>
  </si>
  <si>
    <t>参会人员保险</t>
    <phoneticPr fontId="4" type="noConversion"/>
  </si>
  <si>
    <t>同程人员</t>
    <phoneticPr fontId="4" type="noConversion"/>
  </si>
  <si>
    <t>第三方人员</t>
    <phoneticPr fontId="4" type="noConversion"/>
  </si>
  <si>
    <t>物料制作</t>
    <phoneticPr fontId="4" type="noConversion"/>
  </si>
  <si>
    <t>备注</t>
    <phoneticPr fontId="4" type="noConversion"/>
  </si>
  <si>
    <t>总计</t>
    <phoneticPr fontId="4" type="noConversion"/>
  </si>
  <si>
    <t>年度</t>
    <phoneticPr fontId="4" type="noConversion"/>
  </si>
  <si>
    <t>大于100w</t>
    <phoneticPr fontId="4" type="noConversion"/>
  </si>
  <si>
    <t>10-100w</t>
    <phoneticPr fontId="4" type="noConversion"/>
  </si>
  <si>
    <t>小于10w</t>
    <phoneticPr fontId="4" type="noConversion"/>
  </si>
  <si>
    <t>需求类型</t>
    <phoneticPr fontId="4" type="noConversion"/>
  </si>
  <si>
    <t>总价</t>
    <phoneticPr fontId="4" type="noConversion"/>
  </si>
  <si>
    <t>占比</t>
    <phoneticPr fontId="4" type="noConversion"/>
  </si>
  <si>
    <t>项目名称</t>
    <phoneticPr fontId="4" type="noConversion"/>
  </si>
  <si>
    <t>业务联系人</t>
    <phoneticPr fontId="4" type="noConversion"/>
  </si>
  <si>
    <t>采购联系人</t>
    <phoneticPr fontId="4" type="noConversion"/>
  </si>
  <si>
    <t>客户名称</t>
    <phoneticPr fontId="4" type="noConversion"/>
  </si>
  <si>
    <t>接待人数</t>
    <phoneticPr fontId="4" type="noConversion"/>
  </si>
  <si>
    <t>机票预估总采购金额</t>
    <phoneticPr fontId="4" type="noConversion"/>
  </si>
  <si>
    <t>高铁预估总采购金额</t>
    <phoneticPr fontId="4" type="noConversion"/>
  </si>
  <si>
    <t>pcs</t>
    <phoneticPr fontId="4" type="noConversion"/>
  </si>
  <si>
    <t>人/次</t>
    <phoneticPr fontId="4" type="noConversion"/>
  </si>
  <si>
    <t>项目</t>
    <phoneticPr fontId="4" type="noConversion"/>
  </si>
  <si>
    <t>舱位等级</t>
    <phoneticPr fontId="4" type="noConversion"/>
  </si>
  <si>
    <t>单位</t>
    <phoneticPr fontId="4" type="noConversion"/>
  </si>
  <si>
    <t>预估采购金额</t>
    <phoneticPr fontId="4" type="noConversion"/>
  </si>
  <si>
    <t>车辆超时费</t>
  </si>
  <si>
    <t>4座普通小车</t>
  </si>
  <si>
    <t>4座豪华小车</t>
  </si>
  <si>
    <t>7座豪华商务车</t>
  </si>
  <si>
    <t>19-22座豪华小巴</t>
  </si>
  <si>
    <t>15座普通商务车</t>
  </si>
  <si>
    <t>15座豪华商务车</t>
  </si>
  <si>
    <t>33座中巴</t>
  </si>
  <si>
    <t>37座中巴</t>
  </si>
  <si>
    <t>45座大巴</t>
  </si>
  <si>
    <t>53座大巴</t>
  </si>
  <si>
    <t>57座大巴</t>
  </si>
  <si>
    <t>单次使用</t>
    <phoneticPr fontId="4" type="noConversion"/>
  </si>
  <si>
    <t>包车</t>
    <phoneticPr fontId="4" type="noConversion"/>
  </si>
  <si>
    <t>车次</t>
    <phoneticPr fontId="4" type="noConversion"/>
  </si>
  <si>
    <t>车次*天</t>
    <phoneticPr fontId="4" type="noConversion"/>
  </si>
  <si>
    <t>埃尔法</t>
    <phoneticPr fontId="4" type="noConversion"/>
  </si>
  <si>
    <t>考斯特</t>
    <phoneticPr fontId="4" type="noConversion"/>
  </si>
  <si>
    <t>GL8</t>
    <phoneticPr fontId="4" type="noConversion"/>
  </si>
  <si>
    <t>车辆超时费预估：20辆车*5天*4小时</t>
    <phoneticPr fontId="4" type="noConversion"/>
  </si>
  <si>
    <t>车*次</t>
    <phoneticPr fontId="4" type="noConversion"/>
  </si>
  <si>
    <t>其他车辆费用</t>
    <phoneticPr fontId="4" type="noConversion"/>
  </si>
  <si>
    <t>？</t>
    <phoneticPr fontId="4" type="noConversion"/>
  </si>
  <si>
    <r>
      <t>活动日用车</t>
    </r>
    <r>
      <rPr>
        <sz val="9"/>
        <color rgb="FFFF0000"/>
        <rFont val="微软雅黑"/>
        <family val="2"/>
        <charset val="134"/>
      </rPr>
      <t>：大巴车全天包车，8月10日</t>
    </r>
  </si>
  <si>
    <r>
      <t>大巴车</t>
    </r>
    <r>
      <rPr>
        <sz val="9"/>
        <color rgb="FFFF0000"/>
        <rFont val="微软雅黑"/>
        <family val="2"/>
        <charset val="134"/>
      </rPr>
      <t>包车2辆；8小时，150公里；活动期间酒店-场馆摆渡车，最终以实际使用结算，超时按照150元/小时，超公里按照15元/公里</t>
    </r>
  </si>
  <si>
    <t>GL8（多少KM内一口价，每多1KM，X元）</t>
    <phoneticPr fontId="4" type="noConversion"/>
  </si>
  <si>
    <t>车辆类型</t>
    <phoneticPr fontId="4" type="noConversion"/>
  </si>
  <si>
    <t>其他</t>
    <phoneticPr fontId="4" type="noConversion"/>
  </si>
  <si>
    <t>机场VIP通道费用、交通杂费（停车费/过路费）</t>
    <phoneticPr fontId="4" type="noConversion"/>
  </si>
  <si>
    <r>
      <t>GL8包车</t>
    </r>
    <r>
      <rPr>
        <sz val="9"/>
        <color rgb="FF3F3F3F"/>
        <rFont val="微软雅黑"/>
        <family val="2"/>
        <charset val="134"/>
      </rPr>
      <t>；8小时，100公里；活动期间酒店-场馆摆渡车，</t>
    </r>
    <r>
      <rPr>
        <sz val="9"/>
        <color rgb="FFFF0000"/>
        <rFont val="微软雅黑"/>
        <family val="2"/>
        <charset val="134"/>
      </rPr>
      <t>最终以实际使用结算.超时按照100元/小时，超公里按照10元/公里</t>
    </r>
    <phoneticPr fontId="4" type="noConversion"/>
  </si>
  <si>
    <t>数量</t>
    <phoneticPr fontId="4" type="noConversion"/>
  </si>
  <si>
    <t>房间类型</t>
    <phoneticPr fontId="4" type="noConversion"/>
  </si>
  <si>
    <t>高级双床</t>
  </si>
  <si>
    <t>会议
（含场地）</t>
    <phoneticPr fontId="4" type="noConversion"/>
  </si>
  <si>
    <t>会议名称</t>
    <phoneticPr fontId="4" type="noConversion"/>
  </si>
  <si>
    <t>个</t>
    <phoneticPr fontId="4" type="noConversion"/>
  </si>
  <si>
    <t>进场费</t>
    <phoneticPr fontId="4" type="noConversion"/>
  </si>
  <si>
    <t>围桌午餐</t>
  </si>
  <si>
    <t>自助晚餐</t>
  </si>
  <si>
    <t>围桌晚餐</t>
  </si>
  <si>
    <t>单价</t>
    <phoneticPr fontId="4" type="noConversion"/>
  </si>
  <si>
    <t>VIP管家</t>
    <phoneticPr fontId="4" type="noConversion"/>
  </si>
  <si>
    <t>第三方统筹</t>
    <phoneticPr fontId="4" type="noConversion"/>
  </si>
  <si>
    <t>餐补</t>
    <phoneticPr fontId="4" type="noConversion"/>
  </si>
  <si>
    <t>住宿补助</t>
    <phoneticPr fontId="4" type="noConversion"/>
  </si>
  <si>
    <t>活动现场前期运营</t>
    <phoneticPr fontId="4" type="noConversion"/>
  </si>
  <si>
    <t>中台核心工作组</t>
    <phoneticPr fontId="4" type="noConversion"/>
  </si>
  <si>
    <t>活动现场执行人员</t>
    <phoneticPr fontId="4" type="noConversion"/>
  </si>
  <si>
    <t>差旅补助</t>
    <phoneticPr fontId="4" type="noConversion"/>
  </si>
  <si>
    <t>工作时长8小时、第三方外包人员</t>
    <phoneticPr fontId="4" type="noConversion"/>
  </si>
  <si>
    <t>工作时长8小时、供应商自有人员</t>
    <phoneticPr fontId="4" type="noConversion"/>
  </si>
  <si>
    <t>高铁站工作人员-礼仪</t>
    <phoneticPr fontId="4" type="noConversion"/>
  </si>
  <si>
    <t>高铁站工作人员-安保</t>
    <phoneticPr fontId="4" type="noConversion"/>
  </si>
  <si>
    <t>高铁站工作人员-摄影</t>
    <phoneticPr fontId="4" type="noConversion"/>
  </si>
  <si>
    <t>高铁站工作人员-其他</t>
    <phoneticPr fontId="4" type="noConversion"/>
  </si>
  <si>
    <t>机场工作人员-礼仪</t>
    <phoneticPr fontId="4" type="noConversion"/>
  </si>
  <si>
    <t>机场工作人员-安保</t>
    <phoneticPr fontId="4" type="noConversion"/>
  </si>
  <si>
    <t>机场工作人员-摄影</t>
    <phoneticPr fontId="4" type="noConversion"/>
  </si>
  <si>
    <t>机场工作人员-其他</t>
    <phoneticPr fontId="4" type="noConversion"/>
  </si>
  <si>
    <t>酒店工作人员-礼仪</t>
    <phoneticPr fontId="4" type="noConversion"/>
  </si>
  <si>
    <t>酒店工作人员-安保</t>
    <phoneticPr fontId="4" type="noConversion"/>
  </si>
  <si>
    <t>酒店工作人员-摄影</t>
    <phoneticPr fontId="4" type="noConversion"/>
  </si>
  <si>
    <t>酒店工作人员-其他</t>
    <phoneticPr fontId="4" type="noConversion"/>
  </si>
  <si>
    <t>场馆工作人员-其他</t>
    <phoneticPr fontId="4" type="noConversion"/>
  </si>
  <si>
    <t>交通补助</t>
    <phoneticPr fontId="4" type="noConversion"/>
  </si>
  <si>
    <t>超时费</t>
    <phoneticPr fontId="4" type="noConversion"/>
  </si>
  <si>
    <t>培训费用</t>
    <phoneticPr fontId="4" type="noConversion"/>
  </si>
  <si>
    <t>人员补助</t>
    <phoneticPr fontId="4" type="noConversion"/>
  </si>
  <si>
    <t>快递费</t>
    <phoneticPr fontId="4" type="noConversion"/>
  </si>
  <si>
    <t>酒店内破损</t>
    <phoneticPr fontId="4" type="noConversion"/>
  </si>
  <si>
    <t>其他不可预见</t>
    <phoneticPr fontId="4" type="noConversion"/>
  </si>
  <si>
    <t>会议及场地费用</t>
    <phoneticPr fontId="4" type="noConversion"/>
  </si>
  <si>
    <t>车辆等级</t>
    <phoneticPr fontId="4" type="noConversion"/>
  </si>
  <si>
    <t>天</t>
    <phoneticPr fontId="4" type="noConversion"/>
  </si>
  <si>
    <t>条目明细</t>
    <phoneticPr fontId="4" type="noConversion"/>
  </si>
  <si>
    <t>车上物品：冠军主播：埃尔法，4天，每天补充</t>
    <phoneticPr fontId="4" type="noConversion"/>
  </si>
  <si>
    <t>车贴：埃尔法磁吸车贴，含车贴制作+人工工时+车辆工时+清洁费</t>
    <phoneticPr fontId="4" type="noConversion"/>
  </si>
  <si>
    <t>车上物品：其他主播，GL8，&amp;包车期间，每天补充</t>
    <phoneticPr fontId="4" type="noConversion"/>
  </si>
  <si>
    <t>车贴：GL8车贴，含车贴制作+人工工时+车辆工时+清洁费</t>
    <phoneticPr fontId="4" type="noConversion"/>
  </si>
  <si>
    <t>车上物品：GL8，接送机&amp;包车期间，3天，每天补充</t>
    <phoneticPr fontId="4" type="noConversion"/>
  </si>
  <si>
    <t>车上物品：考斯特，包车期间，3天，每天补充</t>
    <phoneticPr fontId="4" type="noConversion"/>
  </si>
  <si>
    <t>车贴：考斯特车贴，含车贴制作+人工工时+车辆工时+清洁费</t>
    <phoneticPr fontId="4" type="noConversion"/>
  </si>
  <si>
    <t>多数活动均会涉及的条目</t>
    <phoneticPr fontId="4" type="noConversion"/>
  </si>
  <si>
    <t>仅大型活动涉及的搭建、设计、物料类条目</t>
    <phoneticPr fontId="4" type="noConversion"/>
  </si>
  <si>
    <t>人员</t>
    <phoneticPr fontId="4" type="noConversion"/>
  </si>
  <si>
    <t>物料制作</t>
  </si>
  <si>
    <t>市内交通</t>
  </si>
  <si>
    <t>序号</t>
    <phoneticPr fontId="59" type="noConversion"/>
  </si>
  <si>
    <t>模块</t>
    <phoneticPr fontId="59" type="noConversion"/>
  </si>
  <si>
    <t>计价单位</t>
    <phoneticPr fontId="59" type="noConversion"/>
  </si>
  <si>
    <t>单价（元）</t>
    <phoneticPr fontId="59" type="noConversion"/>
  </si>
  <si>
    <t>总价</t>
    <phoneticPr fontId="59" type="noConversion"/>
  </si>
  <si>
    <t>模块1</t>
    <phoneticPr fontId="4" type="noConversion"/>
  </si>
  <si>
    <t>项</t>
    <phoneticPr fontId="4" type="noConversion"/>
  </si>
  <si>
    <t>模块2</t>
  </si>
  <si>
    <t>模块3</t>
  </si>
  <si>
    <t>模块4</t>
  </si>
  <si>
    <t>模块5</t>
  </si>
  <si>
    <t>模块6</t>
  </si>
  <si>
    <t>模块7</t>
  </si>
  <si>
    <t>模块8</t>
  </si>
  <si>
    <t>合计</t>
    <phoneticPr fontId="4" type="noConversion"/>
  </si>
  <si>
    <t>大交通</t>
    <phoneticPr fontId="4" type="noConversion"/>
  </si>
  <si>
    <t>地面交通</t>
    <phoneticPr fontId="4" type="noConversion"/>
  </si>
  <si>
    <t>酒店住宿</t>
    <phoneticPr fontId="4" type="noConversion"/>
  </si>
  <si>
    <t>会议及场地</t>
    <phoneticPr fontId="4" type="noConversion"/>
  </si>
  <si>
    <t>保险</t>
    <phoneticPr fontId="4" type="noConversion"/>
  </si>
  <si>
    <t>服务费</t>
    <phoneticPr fontId="4" type="noConversion"/>
  </si>
  <si>
    <t>税费</t>
    <phoneticPr fontId="4" type="noConversion"/>
  </si>
  <si>
    <t>运营费用</t>
    <phoneticPr fontId="4" type="noConversion"/>
  </si>
  <si>
    <t>模块9</t>
  </si>
  <si>
    <t>模块10</t>
  </si>
  <si>
    <t>黄色</t>
    <phoneticPr fontId="4" type="noConversion"/>
  </si>
  <si>
    <t>绿色</t>
    <phoneticPr fontId="4" type="noConversion"/>
  </si>
  <si>
    <t>机票/高铁</t>
    <phoneticPr fontId="4" type="noConversion"/>
  </si>
  <si>
    <t>项目类型</t>
    <phoneticPr fontId="4" type="noConversion"/>
  </si>
  <si>
    <t>单项目总价</t>
    <phoneticPr fontId="4" type="noConversion"/>
  </si>
  <si>
    <t>所有项目总价</t>
    <phoneticPr fontId="4" type="noConversion"/>
  </si>
  <si>
    <t>单独报价总计
（按单项报价）</t>
    <phoneticPr fontId="4" type="noConversion"/>
  </si>
  <si>
    <t>垫付总计
（实报实销，仅报价服务费率）</t>
    <phoneticPr fontId="4" type="noConversion"/>
  </si>
  <si>
    <r>
      <rPr>
        <b/>
        <sz val="9"/>
        <color rgb="FF000000"/>
        <rFont val="微软雅黑"/>
        <family val="2"/>
        <charset val="134"/>
      </rPr>
      <t>报价注意事项</t>
    </r>
    <r>
      <rPr>
        <sz val="9"/>
        <color rgb="FF000000"/>
        <rFont val="微软雅黑"/>
        <family val="2"/>
        <charset val="134"/>
      </rPr>
      <t xml:space="preserve">
1、服务费以限高逻辑进行报价；
2、大交通、酒店住宿、会议及场地、保险、运营费用实报实销，其余条目按照单价报价；
3、严格遵循各条目使用规则，原则上减少框架外报价
4、单独报价项均报价未含税费用</t>
    </r>
    <phoneticPr fontId="4" type="noConversion"/>
  </si>
  <si>
    <t>圆整</t>
    <phoneticPr fontId="4" type="noConversion"/>
  </si>
  <si>
    <t>KT板</t>
    <phoneticPr fontId="4" type="noConversion"/>
  </si>
  <si>
    <t>套</t>
    <phoneticPr fontId="4" type="noConversion"/>
  </si>
  <si>
    <t>车头牌</t>
    <phoneticPr fontId="4" type="noConversion"/>
  </si>
  <si>
    <t>车贴制作+人工工时+车辆工时+清洁费</t>
    <phoneticPr fontId="4" type="noConversion"/>
  </si>
  <si>
    <t>磁吸车贴</t>
    <phoneticPr fontId="4" type="noConversion"/>
  </si>
  <si>
    <t>车上用品</t>
    <phoneticPr fontId="4" type="noConversion"/>
  </si>
  <si>
    <t>水牌</t>
    <phoneticPr fontId="4" type="noConversion"/>
  </si>
  <si>
    <t>防疫物品</t>
    <phoneticPr fontId="4" type="noConversion"/>
  </si>
  <si>
    <t>房间物料集合</t>
    <phoneticPr fontId="4" type="noConversion"/>
  </si>
  <si>
    <t>花束（非节假日）</t>
    <phoneticPr fontId="4" type="noConversion"/>
  </si>
  <si>
    <t>花束（节假日）</t>
    <phoneticPr fontId="4" type="noConversion"/>
  </si>
  <si>
    <t>客房欢迎礼物</t>
    <phoneticPr fontId="4" type="noConversion"/>
  </si>
  <si>
    <t>接机牌、引领牌、手举牌</t>
    <phoneticPr fontId="4" type="noConversion"/>
  </si>
  <si>
    <t>打样费用</t>
    <phoneticPr fontId="4" type="noConversion"/>
  </si>
  <si>
    <t>运输及快递费用预估</t>
    <phoneticPr fontId="4" type="noConversion"/>
  </si>
  <si>
    <t>道旗</t>
    <phoneticPr fontId="4" type="noConversion"/>
  </si>
  <si>
    <t>发光字</t>
    <phoneticPr fontId="4" type="noConversion"/>
  </si>
  <si>
    <t>亚克力字</t>
    <phoneticPr fontId="4" type="noConversion"/>
  </si>
  <si>
    <t>签到桌</t>
    <phoneticPr fontId="4" type="noConversion"/>
  </si>
  <si>
    <t>3D设计费</t>
    <phoneticPr fontId="4" type="noConversion"/>
  </si>
  <si>
    <t>平面设计费</t>
    <phoneticPr fontId="4" type="noConversion"/>
  </si>
  <si>
    <t>定制矿泉水</t>
    <phoneticPr fontId="4" type="noConversion"/>
  </si>
  <si>
    <t>定制工作服</t>
    <phoneticPr fontId="4" type="noConversion"/>
  </si>
  <si>
    <t>木质搭建</t>
    <phoneticPr fontId="4" type="noConversion"/>
  </si>
  <si>
    <t>鲜花（单只）</t>
    <phoneticPr fontId="4" type="noConversion"/>
  </si>
  <si>
    <t>物料</t>
  </si>
  <si>
    <t>m2</t>
    <phoneticPr fontId="4" type="noConversion"/>
  </si>
  <si>
    <t>束</t>
    <phoneticPr fontId="4" type="noConversion"/>
  </si>
  <si>
    <t>只</t>
    <phoneticPr fontId="4" type="noConversion"/>
  </si>
  <si>
    <t>瓶</t>
    <phoneticPr fontId="4" type="noConversion"/>
  </si>
  <si>
    <t>件</t>
    <phoneticPr fontId="4" type="noConversion"/>
  </si>
  <si>
    <t>延米</t>
    <phoneticPr fontId="4" type="noConversion"/>
  </si>
  <si>
    <t>实报实销</t>
    <phoneticPr fontId="4" type="noConversion"/>
  </si>
  <si>
    <t>发光KT板</t>
    <phoneticPr fontId="4" type="noConversion"/>
  </si>
  <si>
    <t>第二梯度：车上物品：其他主播，GL8，&amp;包车期间，每天补充</t>
    <phoneticPr fontId="4" type="noConversion"/>
  </si>
  <si>
    <t>亚克力板</t>
    <phoneticPr fontId="4" type="noConversion"/>
  </si>
  <si>
    <t>元</t>
    <phoneticPr fontId="4" type="noConversion"/>
  </si>
  <si>
    <t>实报实销、机场VIP通道费用、交通杂费等</t>
    <phoneticPr fontId="4" type="noConversion"/>
  </si>
  <si>
    <t>包车
（活动期间接送，例如：往返会场及酒店等场景）</t>
    <phoneticPr fontId="4" type="noConversion"/>
  </si>
  <si>
    <t>车辆超公里费</t>
  </si>
  <si>
    <t>实报实销、仅为预估，据实结算，报价时需标准清楚原因</t>
    <phoneticPr fontId="4" type="noConversion"/>
  </si>
  <si>
    <t>单次使用（接送机）
（单次100KM内市区机场、高铁站等场景接送）</t>
    <phoneticPr fontId="4" type="noConversion"/>
  </si>
  <si>
    <t>车*趟</t>
  </si>
  <si>
    <t>服务费（人民币：元）</t>
    <phoneticPr fontId="4" type="noConversion"/>
  </si>
  <si>
    <t>8小时，超时费80-100每小时</t>
    <phoneticPr fontId="4" type="noConversion"/>
  </si>
  <si>
    <t>各种卷、卡片、信封，实报实销</t>
    <phoneticPr fontId="4" type="noConversion"/>
  </si>
  <si>
    <t>例如：接待处背板，单面写真</t>
    <phoneticPr fontId="4" type="noConversion"/>
  </si>
  <si>
    <t>个性化，实报实销</t>
    <phoneticPr fontId="4" type="noConversion"/>
  </si>
  <si>
    <t>拈花湾波罗蜜多酒店</t>
    <phoneticPr fontId="4" type="noConversion"/>
  </si>
  <si>
    <t>景观大床房</t>
    <phoneticPr fontId="4" type="noConversion"/>
  </si>
  <si>
    <t>景观双床房</t>
    <phoneticPr fontId="4" type="noConversion"/>
  </si>
  <si>
    <t>精品客栈云水间</t>
    <phoneticPr fontId="4" type="noConversion"/>
  </si>
  <si>
    <t>豪华双床</t>
  </si>
  <si>
    <t>波罗蜜多西餐厅+园区禅食馆</t>
    <phoneticPr fontId="4" type="noConversion"/>
  </si>
  <si>
    <t>波罗蜜多宴会厅</t>
    <phoneticPr fontId="4" type="noConversion"/>
  </si>
  <si>
    <t>DAY1</t>
    <phoneticPr fontId="4" type="noConversion"/>
  </si>
  <si>
    <t>DAY2</t>
    <phoneticPr fontId="4" type="noConversion"/>
  </si>
  <si>
    <t>SVIP专属管家</t>
    <phoneticPr fontId="4" type="noConversion"/>
  </si>
  <si>
    <t>机场工作人员-兼职</t>
    <phoneticPr fontId="4" type="noConversion"/>
  </si>
  <si>
    <t>高铁站工作人员-兼职</t>
    <phoneticPr fontId="4" type="noConversion"/>
  </si>
  <si>
    <t>摄影</t>
    <phoneticPr fontId="4" type="noConversion"/>
  </si>
  <si>
    <t>SVIP园区短驳车包车</t>
    <phoneticPr fontId="4" type="noConversion"/>
  </si>
  <si>
    <t>H5、短信平台使用：出票信息、出行提醒、活动提醒等</t>
    <phoneticPr fontId="4" type="noConversion"/>
  </si>
  <si>
    <t>嘉宾园区短驳车循环</t>
    <phoneticPr fontId="4" type="noConversion"/>
  </si>
  <si>
    <t>VIP园区短驳车循环</t>
    <phoneticPr fontId="4" type="noConversion"/>
  </si>
  <si>
    <t>小时</t>
    <phoneticPr fontId="4" type="noConversion"/>
  </si>
  <si>
    <t>13座空调车，费用预估</t>
    <phoneticPr fontId="4" type="noConversion"/>
  </si>
  <si>
    <t>22座电瓶车，费用预估</t>
    <phoneticPr fontId="4" type="noConversion"/>
  </si>
  <si>
    <t>间</t>
    <phoneticPr fontId="4" type="noConversion"/>
  </si>
  <si>
    <t>花束（SVIP房间）</t>
    <phoneticPr fontId="4" type="noConversion"/>
  </si>
  <si>
    <t>DP打卡点</t>
    <phoneticPr fontId="4" type="noConversion"/>
  </si>
  <si>
    <t>签到背景板</t>
    <phoneticPr fontId="4" type="noConversion"/>
  </si>
  <si>
    <t>SVIP房间花束</t>
    <phoneticPr fontId="4" type="noConversion"/>
  </si>
  <si>
    <t>含湿巾、口罩、防蚊用品、防暑用品</t>
    <phoneticPr fontId="4" type="noConversion"/>
  </si>
  <si>
    <t>云相册</t>
    <phoneticPr fontId="4" type="noConversion"/>
  </si>
  <si>
    <t>接机手举牌</t>
    <phoneticPr fontId="4" type="noConversion"/>
  </si>
  <si>
    <t>工作证</t>
    <phoneticPr fontId="4" type="noConversion"/>
  </si>
  <si>
    <t>车贴</t>
    <phoneticPr fontId="4" type="noConversion"/>
  </si>
  <si>
    <t>马可</t>
    <phoneticPr fontId="4" type="noConversion"/>
  </si>
  <si>
    <t>make@cct.cn</t>
    <phoneticPr fontId="4" type="noConversion"/>
  </si>
  <si>
    <t>古筝演绎人员</t>
    <phoneticPr fontId="4" type="noConversion"/>
  </si>
  <si>
    <t>DP打卡点立体字</t>
    <phoneticPr fontId="4" type="noConversion"/>
  </si>
  <si>
    <t>PVC</t>
    <phoneticPr fontId="4" type="noConversion"/>
  </si>
  <si>
    <t>SVIP房间物料集合</t>
    <phoneticPr fontId="4" type="noConversion"/>
  </si>
  <si>
    <t>VIP房间物料集合</t>
    <phoneticPr fontId="4" type="noConversion"/>
  </si>
  <si>
    <t>张</t>
    <phoneticPr fontId="4" type="noConversion"/>
  </si>
  <si>
    <t>SVIP车上用品</t>
    <phoneticPr fontId="4" type="noConversion"/>
  </si>
  <si>
    <t>VIP车上用品</t>
    <phoneticPr fontId="4" type="noConversion"/>
  </si>
  <si>
    <t>箱</t>
    <phoneticPr fontId="4" type="noConversion"/>
  </si>
  <si>
    <t>24瓶/箱</t>
    <phoneticPr fontId="4" type="noConversion"/>
  </si>
  <si>
    <t>SVIP/VIP定制欢迎果盘</t>
    <phoneticPr fontId="4" type="noConversion"/>
  </si>
  <si>
    <t>徐岩</t>
    <phoneticPr fontId="4" type="noConversion"/>
  </si>
  <si>
    <t>2024快手光合创作者大会</t>
    <phoneticPr fontId="4" type="noConversion"/>
  </si>
  <si>
    <t>无锡</t>
    <phoneticPr fontId="4" type="noConversion"/>
  </si>
  <si>
    <t>8月底</t>
    <phoneticPr fontId="4" type="noConversion"/>
  </si>
  <si>
    <t>定制咖啡杯</t>
    <phoneticPr fontId="4" type="noConversion"/>
  </si>
  <si>
    <t>500只/箱</t>
    <phoneticPr fontId="4" type="noConversion"/>
  </si>
  <si>
    <t>定制路牌吸管</t>
    <phoneticPr fontId="4" type="noConversion"/>
  </si>
  <si>
    <t>包</t>
    <phoneticPr fontId="4" type="noConversion"/>
  </si>
  <si>
    <t>100只/包</t>
    <phoneticPr fontId="4" type="noConversion"/>
  </si>
  <si>
    <t>搭建人工</t>
    <phoneticPr fontId="4" type="noConversion"/>
  </si>
  <si>
    <t>其他用餐</t>
    <phoneticPr fontId="4" type="noConversion"/>
  </si>
  <si>
    <t>纸笔定制</t>
    <phoneticPr fontId="4" type="noConversion"/>
  </si>
  <si>
    <t>份</t>
    <phoneticPr fontId="4" type="noConversion"/>
  </si>
  <si>
    <t>药品</t>
    <phoneticPr fontId="4" type="noConversion"/>
  </si>
  <si>
    <t>北京往返</t>
    <phoneticPr fontId="4" type="noConversion"/>
  </si>
  <si>
    <t>会议茶歇</t>
    <phoneticPr fontId="4" type="noConversion"/>
  </si>
  <si>
    <t>待定</t>
    <phoneticPr fontId="4" type="noConversion"/>
  </si>
  <si>
    <t>高铁票服务费</t>
    <phoneticPr fontId="4" type="noConversion"/>
  </si>
  <si>
    <t>服务费</t>
  </si>
  <si>
    <t>含接送机</t>
    <phoneticPr fontId="4" type="noConversion"/>
  </si>
  <si>
    <t>SVIP/VIP床旗</t>
    <phoneticPr fontId="4" type="noConversion"/>
  </si>
  <si>
    <t>酒水</t>
    <phoneticPr fontId="4" type="noConversion"/>
  </si>
  <si>
    <t>会务组项目总监</t>
    <phoneticPr fontId="4" type="noConversion"/>
  </si>
  <si>
    <t>会务组成员</t>
    <phoneticPr fontId="4" type="noConversion"/>
  </si>
  <si>
    <t>拈花湾门票</t>
    <phoneticPr fontId="4" type="noConversion"/>
  </si>
  <si>
    <t>SVIP/VIP桌旗</t>
    <phoneticPr fontId="4" type="noConversion"/>
  </si>
  <si>
    <t>定制抱枕</t>
    <phoneticPr fontId="4" type="noConversion"/>
  </si>
  <si>
    <t>定制蒲扇</t>
    <phoneticPr fontId="4" type="noConversion"/>
  </si>
  <si>
    <t>KV背景板</t>
    <phoneticPr fontId="4" type="noConversion"/>
  </si>
  <si>
    <t>行程手册</t>
    <phoneticPr fontId="4" type="noConversion"/>
  </si>
  <si>
    <t>房卡套</t>
    <phoneticPr fontId="4" type="noConversion"/>
  </si>
  <si>
    <t>欢迎信</t>
    <phoneticPr fontId="4" type="noConversion"/>
  </si>
  <si>
    <t>本</t>
    <phoneticPr fontId="4" type="noConversion"/>
  </si>
  <si>
    <t>打印机</t>
    <phoneticPr fontId="4" type="noConversion"/>
  </si>
  <si>
    <t>台</t>
    <phoneticPr fontId="4" type="noConversion"/>
  </si>
  <si>
    <t>定制气泡水</t>
    <phoneticPr fontId="4" type="noConversion"/>
  </si>
  <si>
    <t>12瓶/箱</t>
    <phoneticPr fontId="4" type="noConversion"/>
  </si>
  <si>
    <t>核心工作组</t>
    <phoneticPr fontId="4" type="noConversion"/>
  </si>
  <si>
    <t>签到台、欢迎晚宴，会议午餐、客栈欢迎</t>
    <phoneticPr fontId="4" type="noConversion"/>
  </si>
  <si>
    <t>身份胸牌</t>
    <phoneticPr fontId="4" type="noConversion"/>
  </si>
  <si>
    <t>广州往返</t>
    <phoneticPr fontId="4" type="noConversion"/>
  </si>
  <si>
    <t>成都往返</t>
    <phoneticPr fontId="4" type="noConversion"/>
  </si>
  <si>
    <t>哈尔滨往返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</si>
</sst>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8" formatCode="&quot;¥&quot;#,##0.00_);[Red]\(&quot;¥&quot;#,##0.00\)"/>
    <numFmt numFmtId="44" formatCode="_(&quot;¥&quot;* #,##0.00_);_(&quot;¥&quot;* \(#,##0.00\);_(&quot;¥&quot;* &quot;-&quot;??_);_(@_)"/>
    <numFmt numFmtId="43" formatCode="_(* #,##0.00_);_(* \(#,##0.00\);_(* &quot;-&quot;??_);_(@_)"/>
    <numFmt numFmtId="176" formatCode="\¥###,##0"/>
    <numFmt numFmtId="177" formatCode="\¥##,##0"/>
    <numFmt numFmtId="178" formatCode="0_ "/>
    <numFmt numFmtId="179" formatCode="_-* #,##0\ _F_-;\-* #,##0\ _F_-;_-* &quot;-&quot;??\ _F_-;_-@_-"/>
    <numFmt numFmtId="180" formatCode="0.00_);[Red]\(0.00\)"/>
    <numFmt numFmtId="181" formatCode="_-* #,##0.00\ [$€-1]_-;\-* #,##0.00\ [$€-1]_-;_-* &quot;-&quot;??\ [$€-1]_-"/>
  </numFmts>
  <fonts count="64">
    <font>
      <sz val="12"/>
      <color theme="1"/>
      <name val="等线"/>
      <family val="2"/>
      <charset val="134"/>
      <scheme val="minor"/>
    </font>
    <font>
      <sz val="12"/>
      <color theme="1"/>
      <name val="等线"/>
      <family val="2"/>
      <charset val="134"/>
      <scheme val="minor"/>
    </font>
    <font>
      <sz val="10"/>
      <name val="Arial"/>
      <family val="2"/>
    </font>
    <font>
      <b/>
      <sz val="14"/>
      <color rgb="FFFFFFFF"/>
      <name val="微软雅黑"/>
      <family val="2"/>
      <charset val="134"/>
    </font>
    <font>
      <sz val="9"/>
      <name val="等线"/>
      <family val="2"/>
      <charset val="134"/>
      <scheme val="minor"/>
    </font>
    <font>
      <b/>
      <sz val="10"/>
      <color rgb="FF1E5ECF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9"/>
      <color rgb="FF0C0C0C"/>
      <name val="微软雅黑"/>
      <family val="2"/>
      <charset val="134"/>
    </font>
    <font>
      <sz val="9"/>
      <color rgb="FF3F3F3F"/>
      <name val="微软雅黑"/>
      <family val="2"/>
      <charset val="134"/>
    </font>
    <font>
      <sz val="9"/>
      <color rgb="FFFF0000"/>
      <name val="微软雅黑"/>
      <family val="2"/>
      <charset val="134"/>
    </font>
    <font>
      <b/>
      <sz val="9"/>
      <color rgb="FF0C0C0C"/>
      <name val="微软雅黑"/>
      <family val="2"/>
      <charset val="134"/>
    </font>
    <font>
      <b/>
      <sz val="9"/>
      <color rgb="FF3F3F3F"/>
      <name val="微软雅黑"/>
      <family val="2"/>
      <charset val="134"/>
    </font>
    <font>
      <sz val="9"/>
      <color rgb="FF3F3F3F"/>
      <name val="宋体"/>
      <family val="3"/>
      <charset val="134"/>
    </font>
    <font>
      <sz val="9"/>
      <color rgb="FF3F3F3F"/>
      <name val="Arial"/>
      <family val="2"/>
    </font>
    <font>
      <b/>
      <sz val="11"/>
      <name val="微软雅黑"/>
      <family val="2"/>
      <charset val="134"/>
    </font>
    <font>
      <b/>
      <sz val="10"/>
      <color rgb="FF3F3F3F"/>
      <name val="微软雅黑"/>
      <family val="2"/>
      <charset val="134"/>
    </font>
    <font>
      <sz val="10"/>
      <name val="微软雅黑"/>
      <family val="2"/>
      <charset val="134"/>
    </font>
    <font>
      <b/>
      <sz val="14"/>
      <color rgb="FFFFFFFF"/>
      <name val="方正书宋_GBK"/>
      <charset val="134"/>
    </font>
    <font>
      <b/>
      <sz val="14"/>
      <color rgb="FFFFFFFF"/>
      <name val="Arial"/>
      <family val="2"/>
    </font>
    <font>
      <b/>
      <sz val="10"/>
      <color rgb="FF1E5ECF"/>
      <name val="Arial"/>
      <family val="2"/>
    </font>
    <font>
      <b/>
      <sz val="9"/>
      <name val="Arial"/>
      <family val="2"/>
    </font>
    <font>
      <b/>
      <sz val="9"/>
      <name val="宋体"/>
      <family val="3"/>
      <charset val="134"/>
    </font>
    <font>
      <sz val="9"/>
      <name val="Arial"/>
      <family val="2"/>
    </font>
    <font>
      <sz val="9"/>
      <name val="宋体"/>
      <family val="3"/>
      <charset val="134"/>
    </font>
    <font>
      <sz val="9"/>
      <name val="方正书宋_GBK"/>
      <charset val="134"/>
    </font>
    <font>
      <sz val="9"/>
      <name val="SimSun"/>
      <family val="3"/>
      <charset val="134"/>
    </font>
    <font>
      <sz val="9"/>
      <name val="Times New Roman"/>
      <family val="1"/>
    </font>
    <font>
      <sz val="10"/>
      <color theme="1"/>
      <name val="Arial"/>
      <family val="2"/>
    </font>
    <font>
      <sz val="9"/>
      <color rgb="FFFF0000"/>
      <name val="宋体"/>
      <family val="3"/>
      <charset val="134"/>
    </font>
    <font>
      <sz val="9"/>
      <color rgb="FFFF0000"/>
      <name val="Arial"/>
      <family val="2"/>
    </font>
    <font>
      <b/>
      <sz val="11"/>
      <name val="宋体"/>
      <family val="3"/>
      <charset val="134"/>
    </font>
    <font>
      <b/>
      <sz val="11"/>
      <name val="Arial"/>
      <family val="2"/>
    </font>
    <font>
      <b/>
      <sz val="10"/>
      <name val="Arial"/>
      <family val="2"/>
    </font>
    <font>
      <b/>
      <sz val="11"/>
      <name val="SimSun"/>
      <family val="3"/>
      <charset val="134"/>
    </font>
    <font>
      <sz val="9"/>
      <name val="微软雅黑"/>
      <family val="2"/>
      <charset val="134"/>
    </font>
    <font>
      <u/>
      <sz val="10"/>
      <color indexed="12"/>
      <name val="Arial"/>
      <family val="2"/>
    </font>
    <font>
      <u/>
      <sz val="10"/>
      <color rgb="FF0000FF"/>
      <name val="微软雅黑"/>
      <family val="2"/>
      <charset val="134"/>
    </font>
    <font>
      <sz val="10"/>
      <color indexed="12"/>
      <name val="微软雅黑"/>
      <family val="2"/>
      <charset val="134"/>
    </font>
    <font>
      <sz val="9"/>
      <color indexed="8"/>
      <name val="微软雅黑"/>
      <family val="2"/>
      <charset val="134"/>
    </font>
    <font>
      <sz val="11"/>
      <color theme="1"/>
      <name val="微软雅黑"/>
      <family val="2"/>
      <charset val="134"/>
    </font>
    <font>
      <u/>
      <sz val="10"/>
      <color indexed="12"/>
      <name val="微软雅黑"/>
      <family val="2"/>
      <charset val="134"/>
    </font>
    <font>
      <b/>
      <sz val="9"/>
      <name val="微软雅黑"/>
      <family val="2"/>
      <charset val="134"/>
    </font>
    <font>
      <b/>
      <sz val="9"/>
      <color indexed="8"/>
      <name val="微软雅黑"/>
      <family val="2"/>
      <charset val="134"/>
    </font>
    <font>
      <sz val="9"/>
      <color indexed="10"/>
      <name val="微软雅黑"/>
      <family val="2"/>
      <charset val="134"/>
    </font>
    <font>
      <b/>
      <i/>
      <sz val="9"/>
      <color indexed="12"/>
      <name val="微软雅黑"/>
      <family val="2"/>
      <charset val="134"/>
    </font>
    <font>
      <b/>
      <i/>
      <sz val="9"/>
      <color indexed="10"/>
      <name val="微软雅黑"/>
      <family val="2"/>
      <charset val="134"/>
    </font>
    <font>
      <sz val="10"/>
      <color indexed="10"/>
      <name val="微软雅黑"/>
      <family val="2"/>
      <charset val="134"/>
    </font>
    <font>
      <b/>
      <sz val="9"/>
      <color indexed="10"/>
      <name val="微软雅黑"/>
      <family val="2"/>
      <charset val="134"/>
    </font>
    <font>
      <b/>
      <sz val="9"/>
      <color indexed="17"/>
      <name val="微软雅黑"/>
      <family val="2"/>
      <charset val="134"/>
    </font>
    <font>
      <sz val="9"/>
      <color indexed="17"/>
      <name val="微软雅黑"/>
      <family val="2"/>
      <charset val="134"/>
    </font>
    <font>
      <sz val="10"/>
      <color indexed="17"/>
      <name val="微软雅黑"/>
      <family val="2"/>
      <charset val="134"/>
    </font>
    <font>
      <b/>
      <i/>
      <sz val="9"/>
      <name val="微软雅黑"/>
      <family val="2"/>
      <charset val="134"/>
    </font>
    <font>
      <b/>
      <sz val="10"/>
      <name val="微软雅黑"/>
      <family val="2"/>
      <charset val="134"/>
    </font>
    <font>
      <b/>
      <sz val="12"/>
      <color rgb="FFFF0000"/>
      <name val="微软雅黑"/>
      <family val="2"/>
      <charset val="134"/>
    </font>
    <font>
      <b/>
      <sz val="12"/>
      <color theme="1"/>
      <name val="等线"/>
      <family val="4"/>
      <charset val="134"/>
      <scheme val="minor"/>
    </font>
    <font>
      <b/>
      <sz val="9"/>
      <color rgb="FFFF0000"/>
      <name val="微软雅黑"/>
      <family val="2"/>
      <charset val="134"/>
    </font>
    <font>
      <sz val="9"/>
      <color theme="1"/>
      <name val="微软雅黑"/>
      <family val="2"/>
      <charset val="134"/>
    </font>
    <font>
      <sz val="10"/>
      <color rgb="FFFF0000"/>
      <name val="微软雅黑"/>
      <family val="2"/>
      <charset val="134"/>
    </font>
    <font>
      <b/>
      <sz val="9"/>
      <color theme="0"/>
      <name val="微软雅黑"/>
      <family val="2"/>
      <charset val="134"/>
    </font>
    <font>
      <sz val="9"/>
      <name val="等线"/>
      <family val="4"/>
      <charset val="134"/>
      <scheme val="minor"/>
    </font>
    <font>
      <sz val="9"/>
      <color rgb="FF000000"/>
      <name val="微软雅黑"/>
      <family val="2"/>
      <charset val="134"/>
    </font>
    <font>
      <b/>
      <sz val="9"/>
      <color rgb="FF000000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sz val="12"/>
      <color theme="1"/>
      <name val="微软雅黑"/>
      <family val="2"/>
      <charset val="134"/>
    </font>
  </fonts>
  <fills count="18">
    <fill>
      <patternFill patternType="none"/>
    </fill>
    <fill>
      <patternFill patternType="gray125"/>
    </fill>
    <fill>
      <patternFill patternType="solid">
        <fgColor rgb="FF005CFF"/>
        <bgColor rgb="FF005CFF"/>
      </patternFill>
    </fill>
    <fill>
      <patternFill patternType="solid">
        <fgColor rgb="FFF3F6FF"/>
        <bgColor rgb="FFF3F6FF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4905"/>
        <bgColor indexed="64"/>
      </patternFill>
    </fill>
    <fill>
      <patternFill patternType="solid">
        <fgColor theme="8" tint="0.39997558519241921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6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0" fontId="2" fillId="0" borderId="0"/>
    <xf numFmtId="0" fontId="35" fillId="0" borderId="0" applyNumberFormat="0" applyFill="0" applyBorder="0" applyAlignment="0" applyProtection="0">
      <alignment vertical="top"/>
      <protection locked="0"/>
    </xf>
    <xf numFmtId="181" fontId="2" fillId="0" borderId="0" applyFont="0" applyFill="0" applyBorder="0" applyAlignment="0" applyProtection="0"/>
    <xf numFmtId="44" fontId="1" fillId="0" borderId="0" applyFont="0" applyFill="0" applyBorder="0" applyAlignment="0" applyProtection="0">
      <alignment vertical="center"/>
    </xf>
  </cellStyleXfs>
  <cellXfs count="326">
    <xf numFmtId="0" fontId="0" fillId="0" borderId="0" xfId="0">
      <alignment vertical="center"/>
    </xf>
    <xf numFmtId="0" fontId="5" fillId="0" borderId="0" xfId="2" applyFont="1" applyAlignment="1">
      <alignment horizontal="center" vertical="center" wrapText="1"/>
    </xf>
    <xf numFmtId="0" fontId="5" fillId="0" borderId="0" xfId="2" applyFont="1" applyAlignment="1">
      <alignment horizontal="left" vertical="center" wrapText="1"/>
    </xf>
    <xf numFmtId="0" fontId="6" fillId="3" borderId="0" xfId="2" applyFont="1" applyFill="1" applyAlignment="1">
      <alignment horizontal="center" vertical="center" wrapText="1"/>
    </xf>
    <xf numFmtId="0" fontId="6" fillId="3" borderId="0" xfId="2" applyFont="1" applyFill="1" applyAlignment="1">
      <alignment vertical="center" wrapText="1"/>
    </xf>
    <xf numFmtId="0" fontId="7" fillId="3" borderId="0" xfId="2" applyFont="1" applyFill="1" applyAlignment="1">
      <alignment horizontal="center" vertical="center" wrapText="1"/>
    </xf>
    <xf numFmtId="0" fontId="7" fillId="3" borderId="0" xfId="2" applyFont="1" applyFill="1" applyAlignment="1">
      <alignment vertical="center" wrapText="1"/>
    </xf>
    <xf numFmtId="0" fontId="8" fillId="0" borderId="0" xfId="2" applyFont="1" applyAlignment="1">
      <alignment horizontal="center" vertical="center" wrapText="1"/>
    </xf>
    <xf numFmtId="0" fontId="8" fillId="0" borderId="0" xfId="2" applyFont="1" applyAlignment="1">
      <alignment horizontal="left" vertical="center" wrapText="1"/>
    </xf>
    <xf numFmtId="176" fontId="8" fillId="0" borderId="0" xfId="2" applyNumberFormat="1" applyFont="1" applyAlignment="1">
      <alignment horizontal="center" vertical="center" wrapText="1"/>
    </xf>
    <xf numFmtId="177" fontId="8" fillId="0" borderId="0" xfId="2" applyNumberFormat="1" applyFont="1" applyAlignment="1">
      <alignment horizontal="center" vertical="center" wrapText="1"/>
    </xf>
    <xf numFmtId="0" fontId="9" fillId="0" borderId="0" xfId="2" applyFont="1" applyAlignment="1">
      <alignment horizontal="left" vertical="center" wrapText="1"/>
    </xf>
    <xf numFmtId="177" fontId="8" fillId="4" borderId="0" xfId="2" applyNumberFormat="1" applyFont="1" applyFill="1" applyAlignment="1">
      <alignment horizontal="center" vertical="center" wrapText="1"/>
    </xf>
    <xf numFmtId="0" fontId="8" fillId="4" borderId="0" xfId="2" applyFont="1" applyFill="1" applyAlignment="1">
      <alignment horizontal="left" vertical="center" wrapText="1"/>
    </xf>
    <xf numFmtId="0" fontId="10" fillId="3" borderId="0" xfId="2" applyFont="1" applyFill="1" applyAlignment="1">
      <alignment vertical="center" wrapText="1"/>
    </xf>
    <xf numFmtId="0" fontId="8" fillId="0" borderId="0" xfId="2" applyFont="1" applyAlignment="1">
      <alignment vertical="center" wrapText="1"/>
    </xf>
    <xf numFmtId="0" fontId="0" fillId="0" borderId="0" xfId="0" applyAlignment="1"/>
    <xf numFmtId="0" fontId="11" fillId="0" borderId="0" xfId="2" applyFont="1" applyAlignment="1">
      <alignment horizontal="left" vertical="center" wrapText="1"/>
    </xf>
    <xf numFmtId="177" fontId="13" fillId="4" borderId="0" xfId="2" applyNumberFormat="1" applyFont="1" applyFill="1" applyAlignment="1">
      <alignment horizontal="center" vertical="center" wrapText="1"/>
    </xf>
    <xf numFmtId="0" fontId="12" fillId="4" borderId="0" xfId="2" applyFont="1" applyFill="1" applyAlignment="1">
      <alignment horizontal="left" vertical="center" wrapText="1"/>
    </xf>
    <xf numFmtId="177" fontId="15" fillId="5" borderId="0" xfId="2" applyNumberFormat="1" applyFont="1" applyFill="1" applyAlignment="1">
      <alignment horizontal="center" vertical="center" wrapText="1"/>
    </xf>
    <xf numFmtId="0" fontId="8" fillId="5" borderId="0" xfId="2" applyFont="1" applyFill="1" applyAlignment="1">
      <alignment vertical="center" wrapText="1"/>
    </xf>
    <xf numFmtId="0" fontId="14" fillId="0" borderId="0" xfId="2" applyFont="1" applyAlignment="1">
      <alignment horizontal="center" vertical="center"/>
    </xf>
    <xf numFmtId="0" fontId="14" fillId="0" borderId="0" xfId="2" applyFont="1" applyAlignment="1">
      <alignment horizontal="right" vertical="center"/>
    </xf>
    <xf numFmtId="177" fontId="15" fillId="0" borderId="0" xfId="2" applyNumberFormat="1" applyFont="1" applyAlignment="1">
      <alignment horizontal="center" vertical="center" wrapText="1"/>
    </xf>
    <xf numFmtId="0" fontId="16" fillId="0" borderId="0" xfId="2" applyFont="1" applyAlignment="1">
      <alignment horizontal="center" vertical="center" wrapText="1"/>
    </xf>
    <xf numFmtId="0" fontId="16" fillId="0" borderId="0" xfId="0" applyFont="1" applyAlignment="1"/>
    <xf numFmtId="0" fontId="16" fillId="0" borderId="0" xfId="0" applyFont="1" applyAlignment="1">
      <alignment horizontal="center"/>
    </xf>
    <xf numFmtId="177" fontId="14" fillId="0" borderId="0" xfId="2" applyNumberFormat="1" applyFont="1" applyAlignment="1">
      <alignment horizontal="center" vertical="center" wrapText="1"/>
    </xf>
    <xf numFmtId="177" fontId="14" fillId="0" borderId="0" xfId="2" applyNumberFormat="1" applyFont="1" applyAlignment="1">
      <alignment horizontal="right" vertical="center"/>
    </xf>
    <xf numFmtId="0" fontId="19" fillId="0" borderId="0" xfId="2" applyFont="1" applyAlignment="1">
      <alignment horizontal="center" vertical="center" wrapText="1"/>
    </xf>
    <xf numFmtId="0" fontId="19" fillId="0" borderId="0" xfId="2" applyFont="1" applyAlignment="1">
      <alignment horizontal="left" vertical="center" wrapText="1"/>
    </xf>
    <xf numFmtId="0" fontId="20" fillId="3" borderId="0" xfId="2" applyFont="1" applyFill="1" applyAlignment="1">
      <alignment horizontal="center" vertical="center" wrapText="1"/>
    </xf>
    <xf numFmtId="0" fontId="21" fillId="3" borderId="0" xfId="2" applyFont="1" applyFill="1" applyAlignment="1">
      <alignment vertical="center" wrapText="1"/>
    </xf>
    <xf numFmtId="0" fontId="22" fillId="3" borderId="0" xfId="2" applyFont="1" applyFill="1" applyAlignment="1">
      <alignment horizontal="center" vertical="center" wrapText="1"/>
    </xf>
    <xf numFmtId="0" fontId="22" fillId="3" borderId="0" xfId="2" applyFont="1" applyFill="1" applyAlignment="1">
      <alignment vertical="center" wrapText="1"/>
    </xf>
    <xf numFmtId="0" fontId="22" fillId="0" borderId="0" xfId="2" applyFont="1" applyAlignment="1">
      <alignment horizontal="center" vertical="center" wrapText="1"/>
    </xf>
    <xf numFmtId="0" fontId="23" fillId="0" borderId="0" xfId="2" applyFont="1" applyAlignment="1">
      <alignment horizontal="left" vertical="center" wrapText="1"/>
    </xf>
    <xf numFmtId="176" fontId="22" fillId="0" borderId="0" xfId="2" applyNumberFormat="1" applyFont="1" applyAlignment="1">
      <alignment horizontal="center" vertical="center" wrapText="1"/>
    </xf>
    <xf numFmtId="177" fontId="22" fillId="0" borderId="0" xfId="2" applyNumberFormat="1" applyFont="1" applyAlignment="1">
      <alignment horizontal="center" vertical="center" wrapText="1"/>
    </xf>
    <xf numFmtId="0" fontId="24" fillId="0" borderId="0" xfId="2" applyFont="1" applyAlignment="1">
      <alignment horizontal="left" vertical="center" wrapText="1"/>
    </xf>
    <xf numFmtId="0" fontId="25" fillId="0" borderId="0" xfId="2" applyFont="1" applyAlignment="1">
      <alignment horizontal="left" vertical="center" wrapText="1"/>
    </xf>
    <xf numFmtId="177" fontId="22" fillId="6" borderId="0" xfId="2" applyNumberFormat="1" applyFont="1" applyFill="1" applyAlignment="1">
      <alignment horizontal="center" vertical="center" wrapText="1"/>
    </xf>
    <xf numFmtId="0" fontId="23" fillId="6" borderId="0" xfId="2" applyFont="1" applyFill="1" applyAlignment="1">
      <alignment horizontal="left" vertical="center" wrapText="1"/>
    </xf>
    <xf numFmtId="0" fontId="23" fillId="7" borderId="0" xfId="2" applyFont="1" applyFill="1" applyAlignment="1">
      <alignment horizontal="left" vertical="center" wrapText="1"/>
    </xf>
    <xf numFmtId="0" fontId="23" fillId="8" borderId="0" xfId="2" applyFont="1" applyFill="1" applyAlignment="1">
      <alignment horizontal="left" vertical="center" wrapText="1"/>
    </xf>
    <xf numFmtId="0" fontId="23" fillId="5" borderId="0" xfId="2" applyFont="1" applyFill="1" applyAlignment="1">
      <alignment horizontal="left" vertical="center" wrapText="1"/>
    </xf>
    <xf numFmtId="0" fontId="27" fillId="0" borderId="0" xfId="0" applyFont="1" applyAlignment="1">
      <alignment horizontal="center" vertical="center"/>
    </xf>
    <xf numFmtId="0" fontId="23" fillId="9" borderId="0" xfId="2" applyFont="1" applyFill="1" applyAlignment="1">
      <alignment horizontal="left" vertical="center" wrapText="1"/>
    </xf>
    <xf numFmtId="0" fontId="29" fillId="0" borderId="0" xfId="2" applyFont="1" applyAlignment="1">
      <alignment horizontal="center" vertical="center" wrapText="1"/>
    </xf>
    <xf numFmtId="176" fontId="29" fillId="0" borderId="0" xfId="2" applyNumberFormat="1" applyFont="1" applyAlignment="1">
      <alignment horizontal="center" vertical="center" wrapText="1"/>
    </xf>
    <xf numFmtId="177" fontId="29" fillId="0" borderId="0" xfId="2" applyNumberFormat="1" applyFont="1" applyAlignment="1">
      <alignment horizontal="center" vertical="center" wrapText="1"/>
    </xf>
    <xf numFmtId="0" fontId="23" fillId="0" borderId="0" xfId="2" applyFont="1" applyAlignment="1">
      <alignment vertical="center" wrapText="1"/>
    </xf>
    <xf numFmtId="178" fontId="22" fillId="0" borderId="0" xfId="2" applyNumberFormat="1" applyFont="1" applyAlignment="1">
      <alignment horizontal="center" vertical="center" wrapText="1"/>
    </xf>
    <xf numFmtId="0" fontId="23" fillId="10" borderId="0" xfId="2" applyFont="1" applyFill="1" applyAlignment="1">
      <alignment vertical="center" wrapText="1"/>
    </xf>
    <xf numFmtId="178" fontId="22" fillId="10" borderId="0" xfId="2" applyNumberFormat="1" applyFont="1" applyFill="1" applyAlignment="1">
      <alignment horizontal="center" vertical="center" wrapText="1"/>
    </xf>
    <xf numFmtId="0" fontId="22" fillId="10" borderId="0" xfId="2" applyFont="1" applyFill="1" applyAlignment="1">
      <alignment horizontal="center" vertical="center" wrapText="1"/>
    </xf>
    <xf numFmtId="176" fontId="22" fillId="10" borderId="0" xfId="2" applyNumberFormat="1" applyFont="1" applyFill="1" applyAlignment="1">
      <alignment horizontal="center" vertical="center" wrapText="1"/>
    </xf>
    <xf numFmtId="177" fontId="22" fillId="10" borderId="0" xfId="2" applyNumberFormat="1" applyFont="1" applyFill="1" applyAlignment="1">
      <alignment horizontal="center" vertical="center" wrapText="1"/>
    </xf>
    <xf numFmtId="0" fontId="28" fillId="0" borderId="0" xfId="2" applyFont="1" applyAlignment="1">
      <alignment horizontal="left" vertical="center" wrapText="1"/>
    </xf>
    <xf numFmtId="0" fontId="22" fillId="0" borderId="0" xfId="2" applyFont="1" applyAlignment="1">
      <alignment horizontal="left" vertical="center" wrapText="1"/>
    </xf>
    <xf numFmtId="0" fontId="0" fillId="0" borderId="0" xfId="0" applyAlignment="1">
      <alignment horizontal="center" vertical="center"/>
    </xf>
    <xf numFmtId="177" fontId="32" fillId="5" borderId="0" xfId="2" applyNumberFormat="1" applyFont="1" applyFill="1" applyAlignment="1">
      <alignment horizontal="center" vertical="center" wrapText="1"/>
    </xf>
    <xf numFmtId="0" fontId="22" fillId="5" borderId="0" xfId="2" applyFont="1" applyFill="1" applyAlignment="1">
      <alignment vertical="center" wrapText="1"/>
    </xf>
    <xf numFmtId="0" fontId="31" fillId="0" borderId="0" xfId="2" applyFont="1" applyAlignment="1">
      <alignment horizontal="center" vertical="center"/>
    </xf>
    <xf numFmtId="0" fontId="30" fillId="0" borderId="0" xfId="2" applyFont="1" applyAlignment="1">
      <alignment horizontal="right" vertical="center"/>
    </xf>
    <xf numFmtId="0" fontId="30" fillId="0" borderId="0" xfId="2" applyFont="1" applyAlignment="1">
      <alignment horizontal="center" vertical="center"/>
    </xf>
    <xf numFmtId="177" fontId="32" fillId="0" borderId="0" xfId="2" applyNumberFormat="1" applyFont="1" applyAlignment="1">
      <alignment horizontal="center" vertical="center" wrapText="1"/>
    </xf>
    <xf numFmtId="0" fontId="22" fillId="0" borderId="0" xfId="2" applyFont="1" applyAlignment="1">
      <alignment vertical="center" wrapText="1"/>
    </xf>
    <xf numFmtId="0" fontId="2" fillId="0" borderId="0" xfId="2" applyAlignment="1">
      <alignment horizontal="center" vertical="center" wrapText="1"/>
    </xf>
    <xf numFmtId="0" fontId="0" fillId="0" borderId="0" xfId="0" applyAlignment="1">
      <alignment horizontal="center"/>
    </xf>
    <xf numFmtId="0" fontId="33" fillId="0" borderId="0" xfId="2" applyFont="1" applyAlignment="1">
      <alignment horizontal="center" vertical="center"/>
    </xf>
    <xf numFmtId="177" fontId="31" fillId="0" borderId="0" xfId="2" applyNumberFormat="1" applyFont="1" applyAlignment="1">
      <alignment horizontal="center" vertical="center" wrapText="1"/>
    </xf>
    <xf numFmtId="177" fontId="31" fillId="0" borderId="0" xfId="2" applyNumberFormat="1" applyFont="1" applyAlignment="1">
      <alignment horizontal="right" vertical="center"/>
    </xf>
    <xf numFmtId="0" fontId="34" fillId="11" borderId="1" xfId="0" applyFont="1" applyFill="1" applyBorder="1" applyAlignment="1">
      <alignment horizontal="center" vertical="center" wrapText="1"/>
    </xf>
    <xf numFmtId="0" fontId="34" fillId="11" borderId="5" xfId="0" applyFont="1" applyFill="1" applyBorder="1" applyAlignment="1">
      <alignment horizontal="center" vertical="center" wrapText="1"/>
    </xf>
    <xf numFmtId="0" fontId="34" fillId="11" borderId="2" xfId="0" applyFont="1" applyFill="1" applyBorder="1" applyAlignment="1">
      <alignment horizontal="center" vertical="center" wrapText="1"/>
    </xf>
    <xf numFmtId="0" fontId="34" fillId="0" borderId="6" xfId="0" applyFont="1" applyBorder="1" applyAlignment="1">
      <alignment horizontal="center" vertical="center" wrapText="1"/>
    </xf>
    <xf numFmtId="14" fontId="34" fillId="0" borderId="5" xfId="0" applyNumberFormat="1" applyFont="1" applyBorder="1" applyAlignment="1">
      <alignment horizontal="left" vertical="center"/>
    </xf>
    <xf numFmtId="0" fontId="34" fillId="11" borderId="4" xfId="0" applyFont="1" applyFill="1" applyBorder="1" applyAlignment="1">
      <alignment horizontal="center" vertical="center"/>
    </xf>
    <xf numFmtId="0" fontId="34" fillId="11" borderId="5" xfId="0" applyFont="1" applyFill="1" applyBorder="1" applyAlignment="1">
      <alignment horizontal="center" vertical="center"/>
    </xf>
    <xf numFmtId="0" fontId="34" fillId="11" borderId="2" xfId="0" applyFont="1" applyFill="1" applyBorder="1" applyAlignment="1">
      <alignment horizontal="center" vertical="center"/>
    </xf>
    <xf numFmtId="14" fontId="34" fillId="0" borderId="6" xfId="0" applyNumberFormat="1" applyFont="1" applyBorder="1" applyAlignment="1">
      <alignment horizontal="left" vertical="center"/>
    </xf>
    <xf numFmtId="0" fontId="42" fillId="12" borderId="5" xfId="0" applyFont="1" applyFill="1" applyBorder="1" applyAlignment="1">
      <alignment horizontal="center" vertical="center"/>
    </xf>
    <xf numFmtId="0" fontId="42" fillId="12" borderId="5" xfId="1" applyNumberFormat="1" applyFont="1" applyFill="1" applyBorder="1" applyAlignment="1">
      <alignment horizontal="center" vertical="center"/>
    </xf>
    <xf numFmtId="8" fontId="42" fillId="12" borderId="5" xfId="1" applyNumberFormat="1" applyFont="1" applyFill="1" applyBorder="1" applyAlignment="1">
      <alignment horizontal="center" vertical="center"/>
    </xf>
    <xf numFmtId="180" fontId="42" fillId="12" borderId="5" xfId="1" applyNumberFormat="1" applyFont="1" applyFill="1" applyBorder="1" applyAlignment="1">
      <alignment horizontal="center" vertical="center"/>
    </xf>
    <xf numFmtId="8" fontId="42" fillId="12" borderId="5" xfId="1" applyNumberFormat="1" applyFont="1" applyFill="1" applyBorder="1" applyAlignment="1">
      <alignment horizontal="right" vertical="center"/>
    </xf>
    <xf numFmtId="180" fontId="42" fillId="12" borderId="5" xfId="1" applyNumberFormat="1" applyFont="1" applyFill="1" applyBorder="1" applyAlignment="1">
      <alignment vertical="center"/>
    </xf>
    <xf numFmtId="179" fontId="42" fillId="12" borderId="6" xfId="1" applyNumberFormat="1" applyFont="1" applyFill="1" applyBorder="1" applyAlignment="1">
      <alignment horizontal="center" vertical="center"/>
    </xf>
    <xf numFmtId="0" fontId="41" fillId="0" borderId="10" xfId="0" applyFont="1" applyBorder="1" applyAlignment="1">
      <alignment horizontal="center" vertical="center" wrapText="1"/>
    </xf>
    <xf numFmtId="179" fontId="38" fillId="0" borderId="11" xfId="1" applyNumberFormat="1" applyFont="1" applyFill="1" applyBorder="1" applyAlignment="1">
      <alignment horizontal="center" vertical="center"/>
    </xf>
    <xf numFmtId="179" fontId="38" fillId="0" borderId="5" xfId="1" applyNumberFormat="1" applyFont="1" applyFill="1" applyBorder="1" applyAlignment="1">
      <alignment horizontal="center" vertical="center"/>
    </xf>
    <xf numFmtId="0" fontId="38" fillId="0" borderId="12" xfId="1" applyNumberFormat="1" applyFont="1" applyFill="1" applyBorder="1" applyAlignment="1">
      <alignment horizontal="center" vertical="center"/>
    </xf>
    <xf numFmtId="179" fontId="38" fillId="0" borderId="13" xfId="1" applyNumberFormat="1" applyFont="1" applyFill="1" applyBorder="1" applyAlignment="1">
      <alignment horizontal="center" vertical="center"/>
    </xf>
    <xf numFmtId="0" fontId="38" fillId="0" borderId="13" xfId="1" applyNumberFormat="1" applyFont="1" applyBorder="1" applyAlignment="1">
      <alignment horizontal="center" vertical="center"/>
    </xf>
    <xf numFmtId="179" fontId="38" fillId="0" borderId="13" xfId="1" applyNumberFormat="1" applyFont="1" applyBorder="1" applyAlignment="1">
      <alignment horizontal="center" vertical="center" wrapText="1"/>
    </xf>
    <xf numFmtId="180" fontId="38" fillId="0" borderId="13" xfId="1" applyNumberFormat="1" applyFont="1" applyBorder="1" applyAlignment="1">
      <alignment horizontal="right" vertical="center"/>
    </xf>
    <xf numFmtId="40" fontId="38" fillId="0" borderId="13" xfId="1" applyNumberFormat="1" applyFont="1" applyBorder="1" applyAlignment="1">
      <alignment horizontal="right" vertical="center"/>
    </xf>
    <xf numFmtId="179" fontId="43" fillId="0" borderId="6" xfId="1" applyNumberFormat="1" applyFont="1" applyFill="1" applyBorder="1" applyAlignment="1">
      <alignment horizontal="left" vertical="center" wrapText="1"/>
    </xf>
    <xf numFmtId="0" fontId="41" fillId="0" borderId="15" xfId="0" applyFont="1" applyBorder="1" applyAlignment="1">
      <alignment horizontal="center" vertical="center" wrapText="1"/>
    </xf>
    <xf numFmtId="180" fontId="44" fillId="13" borderId="2" xfId="4" applyNumberFormat="1" applyFont="1" applyFill="1" applyBorder="1" applyAlignment="1">
      <alignment horizontal="right" vertical="center"/>
    </xf>
    <xf numFmtId="179" fontId="45" fillId="13" borderId="6" xfId="1" applyNumberFormat="1" applyFont="1" applyFill="1" applyBorder="1" applyAlignment="1">
      <alignment horizontal="left" vertical="center" wrapText="1"/>
    </xf>
    <xf numFmtId="0" fontId="38" fillId="0" borderId="5" xfId="0" applyFont="1" applyBorder="1" applyAlignment="1">
      <alignment horizontal="center" vertical="center"/>
    </xf>
    <xf numFmtId="0" fontId="38" fillId="0" borderId="5" xfId="1" applyNumberFormat="1" applyFont="1" applyFill="1" applyBorder="1" applyAlignment="1">
      <alignment horizontal="center" vertical="center"/>
    </xf>
    <xf numFmtId="180" fontId="38" fillId="0" borderId="13" xfId="1" applyNumberFormat="1" applyFont="1" applyFill="1" applyBorder="1" applyAlignment="1">
      <alignment horizontal="right" vertical="center"/>
    </xf>
    <xf numFmtId="0" fontId="38" fillId="0" borderId="13" xfId="1" applyNumberFormat="1" applyFont="1" applyFill="1" applyBorder="1" applyAlignment="1">
      <alignment horizontal="center" vertical="center"/>
    </xf>
    <xf numFmtId="58" fontId="43" fillId="0" borderId="17" xfId="1" applyNumberFormat="1" applyFont="1" applyFill="1" applyBorder="1" applyAlignment="1">
      <alignment horizontal="left" vertical="center" wrapText="1"/>
    </xf>
    <xf numFmtId="0" fontId="43" fillId="0" borderId="6" xfId="1" applyNumberFormat="1" applyFont="1" applyFill="1" applyBorder="1" applyAlignment="1">
      <alignment horizontal="left" vertical="center" wrapText="1"/>
    </xf>
    <xf numFmtId="180" fontId="38" fillId="0" borderId="5" xfId="1" applyNumberFormat="1" applyFont="1" applyFill="1" applyBorder="1" applyAlignment="1">
      <alignment horizontal="right" vertical="center"/>
    </xf>
    <xf numFmtId="38" fontId="38" fillId="0" borderId="5" xfId="1" applyNumberFormat="1" applyFont="1" applyBorder="1" applyAlignment="1">
      <alignment horizontal="center" vertical="center"/>
    </xf>
    <xf numFmtId="0" fontId="38" fillId="0" borderId="5" xfId="1" applyNumberFormat="1" applyFont="1" applyBorder="1" applyAlignment="1">
      <alignment horizontal="center" vertical="center"/>
    </xf>
    <xf numFmtId="180" fontId="38" fillId="0" borderId="5" xfId="1" applyNumberFormat="1" applyFont="1" applyBorder="1" applyAlignment="1">
      <alignment vertical="center"/>
    </xf>
    <xf numFmtId="0" fontId="46" fillId="0" borderId="6" xfId="0" applyFont="1" applyBorder="1" applyAlignment="1">
      <alignment vertical="center" wrapText="1"/>
    </xf>
    <xf numFmtId="180" fontId="41" fillId="11" borderId="5" xfId="4" applyNumberFormat="1" applyFont="1" applyFill="1" applyBorder="1" applyAlignment="1">
      <alignment horizontal="right" vertical="center"/>
    </xf>
    <xf numFmtId="8" fontId="47" fillId="11" borderId="6" xfId="4" applyNumberFormat="1" applyFont="1" applyFill="1" applyBorder="1" applyAlignment="1">
      <alignment horizontal="left" vertical="center" wrapText="1"/>
    </xf>
    <xf numFmtId="180" fontId="51" fillId="14" borderId="5" xfId="4" applyNumberFormat="1" applyFont="1" applyFill="1" applyBorder="1" applyAlignment="1">
      <alignment horizontal="right" vertical="center"/>
    </xf>
    <xf numFmtId="0" fontId="52" fillId="0" borderId="18" xfId="0" applyFont="1" applyBorder="1">
      <alignment vertical="center"/>
    </xf>
    <xf numFmtId="180" fontId="44" fillId="0" borderId="5" xfId="4" applyNumberFormat="1" applyFont="1" applyFill="1" applyBorder="1" applyAlignment="1">
      <alignment horizontal="right" vertical="center"/>
    </xf>
    <xf numFmtId="179" fontId="45" fillId="0" borderId="6" xfId="1" applyNumberFormat="1" applyFont="1" applyFill="1" applyBorder="1" applyAlignment="1">
      <alignment horizontal="left" vertical="center" wrapText="1"/>
    </xf>
    <xf numFmtId="180" fontId="53" fillId="5" borderId="22" xfId="4" applyNumberFormat="1" applyFont="1" applyFill="1" applyBorder="1" applyAlignment="1">
      <alignment horizontal="right" vertical="center"/>
    </xf>
    <xf numFmtId="8" fontId="53" fillId="5" borderId="23" xfId="4" applyNumberFormat="1" applyFont="1" applyFill="1" applyBorder="1" applyAlignment="1">
      <alignment horizontal="left" vertical="center" wrapText="1"/>
    </xf>
    <xf numFmtId="0" fontId="0" fillId="0" borderId="5" xfId="0" applyBorder="1" applyAlignment="1">
      <alignment horizontal="center" vertical="center"/>
    </xf>
    <xf numFmtId="0" fontId="0" fillId="0" borderId="5" xfId="0" applyBorder="1">
      <alignment vertical="center"/>
    </xf>
    <xf numFmtId="0" fontId="54" fillId="0" borderId="5" xfId="0" applyFont="1" applyBorder="1" applyAlignment="1">
      <alignment horizontal="center" vertical="center"/>
    </xf>
    <xf numFmtId="14" fontId="34" fillId="0" borderId="5" xfId="0" applyNumberFormat="1" applyFont="1" applyBorder="1" applyAlignment="1">
      <alignment horizontal="center" vertical="center"/>
    </xf>
    <xf numFmtId="179" fontId="43" fillId="0" borderId="6" xfId="1" applyNumberFormat="1" applyFont="1" applyFill="1" applyBorder="1" applyAlignment="1">
      <alignment horizontal="center" vertical="center" wrapText="1"/>
    </xf>
    <xf numFmtId="0" fontId="42" fillId="12" borderId="4" xfId="0" applyFont="1" applyFill="1" applyBorder="1" applyAlignment="1">
      <alignment horizontal="center" vertical="center"/>
    </xf>
    <xf numFmtId="180" fontId="44" fillId="13" borderId="2" xfId="4" applyNumberFormat="1" applyFont="1" applyFill="1" applyBorder="1" applyAlignment="1">
      <alignment horizontal="center" vertical="center"/>
    </xf>
    <xf numFmtId="180" fontId="38" fillId="0" borderId="5" xfId="1" applyNumberFormat="1" applyFont="1" applyBorder="1" applyAlignment="1">
      <alignment horizontal="right" vertical="center"/>
    </xf>
    <xf numFmtId="0" fontId="9" fillId="5" borderId="0" xfId="2" applyFont="1" applyFill="1" applyAlignment="1">
      <alignment horizontal="center" vertical="center" wrapText="1"/>
    </xf>
    <xf numFmtId="0" fontId="9" fillId="5" borderId="0" xfId="2" applyFont="1" applyFill="1" applyAlignment="1">
      <alignment vertical="center" wrapText="1"/>
    </xf>
    <xf numFmtId="176" fontId="9" fillId="5" borderId="0" xfId="2" applyNumberFormat="1" applyFont="1" applyFill="1" applyAlignment="1">
      <alignment horizontal="center" vertical="center" wrapText="1"/>
    </xf>
    <xf numFmtId="177" fontId="9" fillId="5" borderId="0" xfId="2" applyNumberFormat="1" applyFont="1" applyFill="1" applyAlignment="1">
      <alignment horizontal="center" vertical="center" wrapText="1"/>
    </xf>
    <xf numFmtId="0" fontId="55" fillId="5" borderId="0" xfId="2" applyFont="1" applyFill="1" applyAlignment="1">
      <alignment horizontal="left" vertical="center" wrapText="1"/>
    </xf>
    <xf numFmtId="40" fontId="38" fillId="0" borderId="5" xfId="1" applyNumberFormat="1" applyFont="1" applyBorder="1" applyAlignment="1">
      <alignment horizontal="right" vertical="center"/>
    </xf>
    <xf numFmtId="179" fontId="43" fillId="0" borderId="5" xfId="1" applyNumberFormat="1" applyFont="1" applyFill="1" applyBorder="1" applyAlignment="1">
      <alignment horizontal="center" vertical="center" wrapText="1"/>
    </xf>
    <xf numFmtId="0" fontId="55" fillId="0" borderId="15" xfId="0" applyFont="1" applyBorder="1" applyAlignment="1">
      <alignment horizontal="center" vertical="center" wrapText="1"/>
    </xf>
    <xf numFmtId="14" fontId="34" fillId="0" borderId="6" xfId="0" applyNumberFormat="1" applyFont="1" applyBorder="1" applyAlignment="1">
      <alignment horizontal="center" vertical="center"/>
    </xf>
    <xf numFmtId="179" fontId="45" fillId="13" borderId="6" xfId="1" applyNumberFormat="1" applyFont="1" applyFill="1" applyBorder="1" applyAlignment="1">
      <alignment horizontal="center" vertical="center" wrapText="1"/>
    </xf>
    <xf numFmtId="58" fontId="43" fillId="0" borderId="17" xfId="1" applyNumberFormat="1" applyFont="1" applyFill="1" applyBorder="1" applyAlignment="1">
      <alignment horizontal="center" vertical="center" wrapText="1"/>
    </xf>
    <xf numFmtId="58" fontId="43" fillId="0" borderId="5" xfId="1" applyNumberFormat="1" applyFont="1" applyFill="1" applyBorder="1" applyAlignment="1">
      <alignment horizontal="center" vertical="center" wrapText="1"/>
    </xf>
    <xf numFmtId="8" fontId="47" fillId="11" borderId="6" xfId="4" applyNumberFormat="1" applyFont="1" applyFill="1" applyBorder="1" applyAlignment="1">
      <alignment horizontal="center" vertical="center" wrapText="1"/>
    </xf>
    <xf numFmtId="0" fontId="52" fillId="0" borderId="18" xfId="0" applyFont="1" applyBorder="1" applyAlignment="1">
      <alignment horizontal="center" vertical="center"/>
    </xf>
    <xf numFmtId="179" fontId="45" fillId="0" borderId="6" xfId="1" applyNumberFormat="1" applyFont="1" applyFill="1" applyBorder="1" applyAlignment="1">
      <alignment horizontal="center" vertical="center" wrapText="1"/>
    </xf>
    <xf numFmtId="0" fontId="34" fillId="0" borderId="5" xfId="2" applyFont="1" applyBorder="1" applyAlignment="1">
      <alignment horizontal="left" vertical="center" wrapText="1"/>
    </xf>
    <xf numFmtId="0" fontId="34" fillId="0" borderId="5" xfId="2" applyFont="1" applyBorder="1" applyAlignment="1">
      <alignment vertical="center" wrapText="1"/>
    </xf>
    <xf numFmtId="0" fontId="42" fillId="15" borderId="24" xfId="1" applyNumberFormat="1" applyFont="1" applyFill="1" applyBorder="1" applyAlignment="1">
      <alignment horizontal="center" vertical="center"/>
    </xf>
    <xf numFmtId="10" fontId="0" fillId="0" borderId="0" xfId="0" applyNumberFormat="1">
      <alignment vertical="center"/>
    </xf>
    <xf numFmtId="44" fontId="58" fillId="16" borderId="5" xfId="5" applyFont="1" applyFill="1" applyBorder="1" applyAlignment="1" applyProtection="1">
      <alignment horizontal="center" vertical="center" wrapText="1"/>
    </xf>
    <xf numFmtId="44" fontId="58" fillId="16" borderId="5" xfId="5" applyFont="1" applyFill="1" applyBorder="1" applyAlignment="1" applyProtection="1">
      <alignment horizontal="center" vertical="center" wrapText="1"/>
      <protection locked="0"/>
    </xf>
    <xf numFmtId="0" fontId="61" fillId="0" borderId="5" xfId="0" applyFont="1" applyBorder="1" applyAlignment="1">
      <alignment horizontal="center" vertical="center"/>
    </xf>
    <xf numFmtId="0" fontId="61" fillId="0" borderId="5" xfId="0" applyFont="1" applyBorder="1" applyAlignment="1">
      <alignment horizontal="center" vertical="center" wrapText="1"/>
    </xf>
    <xf numFmtId="43" fontId="61" fillId="0" borderId="5" xfId="1" applyFont="1" applyBorder="1" applyAlignment="1">
      <alignment horizontal="center" vertical="center"/>
    </xf>
    <xf numFmtId="0" fontId="60" fillId="0" borderId="5" xfId="0" applyFont="1" applyBorder="1" applyAlignment="1">
      <alignment horizontal="center" vertical="center"/>
    </xf>
    <xf numFmtId="43" fontId="60" fillId="0" borderId="5" xfId="1" applyFont="1" applyBorder="1" applyAlignment="1">
      <alignment horizontal="center" vertical="center"/>
    </xf>
    <xf numFmtId="0" fontId="60" fillId="17" borderId="5" xfId="0" applyFont="1" applyFill="1" applyBorder="1" applyAlignment="1">
      <alignment horizontal="center" vertical="center" wrapText="1"/>
    </xf>
    <xf numFmtId="0" fontId="60" fillId="0" borderId="24" xfId="0" applyFont="1" applyBorder="1" applyAlignment="1">
      <alignment horizontal="center" vertical="center"/>
    </xf>
    <xf numFmtId="0" fontId="60" fillId="0" borderId="5" xfId="0" applyFont="1" applyBorder="1" applyAlignment="1">
      <alignment horizontal="left" vertical="center" wrapText="1"/>
    </xf>
    <xf numFmtId="0" fontId="62" fillId="0" borderId="5" xfId="0" applyFont="1" applyBorder="1" applyAlignment="1">
      <alignment horizontal="center" vertical="center"/>
    </xf>
    <xf numFmtId="0" fontId="63" fillId="0" borderId="5" xfId="0" applyFont="1" applyBorder="1">
      <alignment vertical="center"/>
    </xf>
    <xf numFmtId="0" fontId="63" fillId="0" borderId="0" xfId="0" applyFont="1">
      <alignment vertical="center"/>
    </xf>
    <xf numFmtId="10" fontId="63" fillId="0" borderId="5" xfId="0" applyNumberFormat="1" applyFont="1" applyBorder="1" applyAlignment="1">
      <alignment horizontal="center" vertical="center"/>
    </xf>
    <xf numFmtId="0" fontId="63" fillId="0" borderId="5" xfId="0" applyFont="1" applyBorder="1" applyAlignment="1">
      <alignment horizontal="center" vertical="center"/>
    </xf>
    <xf numFmtId="10" fontId="63" fillId="5" borderId="5" xfId="0" applyNumberFormat="1" applyFont="1" applyFill="1" applyBorder="1" applyAlignment="1">
      <alignment horizontal="center" vertical="center"/>
    </xf>
    <xf numFmtId="10" fontId="63" fillId="12" borderId="5" xfId="0" applyNumberFormat="1" applyFont="1" applyFill="1" applyBorder="1" applyAlignment="1">
      <alignment horizontal="center" vertical="center"/>
    </xf>
    <xf numFmtId="0" fontId="62" fillId="5" borderId="5" xfId="0" applyFont="1" applyFill="1" applyBorder="1" applyAlignment="1">
      <alignment horizontal="center" vertical="center"/>
    </xf>
    <xf numFmtId="0" fontId="62" fillId="12" borderId="5" xfId="0" applyFont="1" applyFill="1" applyBorder="1" applyAlignment="1">
      <alignment horizontal="center" vertical="center"/>
    </xf>
    <xf numFmtId="0" fontId="54" fillId="0" borderId="0" xfId="0" applyFont="1" applyAlignment="1">
      <alignment horizontal="center" vertical="center"/>
    </xf>
    <xf numFmtId="10" fontId="63" fillId="15" borderId="5" xfId="0" applyNumberFormat="1" applyFont="1" applyFill="1" applyBorder="1" applyAlignment="1">
      <alignment horizontal="center" vertical="center"/>
    </xf>
    <xf numFmtId="0" fontId="62" fillId="5" borderId="5" xfId="0" applyFont="1" applyFill="1" applyBorder="1" applyAlignment="1">
      <alignment horizontal="center" vertical="center" wrapText="1"/>
    </xf>
    <xf numFmtId="10" fontId="62" fillId="5" borderId="5" xfId="0" applyNumberFormat="1" applyFont="1" applyFill="1" applyBorder="1" applyAlignment="1">
      <alignment horizontal="center" vertical="center"/>
    </xf>
    <xf numFmtId="10" fontId="62" fillId="12" borderId="5" xfId="0" applyNumberFormat="1" applyFont="1" applyFill="1" applyBorder="1" applyAlignment="1">
      <alignment horizontal="center" vertical="center"/>
    </xf>
    <xf numFmtId="0" fontId="62" fillId="12" borderId="5" xfId="0" applyFont="1" applyFill="1" applyBorder="1" applyAlignment="1">
      <alignment horizontal="center" vertical="center" wrapText="1"/>
    </xf>
    <xf numFmtId="0" fontId="34" fillId="0" borderId="5" xfId="2" applyFont="1" applyBorder="1" applyAlignment="1">
      <alignment horizontal="center" vertical="center" wrapText="1"/>
    </xf>
    <xf numFmtId="180" fontId="38" fillId="0" borderId="9" xfId="1" applyNumberFormat="1" applyFont="1" applyBorder="1" applyAlignment="1">
      <alignment vertical="center"/>
    </xf>
    <xf numFmtId="180" fontId="53" fillId="15" borderId="22" xfId="4" applyNumberFormat="1" applyFont="1" applyFill="1" applyBorder="1" applyAlignment="1">
      <alignment horizontal="right" vertical="center"/>
    </xf>
    <xf numFmtId="8" fontId="53" fillId="15" borderId="23" xfId="4" applyNumberFormat="1" applyFont="1" applyFill="1" applyBorder="1" applyAlignment="1">
      <alignment horizontal="center" vertical="center" wrapText="1"/>
    </xf>
    <xf numFmtId="180" fontId="38" fillId="15" borderId="5" xfId="1" applyNumberFormat="1" applyFont="1" applyFill="1" applyBorder="1" applyAlignment="1">
      <alignment vertical="center"/>
    </xf>
    <xf numFmtId="9" fontId="57" fillId="5" borderId="5" xfId="0" applyNumberFormat="1" applyFont="1" applyFill="1" applyBorder="1" applyAlignment="1">
      <alignment horizontal="center" vertical="center"/>
    </xf>
    <xf numFmtId="0" fontId="46" fillId="15" borderId="5" xfId="0" applyFont="1" applyFill="1" applyBorder="1" applyAlignment="1">
      <alignment horizontal="center" vertical="center" wrapText="1"/>
    </xf>
    <xf numFmtId="179" fontId="43" fillId="15" borderId="6" xfId="1" applyNumberFormat="1" applyFont="1" applyFill="1" applyBorder="1" applyAlignment="1">
      <alignment horizontal="center" vertical="center" wrapText="1"/>
    </xf>
    <xf numFmtId="180" fontId="38" fillId="0" borderId="9" xfId="1" applyNumberFormat="1" applyFont="1" applyBorder="1" applyAlignment="1">
      <alignment horizontal="right" vertical="center"/>
    </xf>
    <xf numFmtId="0" fontId="55" fillId="0" borderId="26" xfId="0" applyFont="1" applyBorder="1" applyAlignment="1">
      <alignment horizontal="center" vertical="center" wrapText="1"/>
    </xf>
    <xf numFmtId="0" fontId="38" fillId="0" borderId="5" xfId="0" applyFont="1" applyBorder="1" applyAlignment="1">
      <alignment horizontal="center" vertical="center" wrapText="1"/>
    </xf>
    <xf numFmtId="179" fontId="43" fillId="15" borderId="5" xfId="1" applyNumberFormat="1" applyFont="1" applyFill="1" applyBorder="1" applyAlignment="1">
      <alignment horizontal="center" vertical="center" wrapText="1"/>
    </xf>
    <xf numFmtId="180" fontId="38" fillId="0" borderId="13" xfId="1" applyNumberFormat="1" applyFont="1" applyBorder="1" applyAlignment="1">
      <alignment vertical="center"/>
    </xf>
    <xf numFmtId="179" fontId="56" fillId="15" borderId="5" xfId="1" applyNumberFormat="1" applyFont="1" applyFill="1" applyBorder="1" applyAlignment="1">
      <alignment horizontal="center" vertical="center" wrapText="1"/>
    </xf>
    <xf numFmtId="179" fontId="9" fillId="15" borderId="5" xfId="1" applyNumberFormat="1" applyFont="1" applyFill="1" applyBorder="1" applyAlignment="1">
      <alignment horizontal="center" vertical="center" wrapText="1"/>
    </xf>
    <xf numFmtId="179" fontId="9" fillId="0" borderId="5" xfId="1" applyNumberFormat="1" applyFont="1" applyFill="1" applyBorder="1" applyAlignment="1">
      <alignment horizontal="center" vertical="center" wrapText="1"/>
    </xf>
    <xf numFmtId="180" fontId="56" fillId="0" borderId="5" xfId="1" applyNumberFormat="1" applyFont="1" applyFill="1" applyBorder="1" applyAlignment="1">
      <alignment vertical="center"/>
    </xf>
    <xf numFmtId="180" fontId="56" fillId="0" borderId="5" xfId="1" applyNumberFormat="1" applyFont="1" applyFill="1" applyBorder="1" applyAlignment="1">
      <alignment horizontal="right" vertical="center"/>
    </xf>
    <xf numFmtId="180" fontId="56" fillId="0" borderId="2" xfId="1" applyNumberFormat="1" applyFont="1" applyFill="1" applyBorder="1" applyAlignment="1">
      <alignment vertical="center"/>
    </xf>
    <xf numFmtId="180" fontId="56" fillId="0" borderId="4" xfId="1" applyNumberFormat="1" applyFont="1" applyFill="1" applyBorder="1" applyAlignment="1">
      <alignment horizontal="right" vertical="center"/>
    </xf>
    <xf numFmtId="0" fontId="38" fillId="0" borderId="3" xfId="1" applyNumberFormat="1" applyFont="1" applyFill="1" applyBorder="1" applyAlignment="1">
      <alignment horizontal="center" vertical="center"/>
    </xf>
    <xf numFmtId="180" fontId="56" fillId="0" borderId="3" xfId="1" applyNumberFormat="1" applyFont="1" applyFill="1" applyBorder="1" applyAlignment="1">
      <alignment vertical="center"/>
    </xf>
    <xf numFmtId="180" fontId="38" fillId="0" borderId="2" xfId="1" applyNumberFormat="1" applyFont="1" applyBorder="1" applyAlignment="1">
      <alignment vertical="center"/>
    </xf>
    <xf numFmtId="180" fontId="38" fillId="15" borderId="5" xfId="1" applyNumberFormat="1" applyFont="1" applyFill="1" applyBorder="1" applyAlignment="1">
      <alignment horizontal="right" vertical="center"/>
    </xf>
    <xf numFmtId="179" fontId="9" fillId="0" borderId="6" xfId="1" applyNumberFormat="1" applyFont="1" applyFill="1" applyBorder="1" applyAlignment="1">
      <alignment horizontal="center" vertical="center" wrapText="1"/>
    </xf>
    <xf numFmtId="179" fontId="38" fillId="0" borderId="3" xfId="1" applyNumberFormat="1" applyFont="1" applyFill="1" applyBorder="1" applyAlignment="1">
      <alignment horizontal="center" vertical="center"/>
    </xf>
    <xf numFmtId="180" fontId="56" fillId="0" borderId="2" xfId="1" applyNumberFormat="1" applyFont="1" applyBorder="1" applyAlignment="1">
      <alignment horizontal="center" vertical="center"/>
    </xf>
    <xf numFmtId="180" fontId="56" fillId="0" borderId="4" xfId="1" applyNumberFormat="1" applyFont="1" applyBorder="1" applyAlignment="1">
      <alignment horizontal="center" vertical="center"/>
    </xf>
    <xf numFmtId="179" fontId="43" fillId="0" borderId="9" xfId="1" applyNumberFormat="1" applyFont="1" applyFill="1" applyBorder="1" applyAlignment="1">
      <alignment horizontal="center" vertical="center" wrapText="1"/>
    </xf>
    <xf numFmtId="179" fontId="43" fillId="0" borderId="24" xfId="1" applyNumberFormat="1" applyFont="1" applyFill="1" applyBorder="1" applyAlignment="1">
      <alignment horizontal="center" vertical="center" wrapText="1"/>
    </xf>
    <xf numFmtId="179" fontId="43" fillId="0" borderId="13" xfId="1" applyNumberFormat="1" applyFont="1" applyFill="1" applyBorder="1" applyAlignment="1">
      <alignment horizontal="center" vertical="center" wrapText="1"/>
    </xf>
    <xf numFmtId="179" fontId="43" fillId="15" borderId="5" xfId="1" applyNumberFormat="1" applyFont="1" applyFill="1" applyBorder="1" applyAlignment="1">
      <alignment horizontal="center" vertical="center" wrapText="1"/>
    </xf>
    <xf numFmtId="0" fontId="38" fillId="0" borderId="2" xfId="1" applyNumberFormat="1" applyFont="1" applyFill="1" applyBorder="1" applyAlignment="1">
      <alignment horizontal="center" vertical="center"/>
    </xf>
    <xf numFmtId="0" fontId="38" fillId="0" borderId="4" xfId="1" applyNumberFormat="1" applyFont="1" applyFill="1" applyBorder="1" applyAlignment="1">
      <alignment horizontal="center" vertical="center"/>
    </xf>
    <xf numFmtId="0" fontId="41" fillId="0" borderId="25" xfId="0" applyFont="1" applyBorder="1" applyAlignment="1">
      <alignment horizontal="center" vertical="center" wrapText="1"/>
    </xf>
    <xf numFmtId="0" fontId="41" fillId="0" borderId="27" xfId="0" applyFont="1" applyBorder="1" applyAlignment="1">
      <alignment horizontal="center" vertical="center" wrapText="1"/>
    </xf>
    <xf numFmtId="0" fontId="41" fillId="0" borderId="12" xfId="0" applyFont="1" applyBorder="1" applyAlignment="1">
      <alignment horizontal="center" vertical="center" wrapText="1"/>
    </xf>
    <xf numFmtId="0" fontId="41" fillId="0" borderId="5" xfId="0" applyFont="1" applyBorder="1" applyAlignment="1">
      <alignment horizontal="center" vertical="center" wrapText="1"/>
    </xf>
    <xf numFmtId="0" fontId="38" fillId="0" borderId="2" xfId="1" applyNumberFormat="1" applyFont="1" applyBorder="1" applyAlignment="1">
      <alignment horizontal="center" vertical="center"/>
    </xf>
    <xf numFmtId="0" fontId="38" fillId="0" borderId="4" xfId="1" applyNumberFormat="1" applyFont="1" applyBorder="1" applyAlignment="1">
      <alignment horizontal="center" vertical="center"/>
    </xf>
    <xf numFmtId="0" fontId="55" fillId="15" borderId="5" xfId="0" applyFont="1" applyFill="1" applyBorder="1" applyAlignment="1">
      <alignment horizontal="center" vertical="center"/>
    </xf>
    <xf numFmtId="0" fontId="42" fillId="12" borderId="1" xfId="0" applyFont="1" applyFill="1" applyBorder="1" applyAlignment="1">
      <alignment horizontal="center" vertical="center"/>
    </xf>
    <xf numFmtId="0" fontId="42" fillId="12" borderId="3" xfId="0" applyFont="1" applyFill="1" applyBorder="1" applyAlignment="1">
      <alignment horizontal="center" vertical="center"/>
    </xf>
    <xf numFmtId="0" fontId="42" fillId="12" borderId="2" xfId="1" applyNumberFormat="1" applyFont="1" applyFill="1" applyBorder="1" applyAlignment="1">
      <alignment horizontal="center" vertical="center"/>
    </xf>
    <xf numFmtId="0" fontId="42" fillId="12" borderId="4" xfId="1" applyNumberFormat="1" applyFont="1" applyFill="1" applyBorder="1" applyAlignment="1">
      <alignment horizontal="center" vertical="center"/>
    </xf>
    <xf numFmtId="0" fontId="55" fillId="0" borderId="5" xfId="0" applyFont="1" applyBorder="1" applyAlignment="1">
      <alignment horizontal="center" vertical="center" wrapText="1"/>
    </xf>
    <xf numFmtId="40" fontId="38" fillId="0" borderId="2" xfId="1" applyNumberFormat="1" applyFont="1" applyBorder="1" applyAlignment="1">
      <alignment horizontal="right" vertical="center"/>
    </xf>
    <xf numFmtId="40" fontId="38" fillId="0" borderId="4" xfId="1" applyNumberFormat="1" applyFont="1" applyBorder="1" applyAlignment="1">
      <alignment horizontal="right" vertical="center"/>
    </xf>
    <xf numFmtId="0" fontId="53" fillId="15" borderId="19" xfId="0" applyFont="1" applyFill="1" applyBorder="1" applyAlignment="1">
      <alignment horizontal="center" vertical="center"/>
    </xf>
    <xf numFmtId="0" fontId="53" fillId="15" borderId="20" xfId="0" applyFont="1" applyFill="1" applyBorder="1" applyAlignment="1">
      <alignment horizontal="center" vertical="center"/>
    </xf>
    <xf numFmtId="0" fontId="53" fillId="15" borderId="21" xfId="0" applyFont="1" applyFill="1" applyBorder="1" applyAlignment="1">
      <alignment horizontal="center" vertical="center"/>
    </xf>
    <xf numFmtId="0" fontId="34" fillId="0" borderId="2" xfId="0" applyFont="1" applyBorder="1" applyAlignment="1">
      <alignment horizontal="center" vertical="center" wrapText="1"/>
    </xf>
    <xf numFmtId="0" fontId="34" fillId="0" borderId="4" xfId="0" applyFont="1" applyBorder="1" applyAlignment="1">
      <alignment horizontal="center" vertical="center" wrapText="1"/>
    </xf>
    <xf numFmtId="0" fontId="34" fillId="0" borderId="3" xfId="0" applyFont="1" applyBorder="1" applyAlignment="1">
      <alignment horizontal="center" vertical="center" wrapText="1"/>
    </xf>
    <xf numFmtId="0" fontId="41" fillId="0" borderId="10" xfId="0" applyFont="1" applyBorder="1" applyAlignment="1">
      <alignment horizontal="center" vertical="center" wrapText="1"/>
    </xf>
    <xf numFmtId="0" fontId="41" fillId="0" borderId="14" xfId="0" applyFont="1" applyBorder="1" applyAlignment="1">
      <alignment horizontal="center" vertical="center" wrapText="1"/>
    </xf>
    <xf numFmtId="8" fontId="44" fillId="13" borderId="1" xfId="1" applyNumberFormat="1" applyFont="1" applyFill="1" applyBorder="1" applyAlignment="1">
      <alignment horizontal="right" vertical="center"/>
    </xf>
    <xf numFmtId="8" fontId="44" fillId="13" borderId="3" xfId="1" applyNumberFormat="1" applyFont="1" applyFill="1" applyBorder="1" applyAlignment="1">
      <alignment horizontal="right" vertical="center"/>
    </xf>
    <xf numFmtId="8" fontId="44" fillId="13" borderId="4" xfId="1" applyNumberFormat="1" applyFont="1" applyFill="1" applyBorder="1" applyAlignment="1">
      <alignment horizontal="right" vertical="center"/>
    </xf>
    <xf numFmtId="0" fontId="41" fillId="11" borderId="1" xfId="0" applyFont="1" applyFill="1" applyBorder="1" applyAlignment="1">
      <alignment horizontal="right" vertical="center"/>
    </xf>
    <xf numFmtId="0" fontId="41" fillId="11" borderId="3" xfId="0" applyFont="1" applyFill="1" applyBorder="1" applyAlignment="1">
      <alignment horizontal="right" vertical="center"/>
    </xf>
    <xf numFmtId="0" fontId="41" fillId="11" borderId="4" xfId="0" applyFont="1" applyFill="1" applyBorder="1" applyAlignment="1">
      <alignment horizontal="right" vertical="center"/>
    </xf>
    <xf numFmtId="0" fontId="55" fillId="0" borderId="10" xfId="0" applyFont="1" applyBorder="1" applyAlignment="1">
      <alignment horizontal="center" vertical="center" wrapText="1"/>
    </xf>
    <xf numFmtId="0" fontId="55" fillId="0" borderId="14" xfId="0" applyFont="1" applyBorder="1" applyAlignment="1">
      <alignment horizontal="center" vertical="center" wrapText="1"/>
    </xf>
    <xf numFmtId="179" fontId="38" fillId="0" borderId="2" xfId="1" applyNumberFormat="1" applyFont="1" applyFill="1" applyBorder="1" applyAlignment="1">
      <alignment horizontal="center" vertical="center"/>
    </xf>
    <xf numFmtId="179" fontId="38" fillId="0" borderId="4" xfId="1" applyNumberFormat="1" applyFont="1" applyFill="1" applyBorder="1" applyAlignment="1">
      <alignment horizontal="center" vertical="center"/>
    </xf>
    <xf numFmtId="0" fontId="48" fillId="15" borderId="1" xfId="0" applyFont="1" applyFill="1" applyBorder="1" applyAlignment="1">
      <alignment horizontal="center" vertical="center"/>
    </xf>
    <xf numFmtId="0" fontId="48" fillId="15" borderId="3" xfId="0" applyFont="1" applyFill="1" applyBorder="1" applyAlignment="1">
      <alignment horizontal="center" vertical="center"/>
    </xf>
    <xf numFmtId="0" fontId="48" fillId="15" borderId="4" xfId="0" applyFont="1" applyFill="1" applyBorder="1" applyAlignment="1">
      <alignment horizontal="center" vertical="center"/>
    </xf>
    <xf numFmtId="180" fontId="38" fillId="0" borderId="5" xfId="1" applyNumberFormat="1" applyFont="1" applyFill="1" applyBorder="1" applyAlignment="1">
      <alignment horizontal="center" vertical="center"/>
    </xf>
    <xf numFmtId="0" fontId="56" fillId="0" borderId="5" xfId="0" applyFont="1" applyBorder="1" applyAlignment="1">
      <alignment horizontal="center" vertical="center"/>
    </xf>
    <xf numFmtId="0" fontId="38" fillId="0" borderId="5" xfId="1" applyNumberFormat="1" applyFont="1" applyFill="1" applyBorder="1" applyAlignment="1">
      <alignment horizontal="center" vertical="center"/>
    </xf>
    <xf numFmtId="0" fontId="56" fillId="0" borderId="5" xfId="1" applyNumberFormat="1" applyFont="1" applyFill="1" applyBorder="1" applyAlignment="1">
      <alignment horizontal="center" vertical="center"/>
    </xf>
    <xf numFmtId="0" fontId="56" fillId="0" borderId="2" xfId="0" applyFont="1" applyBorder="1" applyAlignment="1">
      <alignment horizontal="center" vertical="center"/>
    </xf>
    <xf numFmtId="0" fontId="56" fillId="0" borderId="4" xfId="0" applyFont="1" applyBorder="1" applyAlignment="1">
      <alignment horizontal="center" vertical="center"/>
    </xf>
    <xf numFmtId="0" fontId="38" fillId="0" borderId="9" xfId="0" applyFont="1" applyBorder="1" applyAlignment="1">
      <alignment horizontal="center" vertical="center" wrapText="1"/>
    </xf>
    <xf numFmtId="0" fontId="38" fillId="0" borderId="13" xfId="0" applyFont="1" applyBorder="1" applyAlignment="1">
      <alignment horizontal="center" vertical="center" wrapText="1"/>
    </xf>
    <xf numFmtId="180" fontId="38" fillId="15" borderId="2" xfId="1" applyNumberFormat="1" applyFont="1" applyFill="1" applyBorder="1" applyAlignment="1">
      <alignment horizontal="center" vertical="center"/>
    </xf>
    <xf numFmtId="180" fontId="38" fillId="15" borderId="4" xfId="1" applyNumberFormat="1" applyFont="1" applyFill="1" applyBorder="1" applyAlignment="1">
      <alignment horizontal="center" vertical="center"/>
    </xf>
    <xf numFmtId="0" fontId="38" fillId="0" borderId="9" xfId="0" applyFont="1" applyBorder="1" applyAlignment="1">
      <alignment horizontal="center" vertical="center"/>
    </xf>
    <xf numFmtId="0" fontId="38" fillId="0" borderId="24" xfId="0" applyFont="1" applyBorder="1" applyAlignment="1">
      <alignment horizontal="center" vertical="center"/>
    </xf>
    <xf numFmtId="0" fontId="38" fillId="0" borderId="13" xfId="0" applyFont="1" applyBorder="1" applyAlignment="1">
      <alignment horizontal="center" vertical="center"/>
    </xf>
    <xf numFmtId="180" fontId="38" fillId="0" borderId="3" xfId="1" applyNumberFormat="1" applyFont="1" applyBorder="1" applyAlignment="1">
      <alignment horizontal="center" vertical="center"/>
    </xf>
    <xf numFmtId="180" fontId="38" fillId="0" borderId="4" xfId="1" applyNumberFormat="1" applyFont="1" applyBorder="1" applyAlignment="1">
      <alignment horizontal="center" vertical="center"/>
    </xf>
    <xf numFmtId="0" fontId="36" fillId="0" borderId="2" xfId="3" applyNumberFormat="1" applyFont="1" applyFill="1" applyBorder="1" applyAlignment="1" applyProtection="1">
      <alignment horizontal="center" vertical="center"/>
    </xf>
    <xf numFmtId="0" fontId="34" fillId="0" borderId="3" xfId="0" applyFont="1" applyBorder="1" applyAlignment="1">
      <alignment horizontal="center" vertical="center"/>
    </xf>
    <xf numFmtId="0" fontId="34" fillId="0" borderId="4" xfId="0" applyFont="1" applyBorder="1" applyAlignment="1">
      <alignment horizontal="center" vertical="center"/>
    </xf>
    <xf numFmtId="179" fontId="38" fillId="0" borderId="3" xfId="1" applyNumberFormat="1" applyFont="1" applyBorder="1" applyAlignment="1">
      <alignment horizontal="center" vertical="center"/>
    </xf>
    <xf numFmtId="0" fontId="39" fillId="0" borderId="4" xfId="0" applyFont="1" applyBorder="1" applyAlignment="1">
      <alignment horizontal="center" vertical="center"/>
    </xf>
    <xf numFmtId="14" fontId="35" fillId="0" borderId="2" xfId="3" applyNumberFormat="1" applyFill="1" applyBorder="1" applyAlignment="1" applyProtection="1">
      <alignment horizontal="left" vertical="center"/>
    </xf>
    <xf numFmtId="14" fontId="34" fillId="0" borderId="3" xfId="0" applyNumberFormat="1" applyFont="1" applyBorder="1" applyAlignment="1">
      <alignment horizontal="left" vertical="center"/>
    </xf>
    <xf numFmtId="14" fontId="34" fillId="0" borderId="4" xfId="0" applyNumberFormat="1" applyFont="1" applyBorder="1" applyAlignment="1">
      <alignment horizontal="left" vertical="center"/>
    </xf>
    <xf numFmtId="0" fontId="34" fillId="11" borderId="2" xfId="0" applyFont="1" applyFill="1" applyBorder="1" applyAlignment="1">
      <alignment horizontal="center" vertical="center"/>
    </xf>
    <xf numFmtId="0" fontId="34" fillId="11" borderId="3" xfId="0" applyFont="1" applyFill="1" applyBorder="1" applyAlignment="1">
      <alignment horizontal="center" vertical="center"/>
    </xf>
    <xf numFmtId="0" fontId="34" fillId="0" borderId="2" xfId="0" applyFont="1" applyBorder="1" applyAlignment="1">
      <alignment horizontal="left" vertical="center"/>
    </xf>
    <xf numFmtId="0" fontId="34" fillId="0" borderId="3" xfId="0" applyFont="1" applyBorder="1" applyAlignment="1">
      <alignment horizontal="left" vertical="center"/>
    </xf>
    <xf numFmtId="0" fontId="34" fillId="0" borderId="7" xfId="0" applyFont="1" applyBorder="1" applyAlignment="1">
      <alignment horizontal="left" vertical="center"/>
    </xf>
    <xf numFmtId="180" fontId="42" fillId="12" borderId="2" xfId="1" applyNumberFormat="1" applyFont="1" applyFill="1" applyBorder="1" applyAlignment="1">
      <alignment horizontal="center" vertical="center"/>
    </xf>
    <xf numFmtId="180" fontId="42" fillId="12" borderId="4" xfId="1" applyNumberFormat="1" applyFont="1" applyFill="1" applyBorder="1" applyAlignment="1">
      <alignment horizontal="center" vertical="center"/>
    </xf>
    <xf numFmtId="180" fontId="38" fillId="0" borderId="2" xfId="1" applyNumberFormat="1" applyFont="1" applyBorder="1" applyAlignment="1">
      <alignment horizontal="center" vertical="center"/>
    </xf>
    <xf numFmtId="0" fontId="41" fillId="12" borderId="1" xfId="0" applyFont="1" applyFill="1" applyBorder="1" applyAlignment="1">
      <alignment horizontal="center" vertical="center" wrapText="1"/>
    </xf>
    <xf numFmtId="0" fontId="41" fillId="12" borderId="3" xfId="0" applyFont="1" applyFill="1" applyBorder="1" applyAlignment="1">
      <alignment horizontal="center" vertical="center" wrapText="1"/>
    </xf>
    <xf numFmtId="0" fontId="41" fillId="12" borderId="7" xfId="0" applyFont="1" applyFill="1" applyBorder="1" applyAlignment="1">
      <alignment horizontal="center" vertical="center" wrapText="1"/>
    </xf>
    <xf numFmtId="0" fontId="55" fillId="0" borderId="26" xfId="0" applyFont="1" applyBorder="1" applyAlignment="1">
      <alignment horizontal="center" vertical="center" wrapText="1"/>
    </xf>
    <xf numFmtId="0" fontId="55" fillId="0" borderId="29" xfId="0" applyFont="1" applyBorder="1" applyAlignment="1">
      <alignment horizontal="center" vertical="center" wrapText="1"/>
    </xf>
    <xf numFmtId="0" fontId="55" fillId="0" borderId="30" xfId="0" applyFont="1" applyBorder="1" applyAlignment="1">
      <alignment horizontal="center" vertical="center" wrapText="1"/>
    </xf>
    <xf numFmtId="0" fontId="55" fillId="0" borderId="28" xfId="0" applyFont="1" applyBorder="1" applyAlignment="1">
      <alignment horizontal="center" vertical="center" wrapText="1"/>
    </xf>
    <xf numFmtId="0" fontId="55" fillId="0" borderId="0" xfId="0" applyFont="1" applyAlignment="1">
      <alignment horizontal="center" vertical="center" wrapText="1"/>
    </xf>
    <xf numFmtId="0" fontId="55" fillId="0" borderId="16" xfId="0" applyFont="1" applyBorder="1" applyAlignment="1">
      <alignment horizontal="center" vertical="center" wrapText="1"/>
    </xf>
    <xf numFmtId="0" fontId="38" fillId="0" borderId="3" xfId="1" applyNumberFormat="1" applyFont="1" applyFill="1" applyBorder="1" applyAlignment="1">
      <alignment horizontal="center" vertical="center"/>
    </xf>
    <xf numFmtId="0" fontId="63" fillId="15" borderId="9" xfId="0" applyFont="1" applyFill="1" applyBorder="1" applyAlignment="1">
      <alignment horizontal="center" vertical="center"/>
    </xf>
    <xf numFmtId="0" fontId="63" fillId="15" borderId="24" xfId="0" applyFont="1" applyFill="1" applyBorder="1" applyAlignment="1">
      <alignment horizontal="center" vertical="center"/>
    </xf>
    <xf numFmtId="0" fontId="62" fillId="15" borderId="9" xfId="0" applyFont="1" applyFill="1" applyBorder="1" applyAlignment="1">
      <alignment horizontal="center" vertical="center"/>
    </xf>
    <xf numFmtId="0" fontId="62" fillId="15" borderId="24" xfId="0" applyFont="1" applyFill="1" applyBorder="1" applyAlignment="1">
      <alignment horizontal="center" vertical="center"/>
    </xf>
    <xf numFmtId="0" fontId="62" fillId="15" borderId="13" xfId="0" applyFont="1" applyFill="1" applyBorder="1" applyAlignment="1">
      <alignment horizontal="center" vertical="center"/>
    </xf>
    <xf numFmtId="0" fontId="54" fillId="0" borderId="3" xfId="0" applyFont="1" applyBorder="1" applyAlignment="1">
      <alignment horizontal="center" vertical="center"/>
    </xf>
    <xf numFmtId="0" fontId="42" fillId="15" borderId="2" xfId="1" applyNumberFormat="1" applyFont="1" applyFill="1" applyBorder="1" applyAlignment="1">
      <alignment horizontal="center" vertical="center"/>
    </xf>
    <xf numFmtId="0" fontId="42" fillId="15" borderId="4" xfId="1" applyNumberFormat="1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38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2" fillId="12" borderId="5" xfId="0" applyFont="1" applyFill="1" applyBorder="1" applyAlignment="1">
      <alignment horizontal="center" vertical="center"/>
    </xf>
    <xf numFmtId="0" fontId="34" fillId="0" borderId="9" xfId="2" applyFont="1" applyBorder="1" applyAlignment="1">
      <alignment horizontal="center" vertical="center" wrapText="1"/>
    </xf>
    <xf numFmtId="0" fontId="34" fillId="0" borderId="24" xfId="2" applyFont="1" applyBorder="1" applyAlignment="1">
      <alignment horizontal="center" vertical="center" wrapText="1"/>
    </xf>
    <xf numFmtId="0" fontId="34" fillId="0" borderId="13" xfId="2" applyFont="1" applyBorder="1" applyAlignment="1">
      <alignment horizontal="center" vertical="center" wrapText="1"/>
    </xf>
    <xf numFmtId="0" fontId="23" fillId="6" borderId="0" xfId="2" applyFont="1" applyFill="1" applyAlignment="1">
      <alignment horizontal="right" vertical="center" wrapText="1"/>
    </xf>
    <xf numFmtId="0" fontId="17" fillId="2" borderId="0" xfId="2" applyFont="1" applyFill="1" applyAlignment="1">
      <alignment horizontal="center" vertical="center"/>
    </xf>
    <xf numFmtId="0" fontId="18" fillId="2" borderId="0" xfId="2" applyFont="1" applyFill="1" applyAlignment="1">
      <alignment vertical="center"/>
    </xf>
    <xf numFmtId="0" fontId="18" fillId="2" borderId="0" xfId="2" applyFont="1" applyFill="1" applyAlignment="1">
      <alignment horizontal="center" vertical="center"/>
    </xf>
    <xf numFmtId="0" fontId="30" fillId="5" borderId="0" xfId="2" applyFont="1" applyFill="1" applyAlignment="1">
      <alignment horizontal="center" vertical="center"/>
    </xf>
    <xf numFmtId="0" fontId="31" fillId="5" borderId="0" xfId="2" applyFont="1" applyFill="1" applyAlignment="1">
      <alignment horizontal="right" vertical="center"/>
    </xf>
    <xf numFmtId="0" fontId="31" fillId="5" borderId="0" xfId="2" applyFont="1" applyFill="1" applyAlignment="1">
      <alignment horizontal="center" vertical="center"/>
    </xf>
    <xf numFmtId="0" fontId="14" fillId="5" borderId="0" xfId="2" applyFont="1" applyFill="1" applyAlignment="1">
      <alignment horizontal="center" vertical="center"/>
    </xf>
    <xf numFmtId="0" fontId="14" fillId="5" borderId="0" xfId="2" applyFont="1" applyFill="1" applyAlignment="1">
      <alignment horizontal="right" vertical="center"/>
    </xf>
    <xf numFmtId="0" fontId="3" fillId="2" borderId="0" xfId="2" applyFont="1" applyFill="1" applyAlignment="1">
      <alignment horizontal="center" vertical="center"/>
    </xf>
    <xf numFmtId="0" fontId="3" fillId="2" borderId="0" xfId="2" applyFont="1" applyFill="1" applyAlignment="1">
      <alignment vertical="center"/>
    </xf>
    <xf numFmtId="0" fontId="8" fillId="4" borderId="0" xfId="2" applyFont="1" applyFill="1" applyAlignment="1">
      <alignment horizontal="right" vertical="center" wrapText="1"/>
    </xf>
    <xf numFmtId="0" fontId="12" fillId="4" borderId="0" xfId="2" applyFont="1" applyFill="1" applyAlignment="1">
      <alignment horizontal="right" vertical="center" wrapText="1"/>
    </xf>
    <xf numFmtId="14" fontId="40" fillId="0" borderId="2" xfId="3" applyNumberFormat="1" applyFont="1" applyFill="1" applyBorder="1" applyAlignment="1" applyProtection="1">
      <alignment horizontal="left" vertical="center"/>
    </xf>
    <xf numFmtId="0" fontId="42" fillId="12" borderId="8" xfId="0" applyFont="1" applyFill="1" applyBorder="1" applyAlignment="1">
      <alignment horizontal="center" vertical="center"/>
    </xf>
    <xf numFmtId="0" fontId="42" fillId="12" borderId="9" xfId="0" applyFont="1" applyFill="1" applyBorder="1" applyAlignment="1">
      <alignment horizontal="center" vertical="center"/>
    </xf>
    <xf numFmtId="0" fontId="41" fillId="0" borderId="15" xfId="0" applyFont="1" applyBorder="1" applyAlignment="1">
      <alignment horizontal="center" vertical="center" wrapText="1"/>
    </xf>
    <xf numFmtId="8" fontId="44" fillId="13" borderId="16" xfId="1" applyNumberFormat="1" applyFont="1" applyFill="1" applyBorder="1" applyAlignment="1">
      <alignment horizontal="right" vertical="center"/>
    </xf>
    <xf numFmtId="0" fontId="48" fillId="0" borderId="1" xfId="0" applyFont="1" applyBorder="1" applyAlignment="1">
      <alignment horizontal="center" vertical="center"/>
    </xf>
    <xf numFmtId="0" fontId="48" fillId="0" borderId="3" xfId="0" applyFont="1" applyBorder="1" applyAlignment="1">
      <alignment horizontal="center" vertical="center"/>
    </xf>
    <xf numFmtId="0" fontId="49" fillId="0" borderId="3" xfId="0" applyFont="1" applyBorder="1" applyAlignment="1">
      <alignment horizontal="center" vertical="center"/>
    </xf>
    <xf numFmtId="0" fontId="50" fillId="0" borderId="3" xfId="0" applyFont="1" applyBorder="1" applyAlignment="1">
      <alignment horizontal="center" vertical="center"/>
    </xf>
    <xf numFmtId="0" fontId="39" fillId="0" borderId="3" xfId="0" applyFont="1" applyBorder="1">
      <alignment vertical="center"/>
    </xf>
    <xf numFmtId="0" fontId="48" fillId="0" borderId="4" xfId="0" applyFont="1" applyBorder="1" applyAlignment="1">
      <alignment horizontal="center" vertical="center"/>
    </xf>
    <xf numFmtId="0" fontId="53" fillId="5" borderId="19" xfId="0" applyFont="1" applyFill="1" applyBorder="1" applyAlignment="1">
      <alignment horizontal="center" vertical="center"/>
    </xf>
    <xf numFmtId="0" fontId="53" fillId="5" borderId="20" xfId="0" applyFont="1" applyFill="1" applyBorder="1" applyAlignment="1">
      <alignment horizontal="center" vertical="center"/>
    </xf>
    <xf numFmtId="0" fontId="53" fillId="5" borderId="21" xfId="0" applyFont="1" applyFill="1" applyBorder="1" applyAlignment="1">
      <alignment horizontal="center" vertical="center"/>
    </xf>
  </cellXfs>
  <cellStyles count="6">
    <cellStyle name="Euro" xfId="4" xr:uid="{A2EE39E5-D502-5648-9E8C-30F9930C287C}"/>
    <cellStyle name="常规" xfId="0" builtinId="0"/>
    <cellStyle name="超链接" xfId="3" builtinId="8"/>
    <cellStyle name="货币" xfId="5" builtinId="4"/>
    <cellStyle name="千位分隔" xfId="1" builtinId="3"/>
    <cellStyle name="样式 1" xfId="2" xr:uid="{97499CBB-ED9E-DC45-A183-305B90336FA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fhx823/Desktop/100W&#39033;&#30446;&#25253;&#20215;&#21333;/&#24180;&#24230;&#30427;&#20856;-&#32858;&#20809;&#30427;&#20856;/&#31532;&#20116;&#26799;&#38431;300&#39184;&#26631;-V12.2&#12304;&#21516;&#31243;-&#30427;&#20856;&#12305;2022&#24555;&#25163;&#30452;&#25773;&#32858;&#20809;&#30427;&#20856;-&#30427;&#20856;&#25253;&#20215;2022.11.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各人群统表"/>
      <sheetName val="第三方人员明细表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2013 - 2022 主题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make@cct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BCCF77-E997-A940-BE04-F20E1D12A087}">
  <dimension ref="A1:G14"/>
  <sheetViews>
    <sheetView zoomScale="110" zoomScaleNormal="110" workbookViewId="0">
      <selection activeCell="D21" sqref="D21"/>
    </sheetView>
  </sheetViews>
  <sheetFormatPr baseColWidth="10" defaultColWidth="11" defaultRowHeight="16"/>
  <cols>
    <col min="1" max="1" width="43.1640625" customWidth="1"/>
    <col min="6" max="6" width="15.6640625" customWidth="1"/>
  </cols>
  <sheetData>
    <row r="1" spans="1:7" ht="96" customHeight="1">
      <c r="A1" s="158" t="s">
        <v>461</v>
      </c>
    </row>
    <row r="2" spans="1:7">
      <c r="A2" s="61"/>
    </row>
    <row r="3" spans="1:7">
      <c r="A3" s="149" t="s">
        <v>428</v>
      </c>
      <c r="B3" s="149" t="s">
        <v>429</v>
      </c>
      <c r="C3" s="150" t="s">
        <v>430</v>
      </c>
      <c r="D3" s="150" t="s">
        <v>431</v>
      </c>
      <c r="E3" s="150" t="s">
        <v>371</v>
      </c>
      <c r="F3" s="150" t="s">
        <v>432</v>
      </c>
      <c r="G3" s="149" t="s">
        <v>319</v>
      </c>
    </row>
    <row r="4" spans="1:7">
      <c r="A4" s="154" t="s">
        <v>433</v>
      </c>
      <c r="B4" s="154" t="s">
        <v>443</v>
      </c>
      <c r="C4" s="154" t="s">
        <v>434</v>
      </c>
      <c r="D4" s="155">
        <f>报价单拟制!J13</f>
        <v>1029000</v>
      </c>
      <c r="E4" s="156">
        <v>1</v>
      </c>
      <c r="F4" s="155">
        <f>E4*D4</f>
        <v>1029000</v>
      </c>
      <c r="G4" s="154"/>
    </row>
    <row r="5" spans="1:7">
      <c r="A5" s="154" t="s">
        <v>435</v>
      </c>
      <c r="B5" s="154" t="s">
        <v>444</v>
      </c>
      <c r="C5" s="154" t="s">
        <v>434</v>
      </c>
      <c r="D5" s="155">
        <f>报价单拟制!J21</f>
        <v>47040</v>
      </c>
      <c r="E5" s="156">
        <v>1</v>
      </c>
      <c r="F5" s="155">
        <f t="shared" ref="F5:F11" si="0">E5*D5</f>
        <v>47040</v>
      </c>
      <c r="G5" s="154"/>
    </row>
    <row r="6" spans="1:7">
      <c r="A6" s="154" t="s">
        <v>436</v>
      </c>
      <c r="B6" s="154" t="s">
        <v>445</v>
      </c>
      <c r="C6" s="154" t="s">
        <v>434</v>
      </c>
      <c r="D6" s="155">
        <f>报价单拟制!J26</f>
        <v>523600</v>
      </c>
      <c r="E6" s="156">
        <v>1</v>
      </c>
      <c r="F6" s="155">
        <f t="shared" si="0"/>
        <v>523600</v>
      </c>
      <c r="G6" s="154"/>
    </row>
    <row r="7" spans="1:7">
      <c r="A7" s="154" t="s">
        <v>437</v>
      </c>
      <c r="B7" s="154" t="s">
        <v>446</v>
      </c>
      <c r="C7" s="154" t="s">
        <v>434</v>
      </c>
      <c r="D7" s="155">
        <f>报价单拟制!J29</f>
        <v>0</v>
      </c>
      <c r="E7" s="156">
        <v>1</v>
      </c>
      <c r="F7" s="155">
        <f t="shared" si="0"/>
        <v>0</v>
      </c>
      <c r="G7" s="154"/>
    </row>
    <row r="8" spans="1:7">
      <c r="A8" s="154" t="s">
        <v>438</v>
      </c>
      <c r="B8" s="154" t="s">
        <v>314</v>
      </c>
      <c r="C8" s="154" t="s">
        <v>434</v>
      </c>
      <c r="D8" s="155">
        <f>报价单拟制!J36</f>
        <v>285600</v>
      </c>
      <c r="E8" s="156">
        <v>1</v>
      </c>
      <c r="F8" s="155">
        <f t="shared" si="0"/>
        <v>285600</v>
      </c>
      <c r="G8" s="154"/>
    </row>
    <row r="9" spans="1:7">
      <c r="A9" s="154" t="s">
        <v>439</v>
      </c>
      <c r="B9" s="154" t="s">
        <v>318</v>
      </c>
      <c r="C9" s="154" t="s">
        <v>434</v>
      </c>
      <c r="D9" s="155">
        <f>报价单拟制!J73</f>
        <v>287450</v>
      </c>
      <c r="E9" s="156">
        <v>1</v>
      </c>
      <c r="F9" s="155">
        <f t="shared" si="0"/>
        <v>287450</v>
      </c>
      <c r="G9" s="154"/>
    </row>
    <row r="10" spans="1:7">
      <c r="A10" s="154" t="s">
        <v>440</v>
      </c>
      <c r="B10" s="154" t="s">
        <v>447</v>
      </c>
      <c r="C10" s="154" t="s">
        <v>434</v>
      </c>
      <c r="D10" s="155">
        <f>报价单拟制!J39</f>
        <v>32500</v>
      </c>
      <c r="E10" s="156">
        <v>1</v>
      </c>
      <c r="F10" s="155">
        <f t="shared" si="0"/>
        <v>32500</v>
      </c>
      <c r="G10" s="154"/>
    </row>
    <row r="11" spans="1:7">
      <c r="A11" s="154" t="s">
        <v>441</v>
      </c>
      <c r="B11" s="157" t="s">
        <v>450</v>
      </c>
      <c r="C11" s="154" t="s">
        <v>434</v>
      </c>
      <c r="D11" s="155">
        <f>报价单拟制!J93+报价单拟制!J110</f>
        <v>243280</v>
      </c>
      <c r="E11" s="156">
        <v>1</v>
      </c>
      <c r="F11" s="155">
        <f t="shared" si="0"/>
        <v>243280</v>
      </c>
      <c r="G11" s="154"/>
    </row>
    <row r="12" spans="1:7">
      <c r="A12" s="154" t="s">
        <v>451</v>
      </c>
      <c r="B12" s="151" t="s">
        <v>448</v>
      </c>
      <c r="C12" s="154" t="s">
        <v>434</v>
      </c>
      <c r="D12" s="123">
        <f>报价单拟制!J112</f>
        <v>146908.19999999998</v>
      </c>
      <c r="E12" s="156">
        <v>1</v>
      </c>
      <c r="F12" s="153">
        <f>SUM(F4:F11)</f>
        <v>2448470</v>
      </c>
      <c r="G12" s="151"/>
    </row>
    <row r="13" spans="1:7">
      <c r="A13" s="154" t="s">
        <v>452</v>
      </c>
      <c r="B13" s="151" t="s">
        <v>449</v>
      </c>
      <c r="C13" s="154" t="s">
        <v>434</v>
      </c>
      <c r="D13" s="123">
        <f>报价单拟制!J113</f>
        <v>155722.69200000001</v>
      </c>
      <c r="E13" s="156">
        <v>1</v>
      </c>
      <c r="F13" s="153">
        <f>D12+D13+F12</f>
        <v>2751100.892</v>
      </c>
      <c r="G13" s="123"/>
    </row>
    <row r="14" spans="1:7">
      <c r="F14" s="152" t="s">
        <v>442</v>
      </c>
    </row>
  </sheetData>
  <phoneticPr fontId="4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CC3194-5A43-534A-80FD-A17ECFB1770A}">
  <dimension ref="A1:H73"/>
  <sheetViews>
    <sheetView topLeftCell="A48" workbookViewId="0">
      <selection activeCell="A28" sqref="A28:H29"/>
    </sheetView>
  </sheetViews>
  <sheetFormatPr baseColWidth="10" defaultColWidth="22.5" defaultRowHeight="16"/>
  <cols>
    <col min="2" max="2" width="22.5" customWidth="1"/>
  </cols>
  <sheetData>
    <row r="1" spans="1:7" ht="21">
      <c r="A1" s="308" t="s">
        <v>0</v>
      </c>
      <c r="B1" s="309"/>
      <c r="C1" s="308"/>
      <c r="D1" s="308"/>
      <c r="E1" s="308"/>
      <c r="F1" s="308"/>
      <c r="G1" s="309"/>
    </row>
    <row r="2" spans="1:7" ht="17">
      <c r="A2" s="1" t="s">
        <v>1</v>
      </c>
      <c r="B2" s="2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2" t="s">
        <v>7</v>
      </c>
    </row>
    <row r="3" spans="1:7">
      <c r="A3" s="3"/>
      <c r="B3" s="4" t="s">
        <v>8</v>
      </c>
      <c r="C3" s="5"/>
      <c r="D3" s="5"/>
      <c r="E3" s="5"/>
      <c r="F3" s="5"/>
      <c r="G3" s="6"/>
    </row>
    <row r="4" spans="1:7" ht="30">
      <c r="A4" s="7">
        <v>1</v>
      </c>
      <c r="B4" s="8" t="s">
        <v>9</v>
      </c>
      <c r="C4" s="7">
        <v>300</v>
      </c>
      <c r="D4" s="7">
        <v>2</v>
      </c>
      <c r="E4" s="9">
        <f>2150*0.85+80</f>
        <v>1907.5</v>
      </c>
      <c r="F4" s="10">
        <f>C4*D4*E4</f>
        <v>1144500</v>
      </c>
      <c r="G4" s="11" t="s">
        <v>10</v>
      </c>
    </row>
    <row r="5" spans="1:7" ht="30">
      <c r="A5" s="7">
        <v>2</v>
      </c>
      <c r="B5" s="8" t="s">
        <v>11</v>
      </c>
      <c r="C5" s="7">
        <v>50</v>
      </c>
      <c r="D5" s="7">
        <v>2</v>
      </c>
      <c r="E5" s="9">
        <v>667</v>
      </c>
      <c r="F5" s="10">
        <f>C5*D5*E5</f>
        <v>66700</v>
      </c>
      <c r="G5" s="11" t="s">
        <v>12</v>
      </c>
    </row>
    <row r="6" spans="1:7" ht="30">
      <c r="A6" s="7">
        <v>5</v>
      </c>
      <c r="B6" s="8" t="s">
        <v>13</v>
      </c>
      <c r="C6" s="7">
        <v>50</v>
      </c>
      <c r="D6" s="7">
        <v>2</v>
      </c>
      <c r="E6" s="9">
        <v>30</v>
      </c>
      <c r="F6" s="10">
        <f>C6*D6*E6</f>
        <v>3000</v>
      </c>
      <c r="G6" s="11" t="s">
        <v>14</v>
      </c>
    </row>
    <row r="7" spans="1:7">
      <c r="A7" s="7">
        <v>6</v>
      </c>
      <c r="B7" s="8" t="s">
        <v>15</v>
      </c>
      <c r="C7" s="7">
        <v>1</v>
      </c>
      <c r="D7" s="7">
        <v>1</v>
      </c>
      <c r="E7" s="9">
        <v>10000</v>
      </c>
      <c r="F7" s="10">
        <f>C7*D7*E7</f>
        <v>10000</v>
      </c>
      <c r="G7" s="8" t="s">
        <v>16</v>
      </c>
    </row>
    <row r="8" spans="1:7">
      <c r="A8" s="310" t="s">
        <v>17</v>
      </c>
      <c r="B8" s="310"/>
      <c r="C8" s="310"/>
      <c r="D8" s="310"/>
      <c r="E8" s="310"/>
      <c r="F8" s="12">
        <f>SUM(F4:F7)</f>
        <v>1224200</v>
      </c>
      <c r="G8" s="13"/>
    </row>
    <row r="9" spans="1:7">
      <c r="A9" s="5"/>
      <c r="B9" s="14" t="s">
        <v>18</v>
      </c>
      <c r="C9" s="5"/>
      <c r="D9" s="5"/>
      <c r="E9" s="5"/>
      <c r="F9" s="5"/>
      <c r="G9" s="6"/>
    </row>
    <row r="10" spans="1:7" ht="30">
      <c r="A10" s="7">
        <v>1</v>
      </c>
      <c r="B10" s="8" t="s">
        <v>19</v>
      </c>
      <c r="C10" s="7">
        <v>10</v>
      </c>
      <c r="D10" s="7">
        <v>1</v>
      </c>
      <c r="E10" s="9">
        <v>1800</v>
      </c>
      <c r="F10" s="10">
        <f>C10*D10*E10</f>
        <v>18000</v>
      </c>
      <c r="G10" s="8"/>
    </row>
    <row r="11" spans="1:7" ht="30">
      <c r="A11" s="7">
        <v>2</v>
      </c>
      <c r="B11" s="8" t="s">
        <v>20</v>
      </c>
      <c r="C11" s="7">
        <v>90</v>
      </c>
      <c r="D11" s="7">
        <v>2</v>
      </c>
      <c r="E11" s="9">
        <v>1800</v>
      </c>
      <c r="F11" s="10">
        <f>C11*D11*E11</f>
        <v>324000</v>
      </c>
      <c r="G11" s="8" t="s">
        <v>21</v>
      </c>
    </row>
    <row r="12" spans="1:7">
      <c r="A12" s="7">
        <v>3</v>
      </c>
      <c r="B12" s="8" t="s">
        <v>22</v>
      </c>
      <c r="C12" s="7">
        <v>0</v>
      </c>
      <c r="D12" s="7">
        <v>2</v>
      </c>
      <c r="E12" s="9">
        <v>1900</v>
      </c>
      <c r="F12" s="10">
        <f>C12*D12*E12</f>
        <v>0</v>
      </c>
      <c r="G12" s="8" t="s">
        <v>23</v>
      </c>
    </row>
    <row r="13" spans="1:7" ht="30">
      <c r="A13" s="7">
        <v>4</v>
      </c>
      <c r="B13" s="8" t="s">
        <v>24</v>
      </c>
      <c r="C13" s="7">
        <v>230</v>
      </c>
      <c r="D13" s="7">
        <v>2</v>
      </c>
      <c r="E13" s="9">
        <v>1100</v>
      </c>
      <c r="F13" s="10">
        <f>C13*D13*E13</f>
        <v>506000</v>
      </c>
      <c r="G13" s="8" t="s">
        <v>21</v>
      </c>
    </row>
    <row r="14" spans="1:7" ht="30">
      <c r="A14" s="7">
        <v>5</v>
      </c>
      <c r="B14" s="8" t="s">
        <v>25</v>
      </c>
      <c r="C14" s="7">
        <v>1</v>
      </c>
      <c r="D14" s="7">
        <v>1</v>
      </c>
      <c r="E14" s="9">
        <v>20000</v>
      </c>
      <c r="F14" s="10">
        <f>C14*D14*E14</f>
        <v>20000</v>
      </c>
      <c r="G14" s="8"/>
    </row>
    <row r="15" spans="1:7">
      <c r="A15" s="310" t="s">
        <v>17</v>
      </c>
      <c r="B15" s="310"/>
      <c r="C15" s="310"/>
      <c r="D15" s="310"/>
      <c r="E15" s="310"/>
      <c r="F15" s="12">
        <f>SUM(F10:F14)</f>
        <v>868000</v>
      </c>
      <c r="G15" s="13"/>
    </row>
    <row r="16" spans="1:7">
      <c r="A16" s="5"/>
      <c r="B16" s="14" t="s">
        <v>26</v>
      </c>
      <c r="C16" s="5"/>
      <c r="D16" s="5"/>
      <c r="E16" s="5"/>
      <c r="F16" s="5"/>
      <c r="G16" s="6"/>
    </row>
    <row r="17" spans="1:8" ht="30">
      <c r="A17" s="7">
        <v>1</v>
      </c>
      <c r="B17" s="15" t="s">
        <v>27</v>
      </c>
      <c r="C17" s="7">
        <v>8</v>
      </c>
      <c r="D17" s="7">
        <v>1</v>
      </c>
      <c r="E17" s="9">
        <v>900</v>
      </c>
      <c r="F17" s="10">
        <f t="shared" ref="F17:F24" si="0">C17*D17*E17</f>
        <v>7200</v>
      </c>
      <c r="G17" s="8"/>
    </row>
    <row r="18" spans="1:8" ht="30">
      <c r="A18" s="130">
        <v>2</v>
      </c>
      <c r="B18" s="131" t="s">
        <v>28</v>
      </c>
      <c r="C18" s="130">
        <v>13</v>
      </c>
      <c r="D18" s="130">
        <v>2</v>
      </c>
      <c r="E18" s="132">
        <v>4500</v>
      </c>
      <c r="F18" s="133">
        <f t="shared" si="0"/>
        <v>117000</v>
      </c>
      <c r="G18" s="8" t="s">
        <v>29</v>
      </c>
      <c r="H18" t="s">
        <v>363</v>
      </c>
    </row>
    <row r="19" spans="1:8" ht="45">
      <c r="A19" s="7">
        <v>3</v>
      </c>
      <c r="B19" s="15" t="s">
        <v>30</v>
      </c>
      <c r="C19" s="7">
        <v>2</v>
      </c>
      <c r="D19" s="7">
        <v>2</v>
      </c>
      <c r="E19" s="9">
        <v>1600</v>
      </c>
      <c r="F19" s="10">
        <f t="shared" si="0"/>
        <v>6400</v>
      </c>
      <c r="G19" s="8"/>
    </row>
    <row r="20" spans="1:8" ht="30">
      <c r="A20" s="7">
        <v>4</v>
      </c>
      <c r="B20" s="15" t="s">
        <v>31</v>
      </c>
      <c r="C20" s="7">
        <v>10</v>
      </c>
      <c r="D20" s="7">
        <v>2</v>
      </c>
      <c r="E20" s="9">
        <v>900</v>
      </c>
      <c r="F20" s="10">
        <f t="shared" si="0"/>
        <v>18000</v>
      </c>
      <c r="G20" s="16"/>
    </row>
    <row r="21" spans="1:8" ht="60">
      <c r="A21" s="7">
        <v>5</v>
      </c>
      <c r="B21" s="17" t="s">
        <v>32</v>
      </c>
      <c r="C21" s="7">
        <v>10</v>
      </c>
      <c r="D21" s="7">
        <v>4</v>
      </c>
      <c r="E21" s="9">
        <v>1600</v>
      </c>
      <c r="F21" s="10">
        <f t="shared" si="0"/>
        <v>64000</v>
      </c>
      <c r="G21" s="17" t="s">
        <v>370</v>
      </c>
    </row>
    <row r="22" spans="1:8" ht="75">
      <c r="A22" s="130">
        <v>6</v>
      </c>
      <c r="B22" s="134" t="s">
        <v>364</v>
      </c>
      <c r="C22" s="130">
        <v>10</v>
      </c>
      <c r="D22" s="130">
        <v>1</v>
      </c>
      <c r="E22" s="132">
        <v>4500</v>
      </c>
      <c r="F22" s="133">
        <f t="shared" si="0"/>
        <v>45000</v>
      </c>
      <c r="G22" s="134" t="s">
        <v>365</v>
      </c>
    </row>
    <row r="23" spans="1:8" ht="30">
      <c r="A23" s="7">
        <v>7</v>
      </c>
      <c r="B23" s="17" t="s">
        <v>33</v>
      </c>
      <c r="C23" s="7">
        <v>4</v>
      </c>
      <c r="D23" s="7">
        <v>1</v>
      </c>
      <c r="E23" s="9">
        <v>1600</v>
      </c>
      <c r="F23" s="10">
        <f t="shared" si="0"/>
        <v>6400</v>
      </c>
      <c r="G23" s="17"/>
    </row>
    <row r="24" spans="1:8" ht="30">
      <c r="A24" s="7">
        <v>8</v>
      </c>
      <c r="B24" s="15" t="s">
        <v>34</v>
      </c>
      <c r="C24" s="7">
        <v>1</v>
      </c>
      <c r="D24" s="7">
        <v>1</v>
      </c>
      <c r="E24" s="9">
        <v>20000</v>
      </c>
      <c r="F24" s="10">
        <f t="shared" si="0"/>
        <v>20000</v>
      </c>
      <c r="G24" s="8" t="s">
        <v>35</v>
      </c>
    </row>
    <row r="25" spans="1:8">
      <c r="A25" s="310" t="s">
        <v>17</v>
      </c>
      <c r="B25" s="310"/>
      <c r="C25" s="310"/>
      <c r="D25" s="310"/>
      <c r="E25" s="310"/>
      <c r="F25" s="12">
        <f>SUM(F17:F24)</f>
        <v>284000</v>
      </c>
      <c r="G25" s="13"/>
    </row>
    <row r="26" spans="1:8">
      <c r="A26" s="5"/>
      <c r="B26" s="14" t="s">
        <v>36</v>
      </c>
      <c r="C26" s="5"/>
      <c r="D26" s="5"/>
      <c r="E26" s="5"/>
      <c r="F26" s="5"/>
      <c r="G26" s="6"/>
    </row>
    <row r="27" spans="1:8" ht="45">
      <c r="A27" s="7">
        <v>1</v>
      </c>
      <c r="B27" s="17" t="s">
        <v>37</v>
      </c>
      <c r="C27" s="7">
        <v>30</v>
      </c>
      <c r="D27" s="7">
        <v>2</v>
      </c>
      <c r="E27" s="9">
        <v>500</v>
      </c>
      <c r="F27" s="10">
        <f>C27*D27*E27</f>
        <v>30000</v>
      </c>
      <c r="G27" s="8" t="s">
        <v>38</v>
      </c>
    </row>
    <row r="28" spans="1:8" ht="45">
      <c r="A28" s="7">
        <v>2</v>
      </c>
      <c r="B28" s="17" t="s">
        <v>39</v>
      </c>
      <c r="C28" s="7">
        <v>30</v>
      </c>
      <c r="D28" s="7">
        <v>2</v>
      </c>
      <c r="E28" s="9">
        <v>500</v>
      </c>
      <c r="F28" s="10">
        <f>C28*D28*E28</f>
        <v>30000</v>
      </c>
      <c r="G28" s="8" t="s">
        <v>40</v>
      </c>
    </row>
    <row r="29" spans="1:8">
      <c r="A29" s="310" t="s">
        <v>17</v>
      </c>
      <c r="B29" s="310"/>
      <c r="C29" s="310"/>
      <c r="D29" s="310"/>
      <c r="E29" s="310"/>
      <c r="F29" s="12">
        <f>SUM(F27:F28)</f>
        <v>60000</v>
      </c>
      <c r="G29" s="13"/>
    </row>
    <row r="30" spans="1:8">
      <c r="A30" s="5"/>
      <c r="B30" s="14" t="s">
        <v>41</v>
      </c>
      <c r="C30" s="5"/>
      <c r="D30" s="5"/>
      <c r="E30" s="5"/>
      <c r="F30" s="5"/>
      <c r="G30" s="6"/>
    </row>
    <row r="31" spans="1:8">
      <c r="A31" s="7">
        <v>1</v>
      </c>
      <c r="B31" s="8" t="s">
        <v>42</v>
      </c>
      <c r="C31" s="7">
        <v>350</v>
      </c>
      <c r="D31" s="7">
        <v>1</v>
      </c>
      <c r="E31" s="9">
        <v>50</v>
      </c>
      <c r="F31" s="10">
        <f>C31*D31*E31</f>
        <v>17500</v>
      </c>
      <c r="G31" s="8" t="s">
        <v>43</v>
      </c>
    </row>
    <row r="32" spans="1:8">
      <c r="A32" s="310" t="s">
        <v>17</v>
      </c>
      <c r="B32" s="310"/>
      <c r="C32" s="310"/>
      <c r="D32" s="310"/>
      <c r="E32" s="310"/>
      <c r="F32" s="12">
        <f>SUM(F31:F31)</f>
        <v>17500</v>
      </c>
      <c r="G32" s="13"/>
    </row>
    <row r="33" spans="1:7">
      <c r="A33" s="5"/>
      <c r="B33" s="14" t="s">
        <v>44</v>
      </c>
      <c r="C33" s="5"/>
      <c r="D33" s="5"/>
      <c r="E33" s="5"/>
      <c r="F33" s="5"/>
      <c r="G33" s="6"/>
    </row>
    <row r="34" spans="1:7" ht="30">
      <c r="A34" s="7">
        <v>1</v>
      </c>
      <c r="B34" s="8" t="s">
        <v>45</v>
      </c>
      <c r="C34" s="7">
        <v>2</v>
      </c>
      <c r="D34" s="7">
        <v>6</v>
      </c>
      <c r="E34" s="9">
        <v>3500</v>
      </c>
      <c r="F34" s="10">
        <f t="shared" ref="F34:F42" si="1">C34*D34*E34</f>
        <v>42000</v>
      </c>
      <c r="G34" s="8" t="s">
        <v>46</v>
      </c>
    </row>
    <row r="35" spans="1:7" ht="45">
      <c r="A35" s="7">
        <v>3</v>
      </c>
      <c r="B35" s="8" t="s">
        <v>47</v>
      </c>
      <c r="C35" s="7">
        <v>9</v>
      </c>
      <c r="D35" s="7">
        <v>6</v>
      </c>
      <c r="E35" s="9">
        <v>2000</v>
      </c>
      <c r="F35" s="10">
        <f t="shared" si="1"/>
        <v>108000</v>
      </c>
      <c r="G35" s="8" t="s">
        <v>46</v>
      </c>
    </row>
    <row r="36" spans="1:7" ht="30">
      <c r="A36" s="7">
        <v>4</v>
      </c>
      <c r="B36" s="8" t="s">
        <v>48</v>
      </c>
      <c r="C36" s="7">
        <v>7</v>
      </c>
      <c r="D36" s="7">
        <v>10</v>
      </c>
      <c r="E36" s="9">
        <v>600</v>
      </c>
      <c r="F36" s="10">
        <f t="shared" si="1"/>
        <v>42000</v>
      </c>
      <c r="G36" s="8" t="s">
        <v>46</v>
      </c>
    </row>
    <row r="37" spans="1:7" ht="30">
      <c r="A37" s="7">
        <v>5</v>
      </c>
      <c r="B37" s="8" t="s">
        <v>49</v>
      </c>
      <c r="C37" s="7">
        <v>10</v>
      </c>
      <c r="D37" s="7">
        <v>4</v>
      </c>
      <c r="E37" s="9">
        <v>1500</v>
      </c>
      <c r="F37" s="10">
        <f t="shared" si="1"/>
        <v>60000</v>
      </c>
      <c r="G37" s="8" t="s">
        <v>46</v>
      </c>
    </row>
    <row r="38" spans="1:7">
      <c r="A38" s="7">
        <v>6</v>
      </c>
      <c r="B38" s="8" t="s">
        <v>50</v>
      </c>
      <c r="C38" s="7">
        <v>11</v>
      </c>
      <c r="D38" s="7">
        <v>2</v>
      </c>
      <c r="E38" s="9">
        <v>667</v>
      </c>
      <c r="F38" s="10">
        <f t="shared" si="1"/>
        <v>14674</v>
      </c>
      <c r="G38" s="8" t="s">
        <v>51</v>
      </c>
    </row>
    <row r="39" spans="1:7" ht="30">
      <c r="A39" s="7">
        <v>7</v>
      </c>
      <c r="B39" s="8" t="s">
        <v>52</v>
      </c>
      <c r="C39" s="7">
        <v>6</v>
      </c>
      <c r="D39" s="7">
        <v>5</v>
      </c>
      <c r="E39" s="9">
        <v>600</v>
      </c>
      <c r="F39" s="10">
        <f t="shared" si="1"/>
        <v>18000</v>
      </c>
      <c r="G39" s="8" t="s">
        <v>53</v>
      </c>
    </row>
    <row r="40" spans="1:7" ht="30">
      <c r="A40" s="7">
        <v>8</v>
      </c>
      <c r="B40" s="8" t="s">
        <v>54</v>
      </c>
      <c r="C40" s="7">
        <v>11</v>
      </c>
      <c r="D40" s="7">
        <v>6</v>
      </c>
      <c r="E40" s="9">
        <v>60</v>
      </c>
      <c r="F40" s="10">
        <f t="shared" si="1"/>
        <v>3960</v>
      </c>
      <c r="G40" s="8" t="s">
        <v>55</v>
      </c>
    </row>
    <row r="41" spans="1:7">
      <c r="A41" s="7">
        <v>9</v>
      </c>
      <c r="B41" s="8" t="s">
        <v>56</v>
      </c>
      <c r="C41" s="7">
        <v>11</v>
      </c>
      <c r="D41" s="7">
        <v>6</v>
      </c>
      <c r="E41" s="9">
        <v>80</v>
      </c>
      <c r="F41" s="10">
        <f t="shared" si="1"/>
        <v>5280</v>
      </c>
      <c r="G41" s="8" t="s">
        <v>51</v>
      </c>
    </row>
    <row r="42" spans="1:7">
      <c r="A42" s="7">
        <v>10</v>
      </c>
      <c r="B42" s="8" t="s">
        <v>57</v>
      </c>
      <c r="C42" s="7">
        <v>10</v>
      </c>
      <c r="D42" s="7">
        <v>6</v>
      </c>
      <c r="E42" s="9">
        <v>80</v>
      </c>
      <c r="F42" s="10">
        <f t="shared" si="1"/>
        <v>4800</v>
      </c>
      <c r="G42" s="8" t="s">
        <v>51</v>
      </c>
    </row>
    <row r="43" spans="1:7">
      <c r="A43" s="310" t="s">
        <v>17</v>
      </c>
      <c r="B43" s="310"/>
      <c r="C43" s="310"/>
      <c r="D43" s="310"/>
      <c r="E43" s="310"/>
      <c r="F43" s="12">
        <f>SUM(F34:F42)</f>
        <v>298714</v>
      </c>
      <c r="G43" s="13"/>
    </row>
    <row r="44" spans="1:7">
      <c r="A44" s="5"/>
      <c r="B44" s="14" t="s">
        <v>58</v>
      </c>
      <c r="C44" s="5"/>
      <c r="D44" s="5"/>
      <c r="E44" s="5"/>
      <c r="F44" s="5"/>
      <c r="G44" s="6"/>
    </row>
    <row r="45" spans="1:7" ht="75">
      <c r="A45" s="7">
        <v>1</v>
      </c>
      <c r="B45" s="8" t="s">
        <v>59</v>
      </c>
      <c r="C45" s="7">
        <v>5</v>
      </c>
      <c r="D45" s="7">
        <v>6</v>
      </c>
      <c r="E45" s="9">
        <v>1500</v>
      </c>
      <c r="F45" s="10">
        <f t="shared" ref="F45:F53" si="2">C45*D45*E45</f>
        <v>45000</v>
      </c>
      <c r="G45" s="8" t="s">
        <v>60</v>
      </c>
    </row>
    <row r="46" spans="1:7" ht="75">
      <c r="A46" s="7">
        <v>2</v>
      </c>
      <c r="B46" s="8" t="s">
        <v>61</v>
      </c>
      <c r="C46" s="7">
        <v>30</v>
      </c>
      <c r="D46" s="7">
        <v>2</v>
      </c>
      <c r="E46" s="9">
        <v>800</v>
      </c>
      <c r="F46" s="10">
        <f t="shared" si="2"/>
        <v>48000</v>
      </c>
      <c r="G46" s="8" t="s">
        <v>62</v>
      </c>
    </row>
    <row r="47" spans="1:7" ht="75">
      <c r="A47" s="7">
        <v>3</v>
      </c>
      <c r="B47" s="8" t="s">
        <v>63</v>
      </c>
      <c r="C47" s="7">
        <v>30</v>
      </c>
      <c r="D47" s="7">
        <v>2</v>
      </c>
      <c r="E47" s="9">
        <v>800</v>
      </c>
      <c r="F47" s="10">
        <f t="shared" si="2"/>
        <v>48000</v>
      </c>
      <c r="G47" s="8" t="s">
        <v>64</v>
      </c>
    </row>
    <row r="48" spans="1:7" ht="60">
      <c r="A48" s="7">
        <v>4</v>
      </c>
      <c r="B48" s="8" t="s">
        <v>65</v>
      </c>
      <c r="C48" s="7">
        <v>40</v>
      </c>
      <c r="D48" s="7">
        <v>3</v>
      </c>
      <c r="E48" s="9">
        <v>800</v>
      </c>
      <c r="F48" s="10">
        <f t="shared" si="2"/>
        <v>96000</v>
      </c>
      <c r="G48" s="8" t="s">
        <v>66</v>
      </c>
    </row>
    <row r="49" spans="1:7" ht="60">
      <c r="A49" s="7">
        <v>5</v>
      </c>
      <c r="B49" s="8" t="s">
        <v>67</v>
      </c>
      <c r="C49" s="7">
        <v>2</v>
      </c>
      <c r="D49" s="7">
        <v>3</v>
      </c>
      <c r="E49" s="9">
        <v>800</v>
      </c>
      <c r="F49" s="10">
        <f t="shared" si="2"/>
        <v>4800</v>
      </c>
      <c r="G49" s="8" t="s">
        <v>66</v>
      </c>
    </row>
    <row r="50" spans="1:7">
      <c r="A50" s="7">
        <v>6</v>
      </c>
      <c r="B50" s="8" t="s">
        <v>68</v>
      </c>
      <c r="C50" s="7">
        <v>40</v>
      </c>
      <c r="D50" s="7">
        <v>3</v>
      </c>
      <c r="E50" s="9">
        <v>60</v>
      </c>
      <c r="F50" s="10">
        <f t="shared" si="2"/>
        <v>7200</v>
      </c>
      <c r="G50" s="8"/>
    </row>
    <row r="51" spans="1:7">
      <c r="A51" s="7">
        <v>7</v>
      </c>
      <c r="B51" s="8" t="s">
        <v>69</v>
      </c>
      <c r="C51" s="7">
        <v>40</v>
      </c>
      <c r="D51" s="7">
        <v>3</v>
      </c>
      <c r="E51" s="9">
        <v>80</v>
      </c>
      <c r="F51" s="10">
        <f t="shared" si="2"/>
        <v>9600</v>
      </c>
      <c r="G51" s="8"/>
    </row>
    <row r="52" spans="1:7" ht="30">
      <c r="A52" s="7">
        <v>8</v>
      </c>
      <c r="B52" s="8" t="s">
        <v>70</v>
      </c>
      <c r="C52" s="7">
        <v>10</v>
      </c>
      <c r="D52" s="7">
        <v>1</v>
      </c>
      <c r="E52" s="9">
        <v>300</v>
      </c>
      <c r="F52" s="10">
        <f t="shared" si="2"/>
        <v>3000</v>
      </c>
      <c r="G52" s="8"/>
    </row>
    <row r="53" spans="1:7" ht="30">
      <c r="A53" s="7">
        <v>9</v>
      </c>
      <c r="B53" s="8" t="s">
        <v>71</v>
      </c>
      <c r="C53" s="7">
        <v>30</v>
      </c>
      <c r="D53" s="7">
        <v>6</v>
      </c>
      <c r="E53" s="9">
        <v>100</v>
      </c>
      <c r="F53" s="10">
        <f t="shared" si="2"/>
        <v>18000</v>
      </c>
      <c r="G53" s="8"/>
    </row>
    <row r="54" spans="1:7">
      <c r="A54" s="310" t="s">
        <v>17</v>
      </c>
      <c r="B54" s="310"/>
      <c r="C54" s="310"/>
      <c r="D54" s="310"/>
      <c r="E54" s="310"/>
      <c r="F54" s="12">
        <f>SUM(F45:F53)</f>
        <v>279600</v>
      </c>
      <c r="G54" s="13"/>
    </row>
    <row r="55" spans="1:7">
      <c r="A55" s="5"/>
      <c r="B55" s="14" t="s">
        <v>72</v>
      </c>
      <c r="C55" s="5"/>
      <c r="D55" s="5"/>
      <c r="E55" s="5"/>
      <c r="F55" s="5"/>
      <c r="G55" s="6"/>
    </row>
    <row r="56" spans="1:7" ht="30">
      <c r="A56" s="7">
        <v>1</v>
      </c>
      <c r="B56" s="8" t="s">
        <v>73</v>
      </c>
      <c r="C56" s="7">
        <v>30</v>
      </c>
      <c r="D56" s="7">
        <v>1</v>
      </c>
      <c r="E56" s="9">
        <v>120</v>
      </c>
      <c r="F56" s="10">
        <f>C56*D56*E56</f>
        <v>3600</v>
      </c>
      <c r="G56" s="8"/>
    </row>
    <row r="57" spans="1:7">
      <c r="A57" s="7">
        <v>2</v>
      </c>
      <c r="B57" s="8" t="s">
        <v>74</v>
      </c>
      <c r="C57" s="7">
        <v>30</v>
      </c>
      <c r="D57" s="7">
        <v>1</v>
      </c>
      <c r="E57" s="9">
        <v>30</v>
      </c>
      <c r="F57" s="10">
        <f>C57*D57*E57</f>
        <v>900</v>
      </c>
      <c r="G57" s="8"/>
    </row>
    <row r="58" spans="1:7" ht="30">
      <c r="A58" s="7">
        <v>3</v>
      </c>
      <c r="B58" s="8" t="s">
        <v>75</v>
      </c>
      <c r="C58" s="7">
        <v>1300</v>
      </c>
      <c r="D58" s="7">
        <v>1</v>
      </c>
      <c r="E58" s="9">
        <v>5</v>
      </c>
      <c r="F58" s="10">
        <f>C58*D58*E58</f>
        <v>6500</v>
      </c>
      <c r="G58" s="8" t="s">
        <v>76</v>
      </c>
    </row>
    <row r="59" spans="1:7" ht="30">
      <c r="A59" s="7">
        <v>4</v>
      </c>
      <c r="B59" s="8" t="s">
        <v>77</v>
      </c>
      <c r="C59" s="7">
        <v>25</v>
      </c>
      <c r="D59" s="7">
        <v>1</v>
      </c>
      <c r="E59" s="9">
        <v>10</v>
      </c>
      <c r="F59" s="10">
        <f>C59*D59*E59</f>
        <v>250</v>
      </c>
      <c r="G59" s="8"/>
    </row>
    <row r="60" spans="1:7">
      <c r="A60" s="7">
        <v>5</v>
      </c>
      <c r="B60" s="8" t="s">
        <v>78</v>
      </c>
      <c r="C60" s="7">
        <v>1</v>
      </c>
      <c r="D60" s="7">
        <v>1</v>
      </c>
      <c r="E60" s="9">
        <v>5000</v>
      </c>
      <c r="F60" s="10">
        <f>C60*D60*E60</f>
        <v>5000</v>
      </c>
      <c r="G60" s="8"/>
    </row>
    <row r="61" spans="1:7">
      <c r="A61" s="311" t="s">
        <v>17</v>
      </c>
      <c r="B61" s="311"/>
      <c r="C61" s="311"/>
      <c r="D61" s="311"/>
      <c r="E61" s="311"/>
      <c r="F61" s="18">
        <f>SUM(F56:F60)</f>
        <v>16250</v>
      </c>
      <c r="G61" s="19"/>
    </row>
    <row r="62" spans="1:7">
      <c r="A62" s="5"/>
      <c r="B62" s="14" t="s">
        <v>79</v>
      </c>
      <c r="C62" s="5"/>
      <c r="D62" s="5"/>
      <c r="E62" s="5"/>
      <c r="F62" s="5"/>
      <c r="G62" s="6"/>
    </row>
    <row r="63" spans="1:7" ht="30">
      <c r="A63" s="7">
        <v>1</v>
      </c>
      <c r="B63" s="8" t="s">
        <v>80</v>
      </c>
      <c r="C63" s="7">
        <v>1</v>
      </c>
      <c r="D63" s="7">
        <v>1</v>
      </c>
      <c r="E63" s="9">
        <v>5000</v>
      </c>
      <c r="F63" s="10">
        <f>C63*D63*E63</f>
        <v>5000</v>
      </c>
      <c r="G63" s="8"/>
    </row>
    <row r="64" spans="1:7">
      <c r="A64" s="7">
        <v>2</v>
      </c>
      <c r="B64" s="8" t="s">
        <v>81</v>
      </c>
      <c r="C64" s="7">
        <v>1</v>
      </c>
      <c r="D64" s="7">
        <v>1</v>
      </c>
      <c r="E64" s="9">
        <v>15000</v>
      </c>
      <c r="F64" s="10">
        <f>C64*D64*E64</f>
        <v>15000</v>
      </c>
      <c r="G64" s="8"/>
    </row>
    <row r="65" spans="1:7">
      <c r="A65" s="7">
        <v>3</v>
      </c>
      <c r="B65" s="8" t="s">
        <v>82</v>
      </c>
      <c r="C65" s="7">
        <v>1</v>
      </c>
      <c r="D65" s="7">
        <v>1</v>
      </c>
      <c r="E65" s="9">
        <v>5000</v>
      </c>
      <c r="F65" s="10">
        <f>C65*D65*E65</f>
        <v>5000</v>
      </c>
      <c r="G65" s="8" t="s">
        <v>83</v>
      </c>
    </row>
    <row r="66" spans="1:7">
      <c r="A66" s="310" t="s">
        <v>17</v>
      </c>
      <c r="B66" s="310"/>
      <c r="C66" s="310"/>
      <c r="D66" s="310"/>
      <c r="E66" s="310"/>
      <c r="F66" s="12">
        <f>SUM(F63:F65)</f>
        <v>25000</v>
      </c>
      <c r="G66" s="13"/>
    </row>
    <row r="67" spans="1:7">
      <c r="A67" s="5"/>
      <c r="B67" s="14" t="s">
        <v>84</v>
      </c>
      <c r="C67" s="5"/>
      <c r="D67" s="5"/>
      <c r="E67" s="5"/>
      <c r="F67" s="5"/>
      <c r="G67" s="6"/>
    </row>
    <row r="68" spans="1:7">
      <c r="A68" s="7">
        <v>1</v>
      </c>
      <c r="B68" s="8" t="s">
        <v>85</v>
      </c>
      <c r="C68" s="7">
        <v>1</v>
      </c>
      <c r="D68" s="7">
        <v>1</v>
      </c>
      <c r="E68" s="9">
        <v>100000</v>
      </c>
      <c r="F68" s="10">
        <f>C68*D68*E68</f>
        <v>100000</v>
      </c>
      <c r="G68" s="8"/>
    </row>
    <row r="69" spans="1:7">
      <c r="A69" s="310" t="s">
        <v>17</v>
      </c>
      <c r="B69" s="310"/>
      <c r="C69" s="310"/>
      <c r="D69" s="310"/>
      <c r="E69" s="310"/>
      <c r="F69" s="12">
        <f>SUM(F68:F68)</f>
        <v>100000</v>
      </c>
      <c r="G69" s="13"/>
    </row>
    <row r="70" spans="1:7" ht="17">
      <c r="A70" s="306" t="s">
        <v>86</v>
      </c>
      <c r="B70" s="307"/>
      <c r="C70" s="306"/>
      <c r="D70" s="306"/>
      <c r="E70" s="306"/>
      <c r="F70" s="20">
        <f>SUM(F69,F66,F61,F54,F43,F32,F29,F25,F15,F8)</f>
        <v>3173264</v>
      </c>
      <c r="G70" s="21"/>
    </row>
    <row r="71" spans="1:7" ht="17">
      <c r="A71" s="22"/>
      <c r="B71" s="23"/>
      <c r="C71" s="22"/>
      <c r="D71" s="22"/>
      <c r="E71" s="22" t="s">
        <v>87</v>
      </c>
      <c r="F71" s="24">
        <f>F70*4%</f>
        <v>126930.56</v>
      </c>
      <c r="G71" s="15"/>
    </row>
    <row r="72" spans="1:7" ht="17">
      <c r="A72" s="7"/>
      <c r="B72" s="15"/>
      <c r="C72" s="7"/>
      <c r="D72" s="7"/>
      <c r="E72" s="22" t="s">
        <v>88</v>
      </c>
      <c r="F72" s="24">
        <f>(F70+F71)*6%</f>
        <v>198011.67360000001</v>
      </c>
      <c r="G72" s="15"/>
    </row>
    <row r="73" spans="1:7" ht="17">
      <c r="A73" s="25"/>
      <c r="B73" s="26"/>
      <c r="C73" s="27"/>
      <c r="D73" s="27"/>
      <c r="E73" s="22" t="s">
        <v>89</v>
      </c>
      <c r="F73" s="28">
        <f>SUM(F70:F72)</f>
        <v>3498206.2335999999</v>
      </c>
      <c r="G73" s="29"/>
    </row>
  </sheetData>
  <mergeCells count="12">
    <mergeCell ref="A70:E70"/>
    <mergeCell ref="A1:G1"/>
    <mergeCell ref="A8:E8"/>
    <mergeCell ref="A15:E15"/>
    <mergeCell ref="A25:E25"/>
    <mergeCell ref="A29:E29"/>
    <mergeCell ref="A32:E32"/>
    <mergeCell ref="A43:E43"/>
    <mergeCell ref="A54:E54"/>
    <mergeCell ref="A61:E61"/>
    <mergeCell ref="A66:E66"/>
    <mergeCell ref="A69:E69"/>
  </mergeCells>
  <phoneticPr fontId="4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093FDC-57CA-3E46-A456-19343488829F}">
  <dimension ref="A1:K39"/>
  <sheetViews>
    <sheetView topLeftCell="A7" workbookViewId="0">
      <selection activeCell="A28" sqref="A28:H29"/>
    </sheetView>
  </sheetViews>
  <sheetFormatPr baseColWidth="10" defaultColWidth="11" defaultRowHeight="16"/>
  <cols>
    <col min="2" max="2" width="29" customWidth="1"/>
    <col min="3" max="3" width="12.1640625" customWidth="1"/>
    <col min="10" max="10" width="17.33203125" customWidth="1"/>
  </cols>
  <sheetData>
    <row r="1" spans="1:11">
      <c r="A1" s="74" t="s">
        <v>233</v>
      </c>
      <c r="B1" s="225" t="s">
        <v>234</v>
      </c>
      <c r="C1" s="227"/>
      <c r="D1" s="227"/>
      <c r="E1" s="227"/>
      <c r="F1" s="226"/>
      <c r="G1" s="75" t="s">
        <v>235</v>
      </c>
      <c r="H1" s="225" t="s">
        <v>236</v>
      </c>
      <c r="I1" s="226"/>
      <c r="J1" s="76" t="s">
        <v>237</v>
      </c>
      <c r="K1" s="77"/>
    </row>
    <row r="2" spans="1:11" ht="17">
      <c r="A2" s="74" t="s">
        <v>238</v>
      </c>
      <c r="B2" s="78" t="s">
        <v>239</v>
      </c>
      <c r="C2" s="79" t="s">
        <v>240</v>
      </c>
      <c r="D2" s="258" t="s">
        <v>241</v>
      </c>
      <c r="E2" s="259"/>
      <c r="F2" s="260"/>
      <c r="G2" s="80" t="s">
        <v>242</v>
      </c>
      <c r="H2" s="261" t="s">
        <v>243</v>
      </c>
      <c r="I2" s="262"/>
      <c r="J2" s="81" t="s">
        <v>244</v>
      </c>
      <c r="K2" s="82"/>
    </row>
    <row r="3" spans="1:11">
      <c r="A3" s="74" t="s">
        <v>245</v>
      </c>
      <c r="B3" s="78" t="s">
        <v>246</v>
      </c>
      <c r="C3" s="79" t="s">
        <v>247</v>
      </c>
      <c r="D3" s="312"/>
      <c r="E3" s="264"/>
      <c r="F3" s="265"/>
      <c r="G3" s="266" t="s">
        <v>237</v>
      </c>
      <c r="H3" s="267"/>
      <c r="I3" s="268"/>
      <c r="J3" s="269"/>
      <c r="K3" s="270"/>
    </row>
    <row r="4" spans="1:11">
      <c r="A4" s="274" t="s">
        <v>248</v>
      </c>
      <c r="B4" s="275"/>
      <c r="C4" s="275"/>
      <c r="D4" s="275"/>
      <c r="E4" s="275"/>
      <c r="F4" s="275"/>
      <c r="G4" s="275"/>
      <c r="H4" s="275"/>
      <c r="I4" s="275"/>
      <c r="J4" s="275"/>
      <c r="K4" s="276"/>
    </row>
    <row r="5" spans="1:11">
      <c r="A5" s="313" t="s">
        <v>2</v>
      </c>
      <c r="B5" s="295"/>
      <c r="C5" s="314"/>
      <c r="D5" s="84" t="s">
        <v>3</v>
      </c>
      <c r="E5" s="85" t="s">
        <v>249</v>
      </c>
      <c r="F5" s="84" t="s">
        <v>250</v>
      </c>
      <c r="G5" s="85" t="s">
        <v>249</v>
      </c>
      <c r="H5" s="86" t="s">
        <v>5</v>
      </c>
      <c r="I5" s="87" t="s">
        <v>249</v>
      </c>
      <c r="J5" s="88" t="s">
        <v>6</v>
      </c>
      <c r="K5" s="89" t="s">
        <v>7</v>
      </c>
    </row>
    <row r="6" spans="1:11">
      <c r="A6" s="228" t="s">
        <v>8</v>
      </c>
      <c r="B6" s="91" t="s">
        <v>251</v>
      </c>
      <c r="C6" s="92" t="s">
        <v>252</v>
      </c>
      <c r="D6" s="93">
        <v>3</v>
      </c>
      <c r="E6" s="94" t="s">
        <v>253</v>
      </c>
      <c r="F6" s="95">
        <v>2</v>
      </c>
      <c r="G6" s="96" t="s">
        <v>254</v>
      </c>
      <c r="H6" s="97">
        <v>362</v>
      </c>
      <c r="I6" s="98" t="s">
        <v>255</v>
      </c>
      <c r="J6" s="97">
        <f>H6*F6*D6</f>
        <v>2172</v>
      </c>
      <c r="K6" s="99"/>
    </row>
    <row r="7" spans="1:11" ht="45">
      <c r="A7" s="229"/>
      <c r="B7" s="91" t="s">
        <v>256</v>
      </c>
      <c r="C7" s="92" t="s">
        <v>257</v>
      </c>
      <c r="D7" s="93">
        <v>1</v>
      </c>
      <c r="E7" s="94" t="s">
        <v>253</v>
      </c>
      <c r="F7" s="95">
        <v>2</v>
      </c>
      <c r="G7" s="96" t="s">
        <v>254</v>
      </c>
      <c r="H7" s="97">
        <v>2089</v>
      </c>
      <c r="I7" s="98" t="s">
        <v>255</v>
      </c>
      <c r="J7" s="97">
        <f>H7*F7*D7</f>
        <v>4178</v>
      </c>
      <c r="K7" s="99" t="s">
        <v>258</v>
      </c>
    </row>
    <row r="8" spans="1:11" ht="45">
      <c r="A8" s="229"/>
      <c r="B8" s="91" t="s">
        <v>259</v>
      </c>
      <c r="C8" s="92" t="s">
        <v>257</v>
      </c>
      <c r="D8" s="93">
        <v>1</v>
      </c>
      <c r="E8" s="94" t="s">
        <v>253</v>
      </c>
      <c r="F8" s="95">
        <v>2</v>
      </c>
      <c r="G8" s="96" t="s">
        <v>254</v>
      </c>
      <c r="H8" s="97">
        <v>1578</v>
      </c>
      <c r="I8" s="98" t="s">
        <v>255</v>
      </c>
      <c r="J8" s="97">
        <f>H8*F8*D8</f>
        <v>3156</v>
      </c>
      <c r="K8" s="99" t="s">
        <v>258</v>
      </c>
    </row>
    <row r="9" spans="1:11" ht="45">
      <c r="A9" s="229"/>
      <c r="B9" s="91" t="s">
        <v>260</v>
      </c>
      <c r="C9" s="92" t="s">
        <v>257</v>
      </c>
      <c r="D9" s="93">
        <v>2</v>
      </c>
      <c r="E9" s="94" t="s">
        <v>253</v>
      </c>
      <c r="F9" s="95">
        <v>2</v>
      </c>
      <c r="G9" s="96" t="s">
        <v>254</v>
      </c>
      <c r="H9" s="97">
        <v>2243</v>
      </c>
      <c r="I9" s="98" t="s">
        <v>255</v>
      </c>
      <c r="J9" s="97">
        <f t="shared" ref="J9:J14" si="0">H9*F9*D9</f>
        <v>8972</v>
      </c>
      <c r="K9" s="99" t="s">
        <v>258</v>
      </c>
    </row>
    <row r="10" spans="1:11" ht="45">
      <c r="A10" s="315"/>
      <c r="B10" s="91" t="s">
        <v>261</v>
      </c>
      <c r="C10" s="92" t="s">
        <v>257</v>
      </c>
      <c r="D10" s="93">
        <v>4</v>
      </c>
      <c r="E10" s="94" t="s">
        <v>253</v>
      </c>
      <c r="F10" s="95">
        <v>2</v>
      </c>
      <c r="G10" s="96" t="s">
        <v>254</v>
      </c>
      <c r="H10" s="97">
        <v>2432</v>
      </c>
      <c r="I10" s="98" t="s">
        <v>255</v>
      </c>
      <c r="J10" s="97">
        <f t="shared" si="0"/>
        <v>19456</v>
      </c>
      <c r="K10" s="99" t="s">
        <v>258</v>
      </c>
    </row>
    <row r="11" spans="1:11">
      <c r="A11" s="230" t="s">
        <v>262</v>
      </c>
      <c r="B11" s="231"/>
      <c r="C11" s="316"/>
      <c r="D11" s="231"/>
      <c r="E11" s="231"/>
      <c r="F11" s="231"/>
      <c r="G11" s="231"/>
      <c r="H11" s="231"/>
      <c r="I11" s="232"/>
      <c r="J11" s="101">
        <f>SUM(J6:J10)</f>
        <v>37934</v>
      </c>
      <c r="K11" s="102"/>
    </row>
    <row r="12" spans="1:11" ht="45">
      <c r="A12" s="228" t="s">
        <v>263</v>
      </c>
      <c r="B12" s="103" t="s">
        <v>264</v>
      </c>
      <c r="C12" s="103" t="s">
        <v>265</v>
      </c>
      <c r="D12" s="104">
        <v>11</v>
      </c>
      <c r="E12" s="92" t="s">
        <v>266</v>
      </c>
      <c r="F12" s="104">
        <v>1</v>
      </c>
      <c r="G12" s="96" t="s">
        <v>254</v>
      </c>
      <c r="H12" s="105">
        <v>500</v>
      </c>
      <c r="I12" s="98" t="s">
        <v>255</v>
      </c>
      <c r="J12" s="97">
        <f t="shared" si="0"/>
        <v>5500</v>
      </c>
      <c r="K12" s="99" t="s">
        <v>267</v>
      </c>
    </row>
    <row r="13" spans="1:11" ht="45">
      <c r="A13" s="229"/>
      <c r="B13" s="92" t="s">
        <v>268</v>
      </c>
      <c r="C13" s="92" t="s">
        <v>265</v>
      </c>
      <c r="D13" s="104">
        <v>11</v>
      </c>
      <c r="E13" s="92" t="s">
        <v>266</v>
      </c>
      <c r="F13" s="104">
        <v>1</v>
      </c>
      <c r="G13" s="96" t="s">
        <v>254</v>
      </c>
      <c r="H13" s="105">
        <v>800</v>
      </c>
      <c r="I13" s="98" t="s">
        <v>255</v>
      </c>
      <c r="J13" s="97">
        <f t="shared" si="0"/>
        <v>8800</v>
      </c>
      <c r="K13" s="99" t="s">
        <v>267</v>
      </c>
    </row>
    <row r="14" spans="1:11" ht="35" customHeight="1">
      <c r="A14" s="229"/>
      <c r="B14" s="92" t="s">
        <v>269</v>
      </c>
      <c r="C14" s="92" t="s">
        <v>265</v>
      </c>
      <c r="D14" s="104">
        <v>5</v>
      </c>
      <c r="E14" s="92" t="s">
        <v>270</v>
      </c>
      <c r="F14" s="104">
        <v>1</v>
      </c>
      <c r="G14" s="96" t="s">
        <v>271</v>
      </c>
      <c r="H14" s="105">
        <v>1200</v>
      </c>
      <c r="I14" s="98" t="s">
        <v>255</v>
      </c>
      <c r="J14" s="97">
        <f t="shared" si="0"/>
        <v>6000</v>
      </c>
      <c r="K14" s="99"/>
    </row>
    <row r="15" spans="1:11" ht="45">
      <c r="A15" s="315"/>
      <c r="B15" s="92" t="s">
        <v>269</v>
      </c>
      <c r="C15" s="92" t="s">
        <v>272</v>
      </c>
      <c r="D15" s="104">
        <v>1</v>
      </c>
      <c r="E15" s="92" t="s">
        <v>270</v>
      </c>
      <c r="F15" s="104">
        <v>0</v>
      </c>
      <c r="G15" s="96" t="s">
        <v>271</v>
      </c>
      <c r="H15" s="105">
        <v>1800</v>
      </c>
      <c r="I15" s="98" t="s">
        <v>255</v>
      </c>
      <c r="J15" s="97">
        <f>H15*F15*D15</f>
        <v>0</v>
      </c>
      <c r="K15" s="99" t="s">
        <v>273</v>
      </c>
    </row>
    <row r="16" spans="1:11">
      <c r="A16" s="230" t="s">
        <v>262</v>
      </c>
      <c r="B16" s="231"/>
      <c r="C16" s="231"/>
      <c r="D16" s="231"/>
      <c r="E16" s="231"/>
      <c r="F16" s="231"/>
      <c r="G16" s="231"/>
      <c r="H16" s="231" t="s">
        <v>274</v>
      </c>
      <c r="I16" s="232"/>
      <c r="J16" s="101">
        <f>SUM(J12:J15)</f>
        <v>20300</v>
      </c>
      <c r="K16" s="102"/>
    </row>
    <row r="17" spans="1:11">
      <c r="A17" s="228" t="s">
        <v>275</v>
      </c>
      <c r="B17" s="94" t="s">
        <v>276</v>
      </c>
      <c r="C17" s="94" t="s">
        <v>277</v>
      </c>
      <c r="D17" s="106">
        <v>10</v>
      </c>
      <c r="E17" s="94" t="s">
        <v>278</v>
      </c>
      <c r="F17" s="106">
        <v>1</v>
      </c>
      <c r="G17" s="94" t="s">
        <v>279</v>
      </c>
      <c r="H17" s="105">
        <v>1450</v>
      </c>
      <c r="I17" s="98" t="s">
        <v>255</v>
      </c>
      <c r="J17" s="97">
        <f>H17*F17*D17</f>
        <v>14500</v>
      </c>
      <c r="K17" s="107" t="s">
        <v>280</v>
      </c>
    </row>
    <row r="18" spans="1:11">
      <c r="A18" s="315"/>
      <c r="B18" s="92" t="s">
        <v>281</v>
      </c>
      <c r="C18" s="92" t="s">
        <v>277</v>
      </c>
      <c r="D18" s="104">
        <v>10</v>
      </c>
      <c r="E18" s="94" t="s">
        <v>278</v>
      </c>
      <c r="F18" s="106">
        <v>1</v>
      </c>
      <c r="G18" s="94" t="s">
        <v>279</v>
      </c>
      <c r="H18" s="105">
        <v>680</v>
      </c>
      <c r="I18" s="98" t="s">
        <v>255</v>
      </c>
      <c r="J18" s="97">
        <f>H18*F18*D18</f>
        <v>6800</v>
      </c>
      <c r="K18" s="108"/>
    </row>
    <row r="19" spans="1:11">
      <c r="A19" s="230" t="s">
        <v>262</v>
      </c>
      <c r="B19" s="231"/>
      <c r="C19" s="231"/>
      <c r="D19" s="231"/>
      <c r="E19" s="231"/>
      <c r="F19" s="231"/>
      <c r="G19" s="231"/>
      <c r="H19" s="231"/>
      <c r="I19" s="232"/>
      <c r="J19" s="101">
        <f>SUM(J17:J18)</f>
        <v>21300</v>
      </c>
      <c r="K19" s="102"/>
    </row>
    <row r="20" spans="1:11">
      <c r="A20" s="228" t="s">
        <v>282</v>
      </c>
      <c r="B20" s="94" t="s">
        <v>283</v>
      </c>
      <c r="C20" s="94" t="s">
        <v>284</v>
      </c>
      <c r="D20" s="106">
        <v>1</v>
      </c>
      <c r="E20" s="94" t="s">
        <v>285</v>
      </c>
      <c r="F20" s="106">
        <v>1</v>
      </c>
      <c r="G20" s="94" t="s">
        <v>286</v>
      </c>
      <c r="H20" s="105">
        <v>150000</v>
      </c>
      <c r="I20" s="98" t="s">
        <v>255</v>
      </c>
      <c r="J20" s="97">
        <f>H20*F20*D20</f>
        <v>150000</v>
      </c>
      <c r="K20" s="107"/>
    </row>
    <row r="21" spans="1:11">
      <c r="A21" s="229"/>
      <c r="B21" s="94" t="s">
        <v>287</v>
      </c>
      <c r="C21" s="94" t="s">
        <v>288</v>
      </c>
      <c r="D21" s="106">
        <v>1</v>
      </c>
      <c r="E21" s="94" t="s">
        <v>285</v>
      </c>
      <c r="F21" s="106">
        <v>1</v>
      </c>
      <c r="G21" s="94" t="s">
        <v>289</v>
      </c>
      <c r="H21" s="105">
        <v>90000</v>
      </c>
      <c r="I21" s="98" t="s">
        <v>255</v>
      </c>
      <c r="J21" s="97">
        <f>H21*F21*D21</f>
        <v>90000</v>
      </c>
      <c r="K21" s="107"/>
    </row>
    <row r="22" spans="1:11">
      <c r="A22" s="315"/>
      <c r="B22" s="94" t="s">
        <v>287</v>
      </c>
      <c r="C22" s="92" t="s">
        <v>290</v>
      </c>
      <c r="D22" s="104">
        <v>100</v>
      </c>
      <c r="E22" s="94" t="s">
        <v>253</v>
      </c>
      <c r="F22" s="106">
        <v>1</v>
      </c>
      <c r="G22" s="94" t="s">
        <v>291</v>
      </c>
      <c r="H22" s="109">
        <v>30</v>
      </c>
      <c r="I22" s="98" t="s">
        <v>255</v>
      </c>
      <c r="J22" s="97">
        <f>H22*F22*D22</f>
        <v>3000</v>
      </c>
      <c r="K22" s="107"/>
    </row>
    <row r="23" spans="1:11">
      <c r="A23" s="230" t="s">
        <v>262</v>
      </c>
      <c r="B23" s="231"/>
      <c r="C23" s="231"/>
      <c r="D23" s="231"/>
      <c r="E23" s="231"/>
      <c r="F23" s="231"/>
      <c r="G23" s="231"/>
      <c r="H23" s="231"/>
      <c r="I23" s="232"/>
      <c r="J23" s="101">
        <f>SUM(J20:J22)</f>
        <v>243000</v>
      </c>
      <c r="K23" s="102"/>
    </row>
    <row r="24" spans="1:11">
      <c r="A24" s="90" t="s">
        <v>36</v>
      </c>
      <c r="B24" s="104" t="s">
        <v>276</v>
      </c>
      <c r="C24" s="104" t="s">
        <v>292</v>
      </c>
      <c r="D24" s="104">
        <v>150</v>
      </c>
      <c r="E24" s="92" t="s">
        <v>253</v>
      </c>
      <c r="F24" s="104">
        <v>1</v>
      </c>
      <c r="G24" s="92" t="s">
        <v>291</v>
      </c>
      <c r="H24" s="105">
        <v>358</v>
      </c>
      <c r="I24" s="98" t="s">
        <v>255</v>
      </c>
      <c r="J24" s="97">
        <f t="shared" ref="J24:J29" si="1">H24*F24*D24</f>
        <v>53700</v>
      </c>
      <c r="K24" s="99"/>
    </row>
    <row r="25" spans="1:11">
      <c r="A25" s="230" t="s">
        <v>262</v>
      </c>
      <c r="B25" s="231"/>
      <c r="C25" s="231"/>
      <c r="D25" s="231"/>
      <c r="E25" s="231"/>
      <c r="F25" s="231"/>
      <c r="G25" s="231"/>
      <c r="H25" s="231" t="s">
        <v>274</v>
      </c>
      <c r="I25" s="232"/>
      <c r="J25" s="101">
        <f>SUM(J24:J24)</f>
        <v>53700</v>
      </c>
      <c r="K25" s="102"/>
    </row>
    <row r="26" spans="1:11">
      <c r="A26" s="100" t="s">
        <v>293</v>
      </c>
      <c r="B26" s="104" t="s">
        <v>42</v>
      </c>
      <c r="C26" s="92" t="s">
        <v>293</v>
      </c>
      <c r="D26" s="104">
        <v>11</v>
      </c>
      <c r="E26" s="92" t="s">
        <v>253</v>
      </c>
      <c r="F26" s="104">
        <v>1</v>
      </c>
      <c r="G26" s="92" t="s">
        <v>291</v>
      </c>
      <c r="H26" s="105">
        <v>50</v>
      </c>
      <c r="I26" s="98" t="s">
        <v>255</v>
      </c>
      <c r="J26" s="97">
        <f t="shared" si="1"/>
        <v>550</v>
      </c>
      <c r="K26" s="99"/>
    </row>
    <row r="27" spans="1:11">
      <c r="A27" s="230" t="s">
        <v>262</v>
      </c>
      <c r="B27" s="231"/>
      <c r="C27" s="231"/>
      <c r="D27" s="231"/>
      <c r="E27" s="231"/>
      <c r="F27" s="231"/>
      <c r="G27" s="231"/>
      <c r="H27" s="231" t="s">
        <v>274</v>
      </c>
      <c r="I27" s="232"/>
      <c r="J27" s="101">
        <f>SUM(J26:J26)</f>
        <v>550</v>
      </c>
      <c r="K27" s="102"/>
    </row>
    <row r="28" spans="1:11">
      <c r="A28" s="228" t="s">
        <v>294</v>
      </c>
      <c r="B28" s="104" t="s">
        <v>295</v>
      </c>
      <c r="C28" s="103" t="s">
        <v>296</v>
      </c>
      <c r="D28" s="104">
        <v>2</v>
      </c>
      <c r="E28" s="110" t="s">
        <v>285</v>
      </c>
      <c r="F28" s="111">
        <v>0</v>
      </c>
      <c r="G28" s="110" t="s">
        <v>291</v>
      </c>
      <c r="H28" s="112">
        <v>50</v>
      </c>
      <c r="I28" s="98" t="s">
        <v>255</v>
      </c>
      <c r="J28" s="97">
        <f t="shared" si="1"/>
        <v>0</v>
      </c>
      <c r="K28" s="99" t="s">
        <v>297</v>
      </c>
    </row>
    <row r="29" spans="1:11">
      <c r="A29" s="315"/>
      <c r="B29" s="104" t="s">
        <v>298</v>
      </c>
      <c r="C29" s="103" t="s">
        <v>296</v>
      </c>
      <c r="D29" s="104">
        <v>6</v>
      </c>
      <c r="E29" s="110" t="s">
        <v>285</v>
      </c>
      <c r="F29" s="111">
        <v>0</v>
      </c>
      <c r="G29" s="110" t="s">
        <v>291</v>
      </c>
      <c r="H29" s="112">
        <v>50</v>
      </c>
      <c r="I29" s="98" t="s">
        <v>255</v>
      </c>
      <c r="J29" s="97">
        <f t="shared" si="1"/>
        <v>0</v>
      </c>
      <c r="K29" s="99" t="s">
        <v>297</v>
      </c>
    </row>
    <row r="30" spans="1:11">
      <c r="A30" s="230" t="s">
        <v>262</v>
      </c>
      <c r="B30" s="231"/>
      <c r="C30" s="231"/>
      <c r="D30" s="231"/>
      <c r="E30" s="231"/>
      <c r="F30" s="231"/>
      <c r="G30" s="231"/>
      <c r="H30" s="231"/>
      <c r="I30" s="232"/>
      <c r="J30" s="101">
        <f>SUM(J28:J29)</f>
        <v>0</v>
      </c>
      <c r="K30" s="102"/>
    </row>
    <row r="31" spans="1:11" ht="30">
      <c r="A31" s="228" t="s">
        <v>299</v>
      </c>
      <c r="B31" s="104" t="s">
        <v>300</v>
      </c>
      <c r="C31" s="103" t="s">
        <v>299</v>
      </c>
      <c r="D31" s="104">
        <v>4</v>
      </c>
      <c r="E31" s="110" t="s">
        <v>253</v>
      </c>
      <c r="F31" s="111">
        <v>2</v>
      </c>
      <c r="G31" s="110" t="s">
        <v>301</v>
      </c>
      <c r="H31" s="112">
        <v>800</v>
      </c>
      <c r="I31" s="98" t="s">
        <v>255</v>
      </c>
      <c r="J31" s="97">
        <f>H31*F31*D31</f>
        <v>6400</v>
      </c>
      <c r="K31" s="99" t="s">
        <v>302</v>
      </c>
    </row>
    <row r="32" spans="1:11">
      <c r="A32" s="315"/>
      <c r="B32" s="104" t="s">
        <v>300</v>
      </c>
      <c r="C32" s="103" t="s">
        <v>303</v>
      </c>
      <c r="D32" s="104">
        <v>4</v>
      </c>
      <c r="E32" s="110" t="s">
        <v>253</v>
      </c>
      <c r="F32" s="111">
        <v>2</v>
      </c>
      <c r="G32" s="110" t="s">
        <v>301</v>
      </c>
      <c r="H32" s="112">
        <v>60</v>
      </c>
      <c r="I32" s="98" t="s">
        <v>255</v>
      </c>
      <c r="J32" s="97">
        <f>H32*F32*D32</f>
        <v>480</v>
      </c>
      <c r="K32" s="113"/>
    </row>
    <row r="33" spans="1:11">
      <c r="A33" s="230" t="s">
        <v>262</v>
      </c>
      <c r="B33" s="231"/>
      <c r="C33" s="231"/>
      <c r="D33" s="231"/>
      <c r="E33" s="231"/>
      <c r="F33" s="231"/>
      <c r="G33" s="231"/>
      <c r="H33" s="231" t="s">
        <v>274</v>
      </c>
      <c r="I33" s="232"/>
      <c r="J33" s="101">
        <f>SUM(J31:J32)</f>
        <v>6880</v>
      </c>
      <c r="K33" s="102"/>
    </row>
    <row r="34" spans="1:11">
      <c r="A34" s="100" t="s">
        <v>304</v>
      </c>
      <c r="B34" s="104" t="s">
        <v>305</v>
      </c>
      <c r="C34" s="92" t="s">
        <v>296</v>
      </c>
      <c r="D34" s="104">
        <v>1</v>
      </c>
      <c r="E34" s="92" t="s">
        <v>306</v>
      </c>
      <c r="F34" s="104">
        <v>1</v>
      </c>
      <c r="G34" s="92" t="s">
        <v>306</v>
      </c>
      <c r="H34" s="105">
        <v>10000</v>
      </c>
      <c r="I34" s="98" t="s">
        <v>255</v>
      </c>
      <c r="J34" s="97">
        <f>H34*F34*D34</f>
        <v>10000</v>
      </c>
      <c r="K34" s="99"/>
    </row>
    <row r="35" spans="1:11">
      <c r="A35" s="230" t="s">
        <v>262</v>
      </c>
      <c r="B35" s="231"/>
      <c r="C35" s="231"/>
      <c r="D35" s="231"/>
      <c r="E35" s="231"/>
      <c r="F35" s="231"/>
      <c r="G35" s="231"/>
      <c r="H35" s="231" t="s">
        <v>274</v>
      </c>
      <c r="I35" s="232"/>
      <c r="J35" s="101">
        <f>SUM(J34)</f>
        <v>10000</v>
      </c>
      <c r="K35" s="102"/>
    </row>
    <row r="36" spans="1:11">
      <c r="A36" s="233" t="s">
        <v>307</v>
      </c>
      <c r="B36" s="234"/>
      <c r="C36" s="234"/>
      <c r="D36" s="234"/>
      <c r="E36" s="234"/>
      <c r="F36" s="234"/>
      <c r="G36" s="234"/>
      <c r="H36" s="234"/>
      <c r="I36" s="235"/>
      <c r="J36" s="114">
        <f>SUM(J33,J27,J25,J23,J19,J16,J11,J35,J30)</f>
        <v>393664</v>
      </c>
      <c r="K36" s="115"/>
    </row>
    <row r="37" spans="1:11" ht="17">
      <c r="A37" s="317" t="s">
        <v>308</v>
      </c>
      <c r="B37" s="318"/>
      <c r="C37" s="319"/>
      <c r="D37" s="320"/>
      <c r="E37" s="320"/>
      <c r="F37" s="320"/>
      <c r="G37" s="320"/>
      <c r="H37" s="320"/>
      <c r="I37" s="321"/>
      <c r="J37" s="116">
        <f>J36*4%</f>
        <v>15746.56</v>
      </c>
      <c r="K37" s="117"/>
    </row>
    <row r="38" spans="1:11">
      <c r="A38" s="317" t="s">
        <v>309</v>
      </c>
      <c r="B38" s="318"/>
      <c r="C38" s="318"/>
      <c r="D38" s="318"/>
      <c r="E38" s="318"/>
      <c r="F38" s="318"/>
      <c r="G38" s="318"/>
      <c r="H38" s="318"/>
      <c r="I38" s="322"/>
      <c r="J38" s="118">
        <f>(J36+J37)*6%</f>
        <v>24564.633599999997</v>
      </c>
      <c r="K38" s="119"/>
    </row>
    <row r="39" spans="1:11" ht="19" thickBot="1">
      <c r="A39" s="323" t="s">
        <v>310</v>
      </c>
      <c r="B39" s="324"/>
      <c r="C39" s="324"/>
      <c r="D39" s="324"/>
      <c r="E39" s="324"/>
      <c r="F39" s="324"/>
      <c r="G39" s="324"/>
      <c r="H39" s="324"/>
      <c r="I39" s="325"/>
      <c r="J39" s="120">
        <f>SUM(J36:J38)</f>
        <v>433975.1936</v>
      </c>
      <c r="K39" s="121"/>
    </row>
  </sheetData>
  <mergeCells count="28">
    <mergeCell ref="A37:I37"/>
    <mergeCell ref="A38:I38"/>
    <mergeCell ref="A39:I39"/>
    <mergeCell ref="A28:A29"/>
    <mergeCell ref="A30:I30"/>
    <mergeCell ref="A31:A32"/>
    <mergeCell ref="A33:I33"/>
    <mergeCell ref="A35:I35"/>
    <mergeCell ref="A36:I36"/>
    <mergeCell ref="A27:I27"/>
    <mergeCell ref="A4:K4"/>
    <mergeCell ref="A5:C5"/>
    <mergeCell ref="A6:A10"/>
    <mergeCell ref="A11:I11"/>
    <mergeCell ref="A12:A15"/>
    <mergeCell ref="A16:I16"/>
    <mergeCell ref="A17:A18"/>
    <mergeCell ref="A19:I19"/>
    <mergeCell ref="A20:A22"/>
    <mergeCell ref="A23:I23"/>
    <mergeCell ref="A25:I25"/>
    <mergeCell ref="B1:F1"/>
    <mergeCell ref="H1:I1"/>
    <mergeCell ref="D2:F2"/>
    <mergeCell ref="H2:I2"/>
    <mergeCell ref="D3:F3"/>
    <mergeCell ref="G3:H3"/>
    <mergeCell ref="I3:K3"/>
  </mergeCells>
  <phoneticPr fontId="4" type="noConversion"/>
  <dataValidations count="8">
    <dataValidation type="list" allowBlank="1" showInputMessage="1" showErrorMessage="1" sqref="G6:G10 G12:G13" xr:uid="{2C92835D-2325-5847-8D14-14B042C4EA91}">
      <formula1>"单程,往返"</formula1>
    </dataValidation>
    <dataValidation type="list" allowBlank="1" showInputMessage="1" showErrorMessage="1" sqref="C28:C29 C31:C32" xr:uid="{50595AC8-C75E-AA4B-BAAE-CE51E12E5272}">
      <formula1>"工作人员,餐费,住宿,交通,通信费,导游超时费,其他"</formula1>
    </dataValidation>
    <dataValidation type="list" allowBlank="1" showInputMessage="1" showErrorMessage="1" sqref="C6:C10" xr:uid="{3ED9DE50-BEC2-DA40-8F35-4949E53FB2F6}">
      <formula1>"经济舱（境内）,经济舱（境外）,商务舱（境内）,商务舱（境外）,头等舱（境内）,头等舱（境外）,火车票,服务费,其他"</formula1>
    </dataValidation>
    <dataValidation type="list" allowBlank="1" showInputMessage="1" showErrorMessage="1" sqref="C26" xr:uid="{04EDB686-D24A-094E-8F80-F063D171804E}">
      <formula1>"签证服务费,旅游签证,商务签证,保险,其他"</formula1>
    </dataValidation>
    <dataValidation type="list" allowBlank="1" showInputMessage="1" showErrorMessage="1" sqref="C20:C22" xr:uid="{87F6E719-FA3F-B248-A9EE-35A28904890E}">
      <formula1>"半日场租,全天场租,半天会议包价,全天会议包价,进场费,茶歇,投影仪,其他"</formula1>
    </dataValidation>
    <dataValidation type="list" allowBlank="1" showInputMessage="1" showErrorMessage="1" sqref="C24" xr:uid="{64CE847E-E413-0C46-A678-6E793FABAE66}">
      <formula1>"酒店早餐,自助午餐,围桌午餐,自助晚餐,围桌晚餐,鸡尾酒会,酒水,特色餐,其他"</formula1>
    </dataValidation>
    <dataValidation type="list" allowBlank="1" showInputMessage="1" showErrorMessage="1" sqref="C12:C15" xr:uid="{F441024F-53CE-C049-B714-5363F357BDCC}">
      <formula1>"4座普通小车,4座豪华小车,7座普通商务车,7座豪华商务车,19-22座普通小巴,19-22座豪华小巴,15座普通商务车,15座豪华商务车,33座中巴,37座中巴,45座大巴,53座大巴,57座大巴,车辆超时费,其他"</formula1>
    </dataValidation>
    <dataValidation type="list" allowBlank="1" showInputMessage="1" showErrorMessage="1" sqref="C17:C18" xr:uid="{8CD377E8-13C0-DC4A-93ED-F9C665ED79FD}">
      <formula1>"高级大床,高级双床,豪华大床,豪华双床,行政大床,行政双床,小套房,加床,加餐,WIFI,单人房差,其他"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1751A2-BD73-774D-8794-C07C694B7DC2}">
  <dimension ref="A1:K114"/>
  <sheetViews>
    <sheetView tabSelected="1" topLeftCell="A17" zoomScale="106" zoomScaleNormal="70" workbookViewId="0">
      <selection activeCell="H89" sqref="H89"/>
    </sheetView>
  </sheetViews>
  <sheetFormatPr baseColWidth="10" defaultColWidth="11" defaultRowHeight="18"/>
  <cols>
    <col min="1" max="1" width="17.83203125" customWidth="1"/>
    <col min="2" max="2" width="42.1640625" customWidth="1"/>
    <col min="3" max="3" width="16.83203125" customWidth="1"/>
    <col min="4" max="5" width="10.83203125" style="161"/>
    <col min="6" max="6" width="10.5" customWidth="1"/>
    <col min="8" max="8" width="13.33203125" customWidth="1"/>
    <col min="9" max="9" width="14.1640625" customWidth="1"/>
    <col min="10" max="10" width="15.5" customWidth="1"/>
    <col min="11" max="11" width="34.5" style="61" customWidth="1"/>
  </cols>
  <sheetData>
    <row r="1" spans="1:11" ht="16">
      <c r="A1" s="74" t="s">
        <v>331</v>
      </c>
      <c r="B1" s="225"/>
      <c r="C1" s="227"/>
      <c r="D1" s="227"/>
      <c r="E1" s="227"/>
      <c r="F1" s="226"/>
      <c r="G1" s="75" t="s">
        <v>329</v>
      </c>
      <c r="H1" s="225"/>
      <c r="I1" s="226"/>
      <c r="J1" s="76" t="s">
        <v>237</v>
      </c>
      <c r="K1" s="77"/>
    </row>
    <row r="2" spans="1:11" ht="16">
      <c r="A2" s="74" t="s">
        <v>328</v>
      </c>
      <c r="B2" s="225" t="s">
        <v>555</v>
      </c>
      <c r="C2" s="227"/>
      <c r="D2" s="227"/>
      <c r="E2" s="227"/>
      <c r="F2" s="226"/>
      <c r="G2" s="75" t="s">
        <v>330</v>
      </c>
      <c r="H2" s="225" t="s">
        <v>554</v>
      </c>
      <c r="I2" s="226"/>
      <c r="J2" s="76" t="s">
        <v>237</v>
      </c>
      <c r="K2" s="77"/>
    </row>
    <row r="3" spans="1:11" ht="17">
      <c r="A3" s="74" t="s">
        <v>238</v>
      </c>
      <c r="B3" s="78" t="s">
        <v>557</v>
      </c>
      <c r="C3" s="79" t="s">
        <v>332</v>
      </c>
      <c r="D3" s="258">
        <v>650</v>
      </c>
      <c r="E3" s="259"/>
      <c r="F3" s="260"/>
      <c r="G3" s="80" t="s">
        <v>242</v>
      </c>
      <c r="H3" s="261" t="s">
        <v>556</v>
      </c>
      <c r="I3" s="262"/>
      <c r="J3" s="81" t="s">
        <v>244</v>
      </c>
      <c r="K3" s="138"/>
    </row>
    <row r="4" spans="1:11" ht="16">
      <c r="A4" s="74" t="s">
        <v>245</v>
      </c>
      <c r="B4" s="125" t="s">
        <v>541</v>
      </c>
      <c r="C4" s="79" t="s">
        <v>247</v>
      </c>
      <c r="D4" s="263" t="s">
        <v>542</v>
      </c>
      <c r="E4" s="264"/>
      <c r="F4" s="265"/>
      <c r="G4" s="266" t="s">
        <v>237</v>
      </c>
      <c r="H4" s="267"/>
      <c r="I4" s="268">
        <v>15801778313</v>
      </c>
      <c r="J4" s="269"/>
      <c r="K4" s="270"/>
    </row>
    <row r="5" spans="1:11" ht="16">
      <c r="A5" s="274" t="s">
        <v>248</v>
      </c>
      <c r="B5" s="275"/>
      <c r="C5" s="275"/>
      <c r="D5" s="275"/>
      <c r="E5" s="275"/>
      <c r="F5" s="275"/>
      <c r="G5" s="275"/>
      <c r="H5" s="275"/>
      <c r="I5" s="275"/>
      <c r="J5" s="275"/>
      <c r="K5" s="276"/>
    </row>
    <row r="6" spans="1:11" ht="16">
      <c r="A6" s="215" t="s">
        <v>337</v>
      </c>
      <c r="B6" s="216"/>
      <c r="C6" s="127" t="s">
        <v>338</v>
      </c>
      <c r="D6" s="217" t="s">
        <v>371</v>
      </c>
      <c r="E6" s="218"/>
      <c r="F6" s="217" t="s">
        <v>339</v>
      </c>
      <c r="G6" s="218"/>
      <c r="H6" s="271" t="s">
        <v>5</v>
      </c>
      <c r="I6" s="272"/>
      <c r="J6" s="86" t="s">
        <v>340</v>
      </c>
      <c r="K6" s="89" t="s">
        <v>7</v>
      </c>
    </row>
    <row r="7" spans="1:11" ht="16">
      <c r="A7" s="277" t="s">
        <v>8</v>
      </c>
      <c r="B7" s="91" t="s">
        <v>333</v>
      </c>
      <c r="C7" s="92" t="s">
        <v>257</v>
      </c>
      <c r="D7" s="206">
        <v>150</v>
      </c>
      <c r="E7" s="207"/>
      <c r="F7" s="212" t="s">
        <v>336</v>
      </c>
      <c r="G7" s="213"/>
      <c r="H7" s="200">
        <v>4000</v>
      </c>
      <c r="I7" s="201"/>
      <c r="J7" s="112">
        <f>D7*H7</f>
        <v>600000</v>
      </c>
      <c r="K7" s="198" t="s">
        <v>568</v>
      </c>
    </row>
    <row r="8" spans="1:11" ht="16">
      <c r="A8" s="278"/>
      <c r="B8" s="91" t="s">
        <v>333</v>
      </c>
      <c r="C8" s="92" t="s">
        <v>257</v>
      </c>
      <c r="D8" s="206">
        <v>50</v>
      </c>
      <c r="E8" s="207"/>
      <c r="F8" s="212" t="s">
        <v>336</v>
      </c>
      <c r="G8" s="213"/>
      <c r="H8" s="200">
        <v>2700</v>
      </c>
      <c r="I8" s="201"/>
      <c r="J8" s="112">
        <f t="shared" ref="J8:J10" si="0">D8*H8</f>
        <v>135000</v>
      </c>
      <c r="K8" s="198" t="s">
        <v>594</v>
      </c>
    </row>
    <row r="9" spans="1:11" ht="16">
      <c r="A9" s="278"/>
      <c r="B9" s="91" t="s">
        <v>333</v>
      </c>
      <c r="C9" s="92" t="s">
        <v>257</v>
      </c>
      <c r="D9" s="206">
        <v>50</v>
      </c>
      <c r="E9" s="207"/>
      <c r="F9" s="212" t="s">
        <v>336</v>
      </c>
      <c r="G9" s="213"/>
      <c r="H9" s="200">
        <v>3200</v>
      </c>
      <c r="I9" s="201"/>
      <c r="J9" s="112">
        <f t="shared" si="0"/>
        <v>160000</v>
      </c>
      <c r="K9" s="198" t="s">
        <v>595</v>
      </c>
    </row>
    <row r="10" spans="1:11" ht="16">
      <c r="A10" s="278"/>
      <c r="B10" s="91" t="s">
        <v>333</v>
      </c>
      <c r="C10" s="92" t="s">
        <v>257</v>
      </c>
      <c r="D10" s="206">
        <v>50</v>
      </c>
      <c r="E10" s="207"/>
      <c r="F10" s="212" t="s">
        <v>336</v>
      </c>
      <c r="G10" s="213"/>
      <c r="H10" s="200">
        <v>2200</v>
      </c>
      <c r="I10" s="201"/>
      <c r="J10" s="112">
        <f t="shared" si="0"/>
        <v>110000</v>
      </c>
      <c r="K10" s="198" t="s">
        <v>596</v>
      </c>
    </row>
    <row r="11" spans="1:11" ht="16">
      <c r="A11" s="278"/>
      <c r="B11" s="91" t="s">
        <v>334</v>
      </c>
      <c r="C11" s="92" t="s">
        <v>252</v>
      </c>
      <c r="D11" s="206">
        <v>20</v>
      </c>
      <c r="E11" s="207"/>
      <c r="F11" s="212" t="s">
        <v>336</v>
      </c>
      <c r="G11" s="213"/>
      <c r="H11" s="273">
        <v>1200</v>
      </c>
      <c r="I11" s="257"/>
      <c r="J11" s="186">
        <f>D11*H11</f>
        <v>24000</v>
      </c>
      <c r="K11" s="126" t="s">
        <v>568</v>
      </c>
    </row>
    <row r="12" spans="1:11" ht="16">
      <c r="A12" s="279"/>
      <c r="B12" s="92" t="s">
        <v>571</v>
      </c>
      <c r="C12" s="199" t="s">
        <v>572</v>
      </c>
      <c r="D12" s="245">
        <v>20</v>
      </c>
      <c r="E12" s="245"/>
      <c r="F12" s="212" t="s">
        <v>336</v>
      </c>
      <c r="G12" s="213"/>
      <c r="H12" s="256">
        <v>20</v>
      </c>
      <c r="I12" s="257"/>
      <c r="J12" s="186">
        <f>D12*H12</f>
        <v>400</v>
      </c>
      <c r="K12" s="126"/>
    </row>
    <row r="13" spans="1:11" ht="16">
      <c r="A13" s="230" t="s">
        <v>262</v>
      </c>
      <c r="B13" s="231"/>
      <c r="C13" s="231"/>
      <c r="D13" s="231"/>
      <c r="E13" s="231"/>
      <c r="F13" s="231"/>
      <c r="G13" s="231"/>
      <c r="H13" s="231"/>
      <c r="I13" s="232"/>
      <c r="J13" s="128">
        <f>SUM(J7:J11)</f>
        <v>1029000</v>
      </c>
      <c r="K13" s="139"/>
    </row>
    <row r="14" spans="1:11" ht="30" customHeight="1">
      <c r="A14" s="215" t="s">
        <v>337</v>
      </c>
      <c r="B14" s="216"/>
      <c r="C14" s="127" t="s">
        <v>413</v>
      </c>
      <c r="D14" s="217" t="s">
        <v>3</v>
      </c>
      <c r="E14" s="218"/>
      <c r="F14" s="217" t="s">
        <v>339</v>
      </c>
      <c r="G14" s="218"/>
      <c r="H14" s="217" t="s">
        <v>381</v>
      </c>
      <c r="I14" s="218"/>
      <c r="J14" s="86" t="s">
        <v>340</v>
      </c>
      <c r="K14" s="89" t="s">
        <v>319</v>
      </c>
    </row>
    <row r="15" spans="1:11" ht="31" customHeight="1">
      <c r="A15" s="219" t="s">
        <v>444</v>
      </c>
      <c r="B15" s="249" t="s">
        <v>504</v>
      </c>
      <c r="C15" s="92" t="s">
        <v>265</v>
      </c>
      <c r="D15" s="247">
        <v>28</v>
      </c>
      <c r="E15" s="248"/>
      <c r="F15" s="246" t="s">
        <v>505</v>
      </c>
      <c r="G15" s="246"/>
      <c r="H15" s="178">
        <v>380</v>
      </c>
      <c r="I15" s="197" t="s">
        <v>499</v>
      </c>
      <c r="J15" s="129">
        <f t="shared" ref="J15:J17" si="1">D15*H15</f>
        <v>10640</v>
      </c>
      <c r="K15" s="187" t="s">
        <v>573</v>
      </c>
    </row>
    <row r="16" spans="1:11" ht="26" customHeight="1">
      <c r="A16" s="219"/>
      <c r="B16" s="250"/>
      <c r="C16" s="92" t="s">
        <v>350</v>
      </c>
      <c r="D16" s="247">
        <v>20</v>
      </c>
      <c r="E16" s="248"/>
      <c r="F16" s="246" t="s">
        <v>505</v>
      </c>
      <c r="G16" s="246"/>
      <c r="H16" s="178">
        <v>800</v>
      </c>
      <c r="I16" s="197" t="s">
        <v>499</v>
      </c>
      <c r="J16" s="129">
        <f t="shared" si="1"/>
        <v>16000</v>
      </c>
      <c r="K16" s="187" t="s">
        <v>573</v>
      </c>
    </row>
    <row r="17" spans="1:11" ht="30" customHeight="1">
      <c r="A17" s="219"/>
      <c r="B17" s="184" t="s">
        <v>501</v>
      </c>
      <c r="C17" s="92" t="s">
        <v>344</v>
      </c>
      <c r="D17" s="244">
        <v>30</v>
      </c>
      <c r="E17" s="244"/>
      <c r="F17" s="245" t="s">
        <v>356</v>
      </c>
      <c r="G17" s="245"/>
      <c r="H17" s="178">
        <v>680</v>
      </c>
      <c r="I17" s="197" t="s">
        <v>499</v>
      </c>
      <c r="J17" s="129">
        <f t="shared" si="1"/>
        <v>20400</v>
      </c>
      <c r="K17" s="188" t="s">
        <v>507</v>
      </c>
    </row>
    <row r="18" spans="1:11" ht="30" customHeight="1">
      <c r="A18" s="219"/>
      <c r="B18" s="253" t="s">
        <v>362</v>
      </c>
      <c r="C18" s="92" t="s">
        <v>502</v>
      </c>
      <c r="D18" s="247">
        <v>0</v>
      </c>
      <c r="E18" s="248"/>
      <c r="F18" s="206" t="s">
        <v>335</v>
      </c>
      <c r="G18" s="207"/>
      <c r="H18" s="251">
        <v>0</v>
      </c>
      <c r="I18" s="252"/>
      <c r="J18" s="129">
        <f>D18*H18</f>
        <v>0</v>
      </c>
      <c r="K18" s="189" t="s">
        <v>503</v>
      </c>
    </row>
    <row r="19" spans="1:11" ht="30" customHeight="1">
      <c r="A19" s="219"/>
      <c r="B19" s="254"/>
      <c r="C19" s="92" t="s">
        <v>341</v>
      </c>
      <c r="D19" s="244">
        <v>0</v>
      </c>
      <c r="E19" s="244"/>
      <c r="F19" s="245" t="s">
        <v>335</v>
      </c>
      <c r="G19" s="245"/>
      <c r="H19" s="243">
        <v>0</v>
      </c>
      <c r="I19" s="243"/>
      <c r="J19" s="129">
        <f>D19*H19</f>
        <v>0</v>
      </c>
      <c r="K19" s="189" t="s">
        <v>503</v>
      </c>
    </row>
    <row r="20" spans="1:11" ht="30" customHeight="1">
      <c r="A20" s="219"/>
      <c r="B20" s="255"/>
      <c r="C20" s="92" t="s">
        <v>296</v>
      </c>
      <c r="D20" s="244">
        <v>0</v>
      </c>
      <c r="E20" s="244"/>
      <c r="F20" s="245" t="s">
        <v>335</v>
      </c>
      <c r="G20" s="245"/>
      <c r="H20" s="243">
        <v>0</v>
      </c>
      <c r="I20" s="243"/>
      <c r="J20" s="129">
        <f>D20*H20</f>
        <v>0</v>
      </c>
      <c r="K20" s="189" t="s">
        <v>500</v>
      </c>
    </row>
    <row r="21" spans="1:11" ht="16">
      <c r="A21" s="230" t="s">
        <v>262</v>
      </c>
      <c r="B21" s="231"/>
      <c r="C21" s="231"/>
      <c r="D21" s="231"/>
      <c r="E21" s="231"/>
      <c r="F21" s="231"/>
      <c r="G21" s="231"/>
      <c r="H21" s="231" t="s">
        <v>274</v>
      </c>
      <c r="I21" s="232"/>
      <c r="J21" s="101">
        <f>SUM(J15:J20)</f>
        <v>47040</v>
      </c>
      <c r="K21" s="139"/>
    </row>
    <row r="22" spans="1:11" ht="16">
      <c r="A22" s="215" t="s">
        <v>337</v>
      </c>
      <c r="B22" s="216"/>
      <c r="C22" s="127" t="s">
        <v>372</v>
      </c>
      <c r="D22" s="217" t="s">
        <v>3</v>
      </c>
      <c r="E22" s="218"/>
      <c r="F22" s="217" t="s">
        <v>339</v>
      </c>
      <c r="G22" s="218"/>
      <c r="H22" s="217" t="s">
        <v>381</v>
      </c>
      <c r="I22" s="218"/>
      <c r="J22" s="86" t="s">
        <v>340</v>
      </c>
      <c r="K22" s="89" t="s">
        <v>7</v>
      </c>
    </row>
    <row r="23" spans="1:11" ht="16">
      <c r="A23" s="236" t="s">
        <v>275</v>
      </c>
      <c r="B23" s="94" t="s">
        <v>511</v>
      </c>
      <c r="C23" s="94" t="s">
        <v>277</v>
      </c>
      <c r="D23" s="106">
        <v>198</v>
      </c>
      <c r="E23" s="94" t="s">
        <v>278</v>
      </c>
      <c r="F23" s="106">
        <v>2</v>
      </c>
      <c r="G23" s="94" t="s">
        <v>279</v>
      </c>
      <c r="H23" s="178">
        <v>720</v>
      </c>
      <c r="I23" s="135" t="s">
        <v>255</v>
      </c>
      <c r="J23" s="112">
        <f>D23*F23*H23</f>
        <v>285120</v>
      </c>
      <c r="K23" s="140" t="s">
        <v>512</v>
      </c>
    </row>
    <row r="24" spans="1:11" ht="16">
      <c r="A24" s="237"/>
      <c r="B24" s="94" t="s">
        <v>511</v>
      </c>
      <c r="C24" s="94" t="s">
        <v>373</v>
      </c>
      <c r="D24" s="106">
        <v>142</v>
      </c>
      <c r="E24" s="94" t="s">
        <v>278</v>
      </c>
      <c r="F24" s="106">
        <v>2</v>
      </c>
      <c r="G24" s="94" t="s">
        <v>279</v>
      </c>
      <c r="H24" s="178">
        <v>720</v>
      </c>
      <c r="I24" s="135" t="s">
        <v>255</v>
      </c>
      <c r="J24" s="112">
        <f t="shared" ref="J24:J25" si="2">D24*F24*H24</f>
        <v>204480</v>
      </c>
      <c r="K24" s="140" t="s">
        <v>513</v>
      </c>
    </row>
    <row r="25" spans="1:11" ht="16">
      <c r="A25" s="237"/>
      <c r="B25" s="94" t="s">
        <v>514</v>
      </c>
      <c r="C25" s="94" t="s">
        <v>515</v>
      </c>
      <c r="D25" s="106">
        <v>10</v>
      </c>
      <c r="E25" s="94" t="s">
        <v>278</v>
      </c>
      <c r="F25" s="106">
        <v>2</v>
      </c>
      <c r="G25" s="94" t="s">
        <v>279</v>
      </c>
      <c r="H25" s="178">
        <v>1700</v>
      </c>
      <c r="I25" s="135" t="s">
        <v>255</v>
      </c>
      <c r="J25" s="112">
        <f t="shared" si="2"/>
        <v>34000</v>
      </c>
      <c r="K25" s="140"/>
    </row>
    <row r="26" spans="1:11" ht="16">
      <c r="A26" s="230" t="s">
        <v>262</v>
      </c>
      <c r="B26" s="231"/>
      <c r="C26" s="231"/>
      <c r="D26" s="231"/>
      <c r="E26" s="231"/>
      <c r="F26" s="231"/>
      <c r="G26" s="231"/>
      <c r="H26" s="231"/>
      <c r="I26" s="232"/>
      <c r="J26" s="101">
        <f>SUM(J23:J25)</f>
        <v>523600</v>
      </c>
      <c r="K26" s="139"/>
    </row>
    <row r="27" spans="1:11" ht="16">
      <c r="A27" s="215" t="s">
        <v>337</v>
      </c>
      <c r="B27" s="216"/>
      <c r="C27" s="127" t="s">
        <v>325</v>
      </c>
      <c r="D27" s="217" t="s">
        <v>3</v>
      </c>
      <c r="E27" s="218"/>
      <c r="F27" s="217" t="s">
        <v>339</v>
      </c>
      <c r="G27" s="218"/>
      <c r="H27" s="217" t="s">
        <v>381</v>
      </c>
      <c r="I27" s="218"/>
      <c r="J27" s="86" t="s">
        <v>340</v>
      </c>
      <c r="K27" s="89" t="s">
        <v>7</v>
      </c>
    </row>
    <row r="28" spans="1:11" ht="31" customHeight="1">
      <c r="A28" s="183" t="s">
        <v>374</v>
      </c>
      <c r="B28" s="92" t="s">
        <v>375</v>
      </c>
      <c r="C28" s="92" t="s">
        <v>377</v>
      </c>
      <c r="D28" s="238">
        <v>0</v>
      </c>
      <c r="E28" s="239"/>
      <c r="F28" s="238" t="s">
        <v>335</v>
      </c>
      <c r="G28" s="239"/>
      <c r="H28" s="190">
        <v>0</v>
      </c>
      <c r="I28" s="135" t="s">
        <v>255</v>
      </c>
      <c r="J28" s="182">
        <f>D28*H28</f>
        <v>0</v>
      </c>
      <c r="K28" s="141"/>
    </row>
    <row r="29" spans="1:11" ht="16">
      <c r="A29" s="230" t="s">
        <v>262</v>
      </c>
      <c r="B29" s="231"/>
      <c r="C29" s="231"/>
      <c r="D29" s="231"/>
      <c r="E29" s="231"/>
      <c r="F29" s="231"/>
      <c r="G29" s="231"/>
      <c r="H29" s="231"/>
      <c r="I29" s="232"/>
      <c r="J29" s="101">
        <f>SUM(J28:J28)</f>
        <v>0</v>
      </c>
      <c r="K29" s="139"/>
    </row>
    <row r="30" spans="1:11" ht="16">
      <c r="A30" s="215" t="s">
        <v>337</v>
      </c>
      <c r="B30" s="216"/>
      <c r="C30" s="127" t="s">
        <v>325</v>
      </c>
      <c r="D30" s="217" t="s">
        <v>3</v>
      </c>
      <c r="E30" s="218"/>
      <c r="F30" s="217" t="s">
        <v>339</v>
      </c>
      <c r="G30" s="218"/>
      <c r="H30" s="217" t="s">
        <v>381</v>
      </c>
      <c r="I30" s="218"/>
      <c r="J30" s="86" t="s">
        <v>340</v>
      </c>
      <c r="K30" s="89" t="s">
        <v>7</v>
      </c>
    </row>
    <row r="31" spans="1:11" ht="16">
      <c r="A31" s="280" t="s">
        <v>36</v>
      </c>
      <c r="B31" s="104" t="s">
        <v>516</v>
      </c>
      <c r="C31" s="104" t="s">
        <v>379</v>
      </c>
      <c r="D31" s="206">
        <v>600</v>
      </c>
      <c r="E31" s="207"/>
      <c r="F31" s="206" t="s">
        <v>336</v>
      </c>
      <c r="G31" s="207"/>
      <c r="H31" s="192">
        <v>198</v>
      </c>
      <c r="I31" s="193" t="s">
        <v>499</v>
      </c>
      <c r="J31" s="112">
        <f>D31*H31</f>
        <v>118800</v>
      </c>
      <c r="K31" s="136" t="s">
        <v>518</v>
      </c>
    </row>
    <row r="32" spans="1:11" ht="16">
      <c r="A32" s="281"/>
      <c r="B32" s="104" t="s">
        <v>517</v>
      </c>
      <c r="C32" s="104" t="s">
        <v>380</v>
      </c>
      <c r="D32" s="206">
        <v>50</v>
      </c>
      <c r="E32" s="207"/>
      <c r="F32" s="206" t="s">
        <v>336</v>
      </c>
      <c r="G32" s="207"/>
      <c r="H32" s="192">
        <v>400</v>
      </c>
      <c r="I32" s="193" t="s">
        <v>499</v>
      </c>
      <c r="J32" s="112">
        <f t="shared" ref="J32:J35" si="3">D32*H32</f>
        <v>20000</v>
      </c>
      <c r="K32" s="136" t="s">
        <v>518</v>
      </c>
    </row>
    <row r="33" spans="1:11" ht="16">
      <c r="A33" s="281"/>
      <c r="B33" s="104" t="s">
        <v>516</v>
      </c>
      <c r="C33" s="104" t="s">
        <v>292</v>
      </c>
      <c r="D33" s="206">
        <v>600</v>
      </c>
      <c r="E33" s="207"/>
      <c r="F33" s="206" t="s">
        <v>336</v>
      </c>
      <c r="G33" s="207"/>
      <c r="H33" s="192">
        <v>178</v>
      </c>
      <c r="I33" s="193" t="s">
        <v>499</v>
      </c>
      <c r="J33" s="112">
        <f t="shared" si="3"/>
        <v>106800</v>
      </c>
      <c r="K33" s="136" t="s">
        <v>519</v>
      </c>
    </row>
    <row r="34" spans="1:11" ht="16">
      <c r="A34" s="281"/>
      <c r="B34" s="104" t="s">
        <v>517</v>
      </c>
      <c r="C34" s="104" t="s">
        <v>378</v>
      </c>
      <c r="D34" s="206">
        <v>50</v>
      </c>
      <c r="E34" s="207"/>
      <c r="F34" s="206" t="s">
        <v>336</v>
      </c>
      <c r="G34" s="207"/>
      <c r="H34" s="192">
        <v>400</v>
      </c>
      <c r="I34" s="193" t="s">
        <v>499</v>
      </c>
      <c r="J34" s="112">
        <f t="shared" si="3"/>
        <v>20000</v>
      </c>
      <c r="K34" s="136" t="s">
        <v>519</v>
      </c>
    </row>
    <row r="35" spans="1:11" ht="16">
      <c r="A35" s="282"/>
      <c r="B35" s="104" t="s">
        <v>564</v>
      </c>
      <c r="C35" s="194" t="s">
        <v>380</v>
      </c>
      <c r="D35" s="283">
        <v>50</v>
      </c>
      <c r="E35" s="283"/>
      <c r="F35" s="206" t="s">
        <v>336</v>
      </c>
      <c r="G35" s="207"/>
      <c r="H35" s="195">
        <v>400</v>
      </c>
      <c r="I35" s="193" t="s">
        <v>499</v>
      </c>
      <c r="J35" s="196">
        <f t="shared" si="3"/>
        <v>20000</v>
      </c>
      <c r="K35" s="136" t="s">
        <v>519</v>
      </c>
    </row>
    <row r="36" spans="1:11" ht="16">
      <c r="A36" s="230" t="s">
        <v>262</v>
      </c>
      <c r="B36" s="231"/>
      <c r="C36" s="231"/>
      <c r="D36" s="231"/>
      <c r="E36" s="231"/>
      <c r="F36" s="231"/>
      <c r="G36" s="231"/>
      <c r="H36" s="231" t="s">
        <v>274</v>
      </c>
      <c r="I36" s="232"/>
      <c r="J36" s="101">
        <f>SUM(J31:J35)</f>
        <v>285600</v>
      </c>
      <c r="K36" s="139"/>
    </row>
    <row r="37" spans="1:11" ht="16">
      <c r="A37" s="215" t="s">
        <v>337</v>
      </c>
      <c r="B37" s="216"/>
      <c r="C37" s="127" t="s">
        <v>325</v>
      </c>
      <c r="D37" s="217" t="s">
        <v>3</v>
      </c>
      <c r="E37" s="218"/>
      <c r="F37" s="217" t="s">
        <v>339</v>
      </c>
      <c r="G37" s="218"/>
      <c r="H37" s="217" t="s">
        <v>381</v>
      </c>
      <c r="I37" s="218"/>
      <c r="J37" s="86" t="s">
        <v>340</v>
      </c>
      <c r="K37" s="89" t="s">
        <v>7</v>
      </c>
    </row>
    <row r="38" spans="1:11" ht="16">
      <c r="A38" s="137" t="s">
        <v>293</v>
      </c>
      <c r="B38" s="104" t="s">
        <v>42</v>
      </c>
      <c r="C38" s="92" t="s">
        <v>293</v>
      </c>
      <c r="D38" s="206">
        <v>650</v>
      </c>
      <c r="E38" s="207"/>
      <c r="F38" s="206" t="s">
        <v>336</v>
      </c>
      <c r="G38" s="207"/>
      <c r="H38" s="220">
        <v>50</v>
      </c>
      <c r="I38" s="221"/>
      <c r="J38" s="97">
        <f>D38*H38</f>
        <v>32500</v>
      </c>
      <c r="K38" s="126"/>
    </row>
    <row r="39" spans="1:11" ht="16">
      <c r="A39" s="230" t="s">
        <v>262</v>
      </c>
      <c r="B39" s="231"/>
      <c r="C39" s="231"/>
      <c r="D39" s="231"/>
      <c r="E39" s="231"/>
      <c r="F39" s="231"/>
      <c r="G39" s="231"/>
      <c r="H39" s="231" t="s">
        <v>274</v>
      </c>
      <c r="I39" s="232"/>
      <c r="J39" s="101">
        <f>SUM(J38:J38)</f>
        <v>32500</v>
      </c>
      <c r="K39" s="139"/>
    </row>
    <row r="40" spans="1:11" ht="16">
      <c r="A40" s="215" t="s">
        <v>337</v>
      </c>
      <c r="B40" s="216"/>
      <c r="C40" s="127" t="s">
        <v>325</v>
      </c>
      <c r="D40" s="217" t="s">
        <v>3</v>
      </c>
      <c r="E40" s="218"/>
      <c r="F40" s="217" t="s">
        <v>339</v>
      </c>
      <c r="G40" s="218"/>
      <c r="H40" s="217" t="s">
        <v>381</v>
      </c>
      <c r="I40" s="218"/>
      <c r="J40" s="86" t="s">
        <v>340</v>
      </c>
      <c r="K40" s="89" t="s">
        <v>7</v>
      </c>
    </row>
    <row r="41" spans="1:11" ht="22" customHeight="1">
      <c r="A41" s="228" t="s">
        <v>294</v>
      </c>
      <c r="B41" s="174" t="s">
        <v>538</v>
      </c>
      <c r="C41" s="103" t="s">
        <v>488</v>
      </c>
      <c r="D41" s="206">
        <v>30</v>
      </c>
      <c r="E41" s="207"/>
      <c r="F41" s="212" t="s">
        <v>376</v>
      </c>
      <c r="G41" s="213"/>
      <c r="H41" s="178">
        <v>15</v>
      </c>
      <c r="I41" s="98" t="s">
        <v>255</v>
      </c>
      <c r="J41" s="175">
        <f>D41*H41</f>
        <v>450</v>
      </c>
      <c r="K41" s="126" t="s">
        <v>475</v>
      </c>
    </row>
    <row r="42" spans="1:11" ht="22" customHeight="1">
      <c r="A42" s="229"/>
      <c r="B42" s="174" t="s">
        <v>465</v>
      </c>
      <c r="C42" s="103" t="s">
        <v>488</v>
      </c>
      <c r="D42" s="206">
        <v>40</v>
      </c>
      <c r="E42" s="207"/>
      <c r="F42" s="212" t="s">
        <v>548</v>
      </c>
      <c r="G42" s="213"/>
      <c r="H42" s="178">
        <v>5</v>
      </c>
      <c r="I42" s="98" t="s">
        <v>255</v>
      </c>
      <c r="J42" s="175">
        <f t="shared" ref="J42:J66" si="4">D42*H42</f>
        <v>200</v>
      </c>
      <c r="K42" s="126"/>
    </row>
    <row r="43" spans="1:11" ht="22" customHeight="1">
      <c r="A43" s="229"/>
      <c r="B43" s="174" t="s">
        <v>485</v>
      </c>
      <c r="C43" s="103" t="s">
        <v>488</v>
      </c>
      <c r="D43" s="206">
        <v>120</v>
      </c>
      <c r="E43" s="207"/>
      <c r="F43" s="212" t="s">
        <v>493</v>
      </c>
      <c r="G43" s="213"/>
      <c r="H43" s="178">
        <v>55</v>
      </c>
      <c r="I43" s="98" t="s">
        <v>255</v>
      </c>
      <c r="J43" s="175">
        <f t="shared" si="4"/>
        <v>6600</v>
      </c>
      <c r="K43" s="126" t="s">
        <v>536</v>
      </c>
    </row>
    <row r="44" spans="1:11" ht="22" customHeight="1">
      <c r="A44" s="229"/>
      <c r="B44" s="174" t="s">
        <v>539</v>
      </c>
      <c r="C44" s="103" t="s">
        <v>488</v>
      </c>
      <c r="D44" s="206">
        <v>150</v>
      </c>
      <c r="E44" s="207"/>
      <c r="F44" s="212" t="s">
        <v>376</v>
      </c>
      <c r="G44" s="213"/>
      <c r="H44" s="178">
        <v>5</v>
      </c>
      <c r="I44" s="98" t="s">
        <v>255</v>
      </c>
      <c r="J44" s="175">
        <f t="shared" si="4"/>
        <v>750</v>
      </c>
      <c r="K44" s="181" t="s">
        <v>545</v>
      </c>
    </row>
    <row r="45" spans="1:11" ht="22" customHeight="1">
      <c r="A45" s="229"/>
      <c r="B45" s="174" t="s">
        <v>593</v>
      </c>
      <c r="C45" s="103" t="s">
        <v>488</v>
      </c>
      <c r="D45" s="206">
        <v>650</v>
      </c>
      <c r="E45" s="207"/>
      <c r="F45" s="212" t="s">
        <v>376</v>
      </c>
      <c r="G45" s="213"/>
      <c r="H45" s="178">
        <v>25</v>
      </c>
      <c r="I45" s="98" t="s">
        <v>255</v>
      </c>
      <c r="J45" s="175">
        <f t="shared" si="4"/>
        <v>16250</v>
      </c>
      <c r="K45" s="181" t="s">
        <v>570</v>
      </c>
    </row>
    <row r="46" spans="1:11" ht="22" customHeight="1">
      <c r="A46" s="229"/>
      <c r="B46" s="174" t="s">
        <v>549</v>
      </c>
      <c r="C46" s="103" t="s">
        <v>488</v>
      </c>
      <c r="D46" s="206">
        <v>20</v>
      </c>
      <c r="E46" s="207"/>
      <c r="F46" s="212" t="s">
        <v>464</v>
      </c>
      <c r="G46" s="213"/>
      <c r="H46" s="178">
        <v>300</v>
      </c>
      <c r="I46" s="98" t="s">
        <v>255</v>
      </c>
      <c r="J46" s="175">
        <f t="shared" si="4"/>
        <v>6000</v>
      </c>
      <c r="K46" s="181" t="s">
        <v>510</v>
      </c>
    </row>
    <row r="47" spans="1:11" ht="22" customHeight="1">
      <c r="A47" s="229"/>
      <c r="B47" s="174" t="s">
        <v>550</v>
      </c>
      <c r="C47" s="103" t="s">
        <v>488</v>
      </c>
      <c r="D47" s="206">
        <v>28</v>
      </c>
      <c r="E47" s="207"/>
      <c r="F47" s="212" t="s">
        <v>464</v>
      </c>
      <c r="G47" s="213"/>
      <c r="H47" s="178">
        <v>150</v>
      </c>
      <c r="I47" s="98" t="s">
        <v>255</v>
      </c>
      <c r="J47" s="175">
        <f t="shared" si="4"/>
        <v>4200</v>
      </c>
      <c r="K47" s="181"/>
    </row>
    <row r="48" spans="1:11" ht="22" customHeight="1">
      <c r="A48" s="229"/>
      <c r="B48" s="174" t="s">
        <v>540</v>
      </c>
      <c r="C48" s="103" t="s">
        <v>488</v>
      </c>
      <c r="D48" s="206">
        <v>150</v>
      </c>
      <c r="E48" s="207"/>
      <c r="F48" s="212" t="s">
        <v>489</v>
      </c>
      <c r="G48" s="213"/>
      <c r="H48" s="178">
        <v>5</v>
      </c>
      <c r="I48" s="98" t="s">
        <v>255</v>
      </c>
      <c r="J48" s="175">
        <f t="shared" si="4"/>
        <v>750</v>
      </c>
      <c r="K48" s="181" t="s">
        <v>466</v>
      </c>
    </row>
    <row r="49" spans="1:11" ht="22" customHeight="1">
      <c r="A49" s="229"/>
      <c r="B49" s="174" t="s">
        <v>583</v>
      </c>
      <c r="C49" s="103" t="s">
        <v>488</v>
      </c>
      <c r="D49" s="206">
        <v>650</v>
      </c>
      <c r="E49" s="207"/>
      <c r="F49" s="212" t="s">
        <v>586</v>
      </c>
      <c r="G49" s="213"/>
      <c r="H49" s="178">
        <v>75</v>
      </c>
      <c r="I49" s="98" t="s">
        <v>255</v>
      </c>
      <c r="J49" s="175">
        <f t="shared" si="4"/>
        <v>48750</v>
      </c>
      <c r="K49" s="181"/>
    </row>
    <row r="50" spans="1:11" ht="22" customHeight="1">
      <c r="A50" s="229"/>
      <c r="B50" s="174" t="s">
        <v>584</v>
      </c>
      <c r="C50" s="103" t="s">
        <v>488</v>
      </c>
      <c r="D50" s="206">
        <v>650</v>
      </c>
      <c r="E50" s="207"/>
      <c r="F50" s="212" t="s">
        <v>376</v>
      </c>
      <c r="G50" s="213"/>
      <c r="H50" s="178">
        <v>12</v>
      </c>
      <c r="I50" s="98" t="s">
        <v>255</v>
      </c>
      <c r="J50" s="175">
        <f t="shared" si="4"/>
        <v>7800</v>
      </c>
      <c r="K50" s="181"/>
    </row>
    <row r="51" spans="1:11" ht="22" customHeight="1">
      <c r="A51" s="229"/>
      <c r="B51" s="174" t="s">
        <v>585</v>
      </c>
      <c r="C51" s="103" t="s">
        <v>488</v>
      </c>
      <c r="D51" s="206">
        <v>500</v>
      </c>
      <c r="E51" s="207"/>
      <c r="F51" s="212" t="s">
        <v>376</v>
      </c>
      <c r="G51" s="213"/>
      <c r="H51" s="178">
        <v>8</v>
      </c>
      <c r="I51" s="98" t="s">
        <v>255</v>
      </c>
      <c r="J51" s="175">
        <f t="shared" si="4"/>
        <v>4000</v>
      </c>
      <c r="K51" s="181"/>
    </row>
    <row r="52" spans="1:11" ht="22" customHeight="1">
      <c r="A52" s="229"/>
      <c r="B52" s="174" t="s">
        <v>532</v>
      </c>
      <c r="C52" s="103" t="s">
        <v>488</v>
      </c>
      <c r="D52" s="206">
        <v>50</v>
      </c>
      <c r="E52" s="207"/>
      <c r="F52" s="212" t="s">
        <v>490</v>
      </c>
      <c r="G52" s="213"/>
      <c r="H52" s="178">
        <v>650</v>
      </c>
      <c r="I52" s="98" t="s">
        <v>255</v>
      </c>
      <c r="J52" s="175">
        <f t="shared" si="4"/>
        <v>32500</v>
      </c>
      <c r="K52" s="181" t="s">
        <v>535</v>
      </c>
    </row>
    <row r="53" spans="1:11" ht="22" customHeight="1">
      <c r="A53" s="229"/>
      <c r="B53" s="174" t="s">
        <v>469</v>
      </c>
      <c r="C53" s="103" t="s">
        <v>488</v>
      </c>
      <c r="D53" s="206">
        <v>25</v>
      </c>
      <c r="E53" s="207"/>
      <c r="F53" s="212" t="s">
        <v>376</v>
      </c>
      <c r="G53" s="213"/>
      <c r="H53" s="178">
        <v>2000</v>
      </c>
      <c r="I53" s="98" t="s">
        <v>255</v>
      </c>
      <c r="J53" s="175">
        <f t="shared" si="4"/>
        <v>50000</v>
      </c>
      <c r="K53" s="181" t="s">
        <v>592</v>
      </c>
    </row>
    <row r="54" spans="1:11" ht="22" customHeight="1">
      <c r="A54" s="229"/>
      <c r="B54" s="174" t="s">
        <v>546</v>
      </c>
      <c r="C54" s="103" t="s">
        <v>488</v>
      </c>
      <c r="D54" s="206">
        <v>10</v>
      </c>
      <c r="E54" s="207"/>
      <c r="F54" s="212" t="s">
        <v>464</v>
      </c>
      <c r="G54" s="213"/>
      <c r="H54" s="178">
        <v>500</v>
      </c>
      <c r="I54" s="98" t="s">
        <v>255</v>
      </c>
      <c r="J54" s="175">
        <f t="shared" si="4"/>
        <v>5000</v>
      </c>
      <c r="K54" s="181" t="s">
        <v>508</v>
      </c>
    </row>
    <row r="55" spans="1:11" ht="22" customHeight="1">
      <c r="A55" s="229"/>
      <c r="B55" s="174" t="s">
        <v>547</v>
      </c>
      <c r="C55" s="103" t="s">
        <v>488</v>
      </c>
      <c r="D55" s="206">
        <v>40</v>
      </c>
      <c r="E55" s="207"/>
      <c r="F55" s="212" t="s">
        <v>464</v>
      </c>
      <c r="G55" s="213"/>
      <c r="H55" s="178">
        <v>280</v>
      </c>
      <c r="I55" s="98" t="s">
        <v>255</v>
      </c>
      <c r="J55" s="175">
        <f t="shared" si="4"/>
        <v>11200</v>
      </c>
      <c r="K55" s="181"/>
    </row>
    <row r="56" spans="1:11" ht="22" customHeight="1">
      <c r="A56" s="229"/>
      <c r="B56" s="174" t="s">
        <v>574</v>
      </c>
      <c r="C56" s="103" t="s">
        <v>488</v>
      </c>
      <c r="D56" s="206">
        <v>50</v>
      </c>
      <c r="E56" s="207"/>
      <c r="F56" s="212" t="s">
        <v>464</v>
      </c>
      <c r="G56" s="213"/>
      <c r="H56" s="178">
        <v>140</v>
      </c>
      <c r="I56" s="98" t="s">
        <v>255</v>
      </c>
      <c r="J56" s="175">
        <f t="shared" si="4"/>
        <v>7000</v>
      </c>
      <c r="K56" s="181"/>
    </row>
    <row r="57" spans="1:11" ht="22" customHeight="1">
      <c r="A57" s="229"/>
      <c r="B57" s="174" t="s">
        <v>579</v>
      </c>
      <c r="C57" s="103" t="s">
        <v>488</v>
      </c>
      <c r="D57" s="206">
        <v>50</v>
      </c>
      <c r="E57" s="207"/>
      <c r="F57" s="212" t="s">
        <v>464</v>
      </c>
      <c r="G57" s="213"/>
      <c r="H57" s="178">
        <v>60</v>
      </c>
      <c r="I57" s="98" t="s">
        <v>255</v>
      </c>
      <c r="J57" s="175">
        <f t="shared" si="4"/>
        <v>3000</v>
      </c>
      <c r="K57" s="181"/>
    </row>
    <row r="58" spans="1:11" ht="22" customHeight="1">
      <c r="A58" s="229"/>
      <c r="B58" s="174" t="s">
        <v>580</v>
      </c>
      <c r="C58" s="103" t="s">
        <v>488</v>
      </c>
      <c r="D58" s="206">
        <v>60</v>
      </c>
      <c r="E58" s="207"/>
      <c r="F58" s="212" t="s">
        <v>376</v>
      </c>
      <c r="G58" s="213"/>
      <c r="H58" s="178">
        <v>25</v>
      </c>
      <c r="I58" s="98" t="s">
        <v>255</v>
      </c>
      <c r="J58" s="175">
        <f t="shared" si="4"/>
        <v>1500</v>
      </c>
      <c r="K58" s="181"/>
    </row>
    <row r="59" spans="1:11" ht="22" customHeight="1">
      <c r="A59" s="229"/>
      <c r="B59" s="174" t="s">
        <v>581</v>
      </c>
      <c r="C59" s="103" t="s">
        <v>488</v>
      </c>
      <c r="D59" s="206">
        <v>40</v>
      </c>
      <c r="E59" s="207"/>
      <c r="F59" s="212" t="s">
        <v>376</v>
      </c>
      <c r="G59" s="213"/>
      <c r="H59" s="178">
        <v>20</v>
      </c>
      <c r="I59" s="98" t="s">
        <v>499</v>
      </c>
      <c r="J59" s="175">
        <f t="shared" si="4"/>
        <v>800</v>
      </c>
      <c r="K59" s="181"/>
    </row>
    <row r="60" spans="1:11" ht="22" customHeight="1">
      <c r="A60" s="229"/>
      <c r="B60" s="174" t="s">
        <v>553</v>
      </c>
      <c r="C60" s="103" t="s">
        <v>488</v>
      </c>
      <c r="D60" s="206">
        <v>50</v>
      </c>
      <c r="E60" s="207"/>
      <c r="F60" s="212" t="s">
        <v>434</v>
      </c>
      <c r="G60" s="213"/>
      <c r="H60" s="178">
        <v>268</v>
      </c>
      <c r="I60" s="98" t="s">
        <v>255</v>
      </c>
      <c r="J60" s="175">
        <f t="shared" si="4"/>
        <v>13400</v>
      </c>
      <c r="K60" s="181"/>
    </row>
    <row r="61" spans="1:11" ht="22" customHeight="1">
      <c r="A61" s="229"/>
      <c r="B61" s="174" t="s">
        <v>482</v>
      </c>
      <c r="C61" s="103" t="s">
        <v>488</v>
      </c>
      <c r="D61" s="206">
        <v>1</v>
      </c>
      <c r="E61" s="207"/>
      <c r="F61" s="212" t="s">
        <v>335</v>
      </c>
      <c r="G61" s="213"/>
      <c r="H61" s="178">
        <v>10000</v>
      </c>
      <c r="I61" s="98" t="s">
        <v>255</v>
      </c>
      <c r="J61" s="175">
        <f t="shared" si="4"/>
        <v>10000</v>
      </c>
      <c r="K61" s="181"/>
    </row>
    <row r="62" spans="1:11" ht="22" customHeight="1">
      <c r="A62" s="229"/>
      <c r="B62" s="174" t="s">
        <v>483</v>
      </c>
      <c r="C62" s="103" t="s">
        <v>488</v>
      </c>
      <c r="D62" s="206">
        <v>1</v>
      </c>
      <c r="E62" s="207"/>
      <c r="F62" s="212" t="s">
        <v>335</v>
      </c>
      <c r="G62" s="213"/>
      <c r="H62" s="178">
        <v>15000</v>
      </c>
      <c r="I62" s="98" t="s">
        <v>255</v>
      </c>
      <c r="J62" s="175">
        <f t="shared" si="4"/>
        <v>15000</v>
      </c>
      <c r="K62" s="181"/>
    </row>
    <row r="63" spans="1:11" ht="22" customHeight="1">
      <c r="A63" s="229"/>
      <c r="B63" s="174" t="s">
        <v>589</v>
      </c>
      <c r="C63" s="103" t="s">
        <v>488</v>
      </c>
      <c r="D63" s="206">
        <v>15</v>
      </c>
      <c r="E63" s="207"/>
      <c r="F63" s="212" t="s">
        <v>551</v>
      </c>
      <c r="G63" s="213"/>
      <c r="H63" s="178">
        <v>200</v>
      </c>
      <c r="I63" s="98" t="s">
        <v>255</v>
      </c>
      <c r="J63" s="175">
        <f t="shared" si="4"/>
        <v>3000</v>
      </c>
      <c r="K63" s="181" t="s">
        <v>590</v>
      </c>
    </row>
    <row r="64" spans="1:11" ht="22" customHeight="1">
      <c r="A64" s="229"/>
      <c r="B64" s="174" t="s">
        <v>484</v>
      </c>
      <c r="C64" s="103" t="s">
        <v>488</v>
      </c>
      <c r="D64" s="206">
        <v>20</v>
      </c>
      <c r="E64" s="207"/>
      <c r="F64" s="212" t="s">
        <v>551</v>
      </c>
      <c r="G64" s="213"/>
      <c r="H64" s="178">
        <v>100</v>
      </c>
      <c r="I64" s="98" t="s">
        <v>255</v>
      </c>
      <c r="J64" s="175">
        <f t="shared" si="4"/>
        <v>2000</v>
      </c>
      <c r="K64" s="181" t="s">
        <v>552</v>
      </c>
    </row>
    <row r="65" spans="1:11" ht="22" customHeight="1">
      <c r="A65" s="229"/>
      <c r="B65" s="174" t="s">
        <v>558</v>
      </c>
      <c r="C65" s="103" t="s">
        <v>488</v>
      </c>
      <c r="D65" s="206">
        <v>5</v>
      </c>
      <c r="E65" s="207"/>
      <c r="F65" s="212" t="s">
        <v>551</v>
      </c>
      <c r="G65" s="213"/>
      <c r="H65" s="178">
        <v>320</v>
      </c>
      <c r="I65" s="98" t="s">
        <v>255</v>
      </c>
      <c r="J65" s="175">
        <f t="shared" si="4"/>
        <v>1600</v>
      </c>
      <c r="K65" s="181" t="s">
        <v>559</v>
      </c>
    </row>
    <row r="66" spans="1:11" ht="22" customHeight="1">
      <c r="A66" s="229"/>
      <c r="B66" s="174" t="s">
        <v>560</v>
      </c>
      <c r="C66" s="103" t="s">
        <v>488</v>
      </c>
      <c r="D66" s="206">
        <v>20</v>
      </c>
      <c r="E66" s="207"/>
      <c r="F66" s="212" t="s">
        <v>561</v>
      </c>
      <c r="G66" s="213"/>
      <c r="H66" s="178">
        <v>10</v>
      </c>
      <c r="I66" s="98" t="s">
        <v>255</v>
      </c>
      <c r="J66" s="175">
        <f t="shared" si="4"/>
        <v>200</v>
      </c>
      <c r="K66" s="181" t="s">
        <v>562</v>
      </c>
    </row>
    <row r="67" spans="1:11" ht="22" customHeight="1">
      <c r="A67" s="229"/>
      <c r="B67" s="174" t="s">
        <v>534</v>
      </c>
      <c r="C67" s="103" t="s">
        <v>488</v>
      </c>
      <c r="D67" s="206">
        <v>1</v>
      </c>
      <c r="E67" s="207"/>
      <c r="F67" s="212" t="s">
        <v>434</v>
      </c>
      <c r="G67" s="213"/>
      <c r="H67" s="178">
        <v>3500</v>
      </c>
      <c r="I67" s="98" t="s">
        <v>255</v>
      </c>
      <c r="J67" s="175">
        <f t="shared" ref="J67:J70" si="5">D67*H67</f>
        <v>3500</v>
      </c>
      <c r="K67" s="181"/>
    </row>
    <row r="68" spans="1:11" ht="22" customHeight="1">
      <c r="A68" s="229"/>
      <c r="B68" s="174" t="s">
        <v>582</v>
      </c>
      <c r="C68" s="103" t="s">
        <v>488</v>
      </c>
      <c r="D68" s="206">
        <v>5</v>
      </c>
      <c r="E68" s="207"/>
      <c r="F68" s="212" t="s">
        <v>434</v>
      </c>
      <c r="G68" s="213"/>
      <c r="H68" s="178">
        <v>3500</v>
      </c>
      <c r="I68" s="98" t="s">
        <v>499</v>
      </c>
      <c r="J68" s="175">
        <f t="shared" si="5"/>
        <v>17500</v>
      </c>
      <c r="K68" s="181"/>
    </row>
    <row r="69" spans="1:11" ht="22" customHeight="1">
      <c r="A69" s="229"/>
      <c r="B69" s="174" t="s">
        <v>533</v>
      </c>
      <c r="C69" s="103" t="s">
        <v>488</v>
      </c>
      <c r="D69" s="206">
        <v>1</v>
      </c>
      <c r="E69" s="207"/>
      <c r="F69" s="212" t="s">
        <v>434</v>
      </c>
      <c r="G69" s="213"/>
      <c r="H69" s="178">
        <v>5000</v>
      </c>
      <c r="I69" s="98" t="s">
        <v>255</v>
      </c>
      <c r="J69" s="175">
        <f t="shared" si="5"/>
        <v>5000</v>
      </c>
      <c r="K69" s="126" t="s">
        <v>509</v>
      </c>
    </row>
    <row r="70" spans="1:11" ht="22" customHeight="1">
      <c r="A70" s="229"/>
      <c r="B70" s="174" t="s">
        <v>544</v>
      </c>
      <c r="C70" s="103" t="s">
        <v>488</v>
      </c>
      <c r="D70" s="206">
        <v>1</v>
      </c>
      <c r="E70" s="207"/>
      <c r="F70" s="212" t="s">
        <v>434</v>
      </c>
      <c r="G70" s="213"/>
      <c r="H70" s="178">
        <v>4000</v>
      </c>
      <c r="I70" s="98" t="s">
        <v>255</v>
      </c>
      <c r="J70" s="175">
        <f t="shared" si="5"/>
        <v>4000</v>
      </c>
      <c r="K70" s="126"/>
    </row>
    <row r="71" spans="1:11" ht="22" customHeight="1">
      <c r="A71" s="229"/>
      <c r="B71" s="174" t="s">
        <v>476</v>
      </c>
      <c r="C71" s="103" t="s">
        <v>488</v>
      </c>
      <c r="D71" s="206">
        <v>1</v>
      </c>
      <c r="E71" s="207"/>
      <c r="F71" s="212" t="s">
        <v>335</v>
      </c>
      <c r="G71" s="213"/>
      <c r="H71" s="178">
        <v>2000</v>
      </c>
      <c r="I71" s="98" t="s">
        <v>255</v>
      </c>
      <c r="J71" s="175">
        <v>2500</v>
      </c>
      <c r="K71" s="126"/>
    </row>
    <row r="72" spans="1:11" ht="22" customHeight="1">
      <c r="A72" s="229"/>
      <c r="B72" s="174" t="s">
        <v>477</v>
      </c>
      <c r="C72" s="103" t="s">
        <v>488</v>
      </c>
      <c r="D72" s="206">
        <v>1</v>
      </c>
      <c r="E72" s="207"/>
      <c r="F72" s="212" t="s">
        <v>335</v>
      </c>
      <c r="G72" s="213"/>
      <c r="H72" s="178">
        <v>3000</v>
      </c>
      <c r="I72" s="98" t="s">
        <v>255</v>
      </c>
      <c r="J72" s="175">
        <v>3000</v>
      </c>
      <c r="K72" s="126"/>
    </row>
    <row r="73" spans="1:11" ht="16">
      <c r="A73" s="230" t="s">
        <v>262</v>
      </c>
      <c r="B73" s="231"/>
      <c r="C73" s="231"/>
      <c r="D73" s="231"/>
      <c r="E73" s="231"/>
      <c r="F73" s="231"/>
      <c r="G73" s="231"/>
      <c r="H73" s="231"/>
      <c r="I73" s="232"/>
      <c r="J73" s="101">
        <f>SUM(J41:J72)</f>
        <v>287450</v>
      </c>
      <c r="K73" s="139"/>
    </row>
    <row r="74" spans="1:11" ht="16">
      <c r="A74" s="215" t="s">
        <v>337</v>
      </c>
      <c r="B74" s="216"/>
      <c r="C74" s="127" t="s">
        <v>325</v>
      </c>
      <c r="D74" s="217" t="s">
        <v>3</v>
      </c>
      <c r="E74" s="218"/>
      <c r="F74" s="217" t="s">
        <v>339</v>
      </c>
      <c r="G74" s="218"/>
      <c r="H74" s="217" t="s">
        <v>381</v>
      </c>
      <c r="I74" s="218"/>
      <c r="J74" s="86" t="s">
        <v>340</v>
      </c>
      <c r="K74" s="89" t="s">
        <v>7</v>
      </c>
    </row>
    <row r="75" spans="1:11" ht="16">
      <c r="A75" s="208" t="s">
        <v>299</v>
      </c>
      <c r="B75" s="104" t="s">
        <v>520</v>
      </c>
      <c r="C75" s="103" t="s">
        <v>299</v>
      </c>
      <c r="D75" s="206">
        <v>30</v>
      </c>
      <c r="E75" s="207"/>
      <c r="F75" s="206" t="s">
        <v>336</v>
      </c>
      <c r="G75" s="207"/>
      <c r="H75" s="178">
        <v>1500</v>
      </c>
      <c r="I75" s="135" t="s">
        <v>255</v>
      </c>
      <c r="J75" s="129">
        <f>H75*D75</f>
        <v>45000</v>
      </c>
      <c r="K75" s="202" t="s">
        <v>391</v>
      </c>
    </row>
    <row r="76" spans="1:11" ht="16">
      <c r="A76" s="209"/>
      <c r="B76" s="104" t="s">
        <v>591</v>
      </c>
      <c r="C76" s="103" t="s">
        <v>299</v>
      </c>
      <c r="D76" s="206">
        <v>10</v>
      </c>
      <c r="E76" s="207"/>
      <c r="F76" s="206" t="s">
        <v>336</v>
      </c>
      <c r="G76" s="207"/>
      <c r="H76" s="178">
        <v>1200</v>
      </c>
      <c r="I76" s="135" t="s">
        <v>255</v>
      </c>
      <c r="J76" s="129">
        <f t="shared" ref="J76:J92" si="6">H76*D76</f>
        <v>12000</v>
      </c>
      <c r="K76" s="203"/>
    </row>
    <row r="77" spans="1:11" ht="16">
      <c r="A77" s="209"/>
      <c r="B77" s="104" t="s">
        <v>388</v>
      </c>
      <c r="C77" s="103" t="s">
        <v>299</v>
      </c>
      <c r="D77" s="206">
        <v>60</v>
      </c>
      <c r="E77" s="207"/>
      <c r="F77" s="206" t="s">
        <v>336</v>
      </c>
      <c r="G77" s="207"/>
      <c r="H77" s="178">
        <v>800</v>
      </c>
      <c r="I77" s="135" t="s">
        <v>255</v>
      </c>
      <c r="J77" s="129">
        <f t="shared" si="6"/>
        <v>48000</v>
      </c>
      <c r="K77" s="203"/>
    </row>
    <row r="78" spans="1:11" ht="16">
      <c r="A78" s="209"/>
      <c r="B78" s="104" t="s">
        <v>543</v>
      </c>
      <c r="C78" s="103" t="s">
        <v>299</v>
      </c>
      <c r="D78" s="206">
        <v>1</v>
      </c>
      <c r="E78" s="207"/>
      <c r="F78" s="206" t="s">
        <v>336</v>
      </c>
      <c r="G78" s="207"/>
      <c r="H78" s="178">
        <v>1200</v>
      </c>
      <c r="I78" s="135" t="s">
        <v>499</v>
      </c>
      <c r="J78" s="129">
        <v>1500</v>
      </c>
      <c r="K78" s="204"/>
    </row>
    <row r="79" spans="1:11" ht="16">
      <c r="A79" s="209"/>
      <c r="B79" s="104" t="s">
        <v>383</v>
      </c>
      <c r="C79" s="103" t="s">
        <v>299</v>
      </c>
      <c r="D79" s="206">
        <v>12</v>
      </c>
      <c r="E79" s="207"/>
      <c r="F79" s="206" t="s">
        <v>336</v>
      </c>
      <c r="G79" s="207"/>
      <c r="H79" s="178">
        <v>800</v>
      </c>
      <c r="I79" s="135" t="s">
        <v>499</v>
      </c>
      <c r="J79" s="129">
        <f t="shared" si="6"/>
        <v>9600</v>
      </c>
      <c r="K79" s="205" t="s">
        <v>390</v>
      </c>
    </row>
    <row r="80" spans="1:11" ht="16">
      <c r="A80" s="209"/>
      <c r="B80" s="104" t="s">
        <v>521</v>
      </c>
      <c r="C80" s="103" t="s">
        <v>299</v>
      </c>
      <c r="D80" s="206">
        <v>10</v>
      </c>
      <c r="E80" s="207"/>
      <c r="F80" s="206" t="s">
        <v>336</v>
      </c>
      <c r="G80" s="207"/>
      <c r="H80" s="178">
        <v>800</v>
      </c>
      <c r="I80" s="135" t="s">
        <v>255</v>
      </c>
      <c r="J80" s="129">
        <f t="shared" si="6"/>
        <v>8000</v>
      </c>
      <c r="K80" s="205"/>
    </row>
    <row r="81" spans="1:11" ht="16">
      <c r="A81" s="209"/>
      <c r="B81" s="104" t="s">
        <v>522</v>
      </c>
      <c r="C81" s="103" t="s">
        <v>299</v>
      </c>
      <c r="D81" s="206">
        <v>6</v>
      </c>
      <c r="E81" s="207"/>
      <c r="F81" s="206" t="s">
        <v>336</v>
      </c>
      <c r="G81" s="207"/>
      <c r="H81" s="178">
        <v>800</v>
      </c>
      <c r="I81" s="135" t="s">
        <v>255</v>
      </c>
      <c r="J81" s="129">
        <f t="shared" si="6"/>
        <v>4800</v>
      </c>
      <c r="K81" s="205"/>
    </row>
    <row r="82" spans="1:11" ht="16">
      <c r="A82" s="209"/>
      <c r="B82" s="104" t="s">
        <v>523</v>
      </c>
      <c r="C82" s="103" t="s">
        <v>299</v>
      </c>
      <c r="D82" s="206">
        <v>4</v>
      </c>
      <c r="E82" s="207"/>
      <c r="F82" s="206" t="s">
        <v>336</v>
      </c>
      <c r="G82" s="207"/>
      <c r="H82" s="178">
        <v>3000</v>
      </c>
      <c r="I82" s="135" t="s">
        <v>255</v>
      </c>
      <c r="J82" s="129">
        <f t="shared" si="6"/>
        <v>12000</v>
      </c>
      <c r="K82" s="205"/>
    </row>
    <row r="83" spans="1:11" ht="16">
      <c r="A83" s="209"/>
      <c r="B83" s="104" t="s">
        <v>537</v>
      </c>
      <c r="C83" s="103" t="s">
        <v>299</v>
      </c>
      <c r="D83" s="206">
        <v>2</v>
      </c>
      <c r="E83" s="207"/>
      <c r="F83" s="206" t="s">
        <v>336</v>
      </c>
      <c r="G83" s="207"/>
      <c r="H83" s="178">
        <v>2600</v>
      </c>
      <c r="I83" s="135" t="s">
        <v>499</v>
      </c>
      <c r="J83" s="129">
        <f t="shared" si="6"/>
        <v>5200</v>
      </c>
      <c r="K83" s="185"/>
    </row>
    <row r="84" spans="1:11" ht="16">
      <c r="A84" s="209"/>
      <c r="B84" s="104" t="s">
        <v>563</v>
      </c>
      <c r="C84" s="103" t="s">
        <v>299</v>
      </c>
      <c r="D84" s="206">
        <v>20</v>
      </c>
      <c r="E84" s="207"/>
      <c r="F84" s="206" t="s">
        <v>336</v>
      </c>
      <c r="G84" s="207"/>
      <c r="H84" s="178">
        <v>500</v>
      </c>
      <c r="I84" s="135" t="s">
        <v>499</v>
      </c>
      <c r="J84" s="129">
        <f t="shared" si="6"/>
        <v>10000</v>
      </c>
      <c r="K84" s="185"/>
    </row>
    <row r="85" spans="1:11" ht="16">
      <c r="A85" s="209"/>
      <c r="B85" s="104" t="s">
        <v>576</v>
      </c>
      <c r="C85" s="103" t="s">
        <v>299</v>
      </c>
      <c r="D85" s="206">
        <v>3</v>
      </c>
      <c r="E85" s="207"/>
      <c r="F85" s="206" t="s">
        <v>336</v>
      </c>
      <c r="G85" s="207"/>
      <c r="H85" s="178">
        <v>2500</v>
      </c>
      <c r="I85" s="135" t="s">
        <v>499</v>
      </c>
      <c r="J85" s="129">
        <f t="shared" si="6"/>
        <v>7500</v>
      </c>
      <c r="K85" s="185"/>
    </row>
    <row r="86" spans="1:11" ht="16">
      <c r="A86" s="210"/>
      <c r="B86" s="104" t="s">
        <v>577</v>
      </c>
      <c r="C86" s="103" t="s">
        <v>299</v>
      </c>
      <c r="D86" s="206">
        <v>36</v>
      </c>
      <c r="E86" s="207"/>
      <c r="F86" s="206" t="s">
        <v>336</v>
      </c>
      <c r="G86" s="207"/>
      <c r="H86" s="178">
        <v>800</v>
      </c>
      <c r="I86" s="135" t="s">
        <v>499</v>
      </c>
      <c r="J86" s="129">
        <f t="shared" si="6"/>
        <v>28800</v>
      </c>
      <c r="K86" s="185"/>
    </row>
    <row r="87" spans="1:11" ht="17">
      <c r="A87" s="211" t="s">
        <v>408</v>
      </c>
      <c r="B87" s="104" t="s">
        <v>384</v>
      </c>
      <c r="C87" s="103" t="s">
        <v>296</v>
      </c>
      <c r="D87" s="206">
        <v>36</v>
      </c>
      <c r="E87" s="207"/>
      <c r="F87" s="206" t="s">
        <v>336</v>
      </c>
      <c r="G87" s="207"/>
      <c r="H87" s="178">
        <v>80</v>
      </c>
      <c r="I87" s="135" t="s">
        <v>255</v>
      </c>
      <c r="J87" s="129">
        <f t="shared" si="6"/>
        <v>2880</v>
      </c>
      <c r="K87" s="180" t="s">
        <v>495</v>
      </c>
    </row>
    <row r="88" spans="1:11" ht="17">
      <c r="A88" s="211"/>
      <c r="B88" s="104" t="s">
        <v>389</v>
      </c>
      <c r="C88" s="103" t="s">
        <v>296</v>
      </c>
      <c r="D88" s="206">
        <v>36</v>
      </c>
      <c r="E88" s="207"/>
      <c r="F88" s="206" t="s">
        <v>336</v>
      </c>
      <c r="G88" s="207"/>
      <c r="H88" s="178">
        <v>100</v>
      </c>
      <c r="I88" s="135" t="s">
        <v>255</v>
      </c>
      <c r="J88" s="129">
        <f t="shared" si="6"/>
        <v>3600</v>
      </c>
      <c r="K88" s="180" t="s">
        <v>495</v>
      </c>
    </row>
    <row r="89" spans="1:11" ht="17">
      <c r="A89" s="211"/>
      <c r="B89" s="104" t="s">
        <v>385</v>
      </c>
      <c r="C89" s="103" t="s">
        <v>296</v>
      </c>
      <c r="D89" s="206">
        <v>36</v>
      </c>
      <c r="E89" s="207"/>
      <c r="F89" s="206" t="s">
        <v>336</v>
      </c>
      <c r="G89" s="207"/>
      <c r="H89" s="178">
        <v>400</v>
      </c>
      <c r="I89" s="135" t="s">
        <v>255</v>
      </c>
      <c r="J89" s="129">
        <f t="shared" si="6"/>
        <v>14400</v>
      </c>
      <c r="K89" s="180" t="s">
        <v>495</v>
      </c>
    </row>
    <row r="90" spans="1:11" ht="17">
      <c r="A90" s="211"/>
      <c r="B90" s="104" t="s">
        <v>405</v>
      </c>
      <c r="C90" s="103" t="s">
        <v>296</v>
      </c>
      <c r="D90" s="206">
        <v>0</v>
      </c>
      <c r="E90" s="207"/>
      <c r="F90" s="206" t="s">
        <v>336</v>
      </c>
      <c r="G90" s="207"/>
      <c r="H90" s="178">
        <v>0</v>
      </c>
      <c r="I90" s="135" t="s">
        <v>255</v>
      </c>
      <c r="J90" s="129">
        <f t="shared" si="6"/>
        <v>0</v>
      </c>
      <c r="K90" s="180" t="s">
        <v>495</v>
      </c>
    </row>
    <row r="91" spans="1:11" ht="17">
      <c r="A91" s="211"/>
      <c r="B91" s="104" t="s">
        <v>406</v>
      </c>
      <c r="C91" s="103" t="s">
        <v>296</v>
      </c>
      <c r="D91" s="206">
        <v>0</v>
      </c>
      <c r="E91" s="207"/>
      <c r="F91" s="206" t="s">
        <v>336</v>
      </c>
      <c r="G91" s="207"/>
      <c r="H91" s="178">
        <v>70</v>
      </c>
      <c r="I91" s="135" t="s">
        <v>255</v>
      </c>
      <c r="J91" s="129">
        <f t="shared" si="6"/>
        <v>0</v>
      </c>
      <c r="K91" s="180" t="s">
        <v>495</v>
      </c>
    </row>
    <row r="92" spans="1:11" ht="17">
      <c r="A92" s="211"/>
      <c r="B92" s="104" t="s">
        <v>407</v>
      </c>
      <c r="C92" s="103" t="s">
        <v>296</v>
      </c>
      <c r="D92" s="206">
        <v>40</v>
      </c>
      <c r="E92" s="207"/>
      <c r="F92" s="206" t="s">
        <v>336</v>
      </c>
      <c r="G92" s="207"/>
      <c r="H92" s="178">
        <v>250</v>
      </c>
      <c r="I92" s="135" t="s">
        <v>255</v>
      </c>
      <c r="J92" s="129">
        <f t="shared" si="6"/>
        <v>10000</v>
      </c>
      <c r="K92" s="180" t="s">
        <v>495</v>
      </c>
    </row>
    <row r="93" spans="1:11" ht="16">
      <c r="A93" s="230" t="s">
        <v>262</v>
      </c>
      <c r="B93" s="231"/>
      <c r="C93" s="231"/>
      <c r="D93" s="231"/>
      <c r="E93" s="231"/>
      <c r="F93" s="231"/>
      <c r="G93" s="231"/>
      <c r="H93" s="231" t="s">
        <v>274</v>
      </c>
      <c r="I93" s="232"/>
      <c r="J93" s="101">
        <f>SUM(J75:J92)</f>
        <v>223280</v>
      </c>
      <c r="K93" s="139"/>
    </row>
    <row r="94" spans="1:11" ht="16">
      <c r="A94" s="215" t="s">
        <v>337</v>
      </c>
      <c r="B94" s="216"/>
      <c r="C94" s="127" t="s">
        <v>325</v>
      </c>
      <c r="D94" s="217" t="s">
        <v>3</v>
      </c>
      <c r="E94" s="218"/>
      <c r="F94" s="217" t="s">
        <v>339</v>
      </c>
      <c r="G94" s="218"/>
      <c r="H94" s="217" t="s">
        <v>381</v>
      </c>
      <c r="I94" s="218"/>
      <c r="J94" s="86" t="s">
        <v>340</v>
      </c>
      <c r="K94" s="89" t="s">
        <v>7</v>
      </c>
    </row>
    <row r="95" spans="1:11" ht="16">
      <c r="A95" s="219" t="s">
        <v>304</v>
      </c>
      <c r="B95" s="104" t="s">
        <v>305</v>
      </c>
      <c r="C95" s="92" t="s">
        <v>296</v>
      </c>
      <c r="D95" s="206">
        <v>1</v>
      </c>
      <c r="E95" s="207"/>
      <c r="F95" s="206" t="s">
        <v>434</v>
      </c>
      <c r="G95" s="207"/>
      <c r="H95" s="190">
        <v>20000</v>
      </c>
      <c r="I95" s="191" t="s">
        <v>499</v>
      </c>
      <c r="J95" s="112">
        <f>D95*H95</f>
        <v>20000</v>
      </c>
      <c r="K95" s="122"/>
    </row>
    <row r="96" spans="1:11" ht="16">
      <c r="A96" s="219"/>
      <c r="B96" s="104" t="s">
        <v>524</v>
      </c>
      <c r="C96" s="92" t="s">
        <v>368</v>
      </c>
      <c r="D96" s="206">
        <v>10</v>
      </c>
      <c r="E96" s="207"/>
      <c r="F96" s="206" t="s">
        <v>528</v>
      </c>
      <c r="G96" s="207"/>
      <c r="H96" s="190">
        <v>1080</v>
      </c>
      <c r="I96" s="191" t="s">
        <v>499</v>
      </c>
      <c r="J96" s="112">
        <f t="shared" ref="J96:J109" si="7">D96*H96</f>
        <v>10800</v>
      </c>
      <c r="K96" s="136" t="s">
        <v>529</v>
      </c>
    </row>
    <row r="97" spans="1:11" ht="16">
      <c r="A97" s="219"/>
      <c r="B97" s="104" t="s">
        <v>527</v>
      </c>
      <c r="C97" s="92" t="s">
        <v>368</v>
      </c>
      <c r="D97" s="206">
        <v>12</v>
      </c>
      <c r="E97" s="207"/>
      <c r="F97" s="206" t="s">
        <v>528</v>
      </c>
      <c r="G97" s="207"/>
      <c r="H97" s="190">
        <v>1080</v>
      </c>
      <c r="I97" s="191" t="s">
        <v>499</v>
      </c>
      <c r="J97" s="112">
        <f t="shared" si="7"/>
        <v>12960</v>
      </c>
      <c r="K97" s="136" t="s">
        <v>529</v>
      </c>
    </row>
    <row r="98" spans="1:11" ht="16">
      <c r="A98" s="219"/>
      <c r="B98" s="104" t="s">
        <v>526</v>
      </c>
      <c r="C98" s="92" t="s">
        <v>368</v>
      </c>
      <c r="D98" s="206">
        <v>12</v>
      </c>
      <c r="E98" s="207"/>
      <c r="F98" s="206" t="s">
        <v>528</v>
      </c>
      <c r="G98" s="207"/>
      <c r="H98" s="190">
        <v>1000</v>
      </c>
      <c r="I98" s="191" t="s">
        <v>499</v>
      </c>
      <c r="J98" s="112">
        <f t="shared" si="7"/>
        <v>12000</v>
      </c>
      <c r="K98" s="136" t="s">
        <v>530</v>
      </c>
    </row>
    <row r="99" spans="1:11" ht="16">
      <c r="A99" s="219"/>
      <c r="B99" s="104" t="s">
        <v>225</v>
      </c>
      <c r="C99" s="92" t="s">
        <v>296</v>
      </c>
      <c r="D99" s="206">
        <v>0</v>
      </c>
      <c r="E99" s="207"/>
      <c r="F99" s="206" t="s">
        <v>531</v>
      </c>
      <c r="G99" s="207"/>
      <c r="H99" s="190">
        <v>0</v>
      </c>
      <c r="I99" s="191" t="s">
        <v>499</v>
      </c>
      <c r="J99" s="112">
        <f t="shared" si="7"/>
        <v>0</v>
      </c>
      <c r="K99" s="136"/>
    </row>
    <row r="100" spans="1:11" ht="16">
      <c r="A100" s="219"/>
      <c r="B100" s="104" t="s">
        <v>565</v>
      </c>
      <c r="C100" s="92" t="s">
        <v>296</v>
      </c>
      <c r="D100" s="206">
        <v>1000</v>
      </c>
      <c r="E100" s="207"/>
      <c r="F100" s="206" t="s">
        <v>464</v>
      </c>
      <c r="G100" s="207"/>
      <c r="H100" s="190">
        <v>50</v>
      </c>
      <c r="I100" s="191" t="s">
        <v>499</v>
      </c>
      <c r="J100" s="112">
        <f t="shared" si="7"/>
        <v>50000</v>
      </c>
      <c r="K100" s="136"/>
    </row>
    <row r="101" spans="1:11" ht="16">
      <c r="A101" s="219"/>
      <c r="B101" s="104" t="s">
        <v>567</v>
      </c>
      <c r="C101" s="92" t="s">
        <v>368</v>
      </c>
      <c r="D101" s="206">
        <v>1</v>
      </c>
      <c r="E101" s="207"/>
      <c r="F101" s="206" t="s">
        <v>434</v>
      </c>
      <c r="G101" s="207"/>
      <c r="H101" s="190">
        <v>1000</v>
      </c>
      <c r="I101" s="191" t="s">
        <v>499</v>
      </c>
      <c r="J101" s="112">
        <f t="shared" si="7"/>
        <v>1000</v>
      </c>
      <c r="K101" s="136"/>
    </row>
    <row r="102" spans="1:11" ht="16">
      <c r="A102" s="219"/>
      <c r="B102" s="104" t="s">
        <v>587</v>
      </c>
      <c r="C102" s="92" t="s">
        <v>368</v>
      </c>
      <c r="D102" s="206">
        <v>2</v>
      </c>
      <c r="E102" s="207"/>
      <c r="F102" s="206" t="s">
        <v>588</v>
      </c>
      <c r="G102" s="207"/>
      <c r="H102" s="190">
        <v>1000</v>
      </c>
      <c r="I102" s="191" t="s">
        <v>499</v>
      </c>
      <c r="J102" s="112">
        <f t="shared" si="7"/>
        <v>2000</v>
      </c>
      <c r="K102" s="136"/>
    </row>
    <row r="103" spans="1:11" ht="16">
      <c r="A103" s="219"/>
      <c r="B103" s="104" t="s">
        <v>569</v>
      </c>
      <c r="C103" s="92" t="s">
        <v>296</v>
      </c>
      <c r="D103" s="206">
        <v>650</v>
      </c>
      <c r="E103" s="207"/>
      <c r="F103" s="206" t="s">
        <v>566</v>
      </c>
      <c r="G103" s="207"/>
      <c r="H103" s="190">
        <v>68</v>
      </c>
      <c r="I103" s="191" t="s">
        <v>499</v>
      </c>
      <c r="J103" s="112">
        <f t="shared" si="7"/>
        <v>44200</v>
      </c>
      <c r="K103" s="136"/>
    </row>
    <row r="104" spans="1:11" ht="16">
      <c r="A104" s="219"/>
      <c r="B104" s="104" t="s">
        <v>575</v>
      </c>
      <c r="C104" s="92" t="s">
        <v>368</v>
      </c>
      <c r="D104" s="206">
        <v>1</v>
      </c>
      <c r="E104" s="207"/>
      <c r="F104" s="206" t="s">
        <v>434</v>
      </c>
      <c r="G104" s="207"/>
      <c r="H104" s="190">
        <v>200000</v>
      </c>
      <c r="I104" s="191" t="s">
        <v>499</v>
      </c>
      <c r="J104" s="112">
        <f t="shared" si="7"/>
        <v>200000</v>
      </c>
      <c r="K104" s="136"/>
    </row>
    <row r="105" spans="1:11" ht="16">
      <c r="A105" s="219"/>
      <c r="B105" s="104" t="s">
        <v>578</v>
      </c>
      <c r="C105" s="92" t="s">
        <v>368</v>
      </c>
      <c r="D105" s="206">
        <v>50</v>
      </c>
      <c r="E105" s="207"/>
      <c r="F105" s="206" t="s">
        <v>548</v>
      </c>
      <c r="G105" s="207"/>
      <c r="H105" s="190">
        <v>89</v>
      </c>
      <c r="I105" s="191" t="s">
        <v>499</v>
      </c>
      <c r="J105" s="112">
        <f t="shared" si="7"/>
        <v>4450</v>
      </c>
      <c r="K105" s="136"/>
    </row>
    <row r="106" spans="1:11" ht="16">
      <c r="A106" s="219"/>
      <c r="B106" s="104" t="s">
        <v>525</v>
      </c>
      <c r="C106" s="92" t="s">
        <v>296</v>
      </c>
      <c r="D106" s="206">
        <v>1</v>
      </c>
      <c r="E106" s="207"/>
      <c r="F106" s="206" t="s">
        <v>434</v>
      </c>
      <c r="G106" s="207"/>
      <c r="H106" s="190">
        <v>50000</v>
      </c>
      <c r="I106" s="191" t="s">
        <v>499</v>
      </c>
      <c r="J106" s="112">
        <f t="shared" si="7"/>
        <v>50000</v>
      </c>
      <c r="K106" s="136"/>
    </row>
    <row r="107" spans="1:11" ht="16">
      <c r="A107" s="219"/>
      <c r="B107" s="104" t="s">
        <v>409</v>
      </c>
      <c r="C107" s="92" t="s">
        <v>296</v>
      </c>
      <c r="D107" s="206">
        <v>1</v>
      </c>
      <c r="E107" s="207"/>
      <c r="F107" s="206" t="s">
        <v>434</v>
      </c>
      <c r="G107" s="207"/>
      <c r="H107" s="190">
        <v>2000</v>
      </c>
      <c r="I107" s="191" t="s">
        <v>499</v>
      </c>
      <c r="J107" s="112">
        <f t="shared" si="7"/>
        <v>2000</v>
      </c>
      <c r="K107" s="136"/>
    </row>
    <row r="108" spans="1:11" ht="16">
      <c r="A108" s="219"/>
      <c r="B108" s="104" t="s">
        <v>410</v>
      </c>
      <c r="C108" s="92" t="s">
        <v>296</v>
      </c>
      <c r="D108" s="206">
        <v>0</v>
      </c>
      <c r="E108" s="207"/>
      <c r="F108" s="206" t="s">
        <v>434</v>
      </c>
      <c r="G108" s="207"/>
      <c r="H108" s="190">
        <v>0</v>
      </c>
      <c r="I108" s="191" t="s">
        <v>499</v>
      </c>
      <c r="J108" s="112">
        <f t="shared" si="7"/>
        <v>0</v>
      </c>
      <c r="K108" s="136"/>
    </row>
    <row r="109" spans="1:11" ht="16">
      <c r="A109" s="219"/>
      <c r="B109" s="104" t="s">
        <v>411</v>
      </c>
      <c r="C109" s="92" t="s">
        <v>296</v>
      </c>
      <c r="D109" s="206">
        <v>0</v>
      </c>
      <c r="E109" s="207"/>
      <c r="F109" s="206" t="s">
        <v>434</v>
      </c>
      <c r="G109" s="207"/>
      <c r="H109" s="190">
        <v>0</v>
      </c>
      <c r="I109" s="191" t="s">
        <v>499</v>
      </c>
      <c r="J109" s="112">
        <f t="shared" si="7"/>
        <v>0</v>
      </c>
      <c r="K109" s="136"/>
    </row>
    <row r="110" spans="1:11" ht="16">
      <c r="A110" s="230" t="s">
        <v>262</v>
      </c>
      <c r="B110" s="231"/>
      <c r="C110" s="231"/>
      <c r="D110" s="231"/>
      <c r="E110" s="231"/>
      <c r="F110" s="231"/>
      <c r="G110" s="231"/>
      <c r="H110" s="231" t="s">
        <v>274</v>
      </c>
      <c r="I110" s="232"/>
      <c r="J110" s="101">
        <f>SUM(J95)</f>
        <v>20000</v>
      </c>
      <c r="K110" s="139"/>
    </row>
    <row r="111" spans="1:11" ht="16">
      <c r="A111" s="233" t="s">
        <v>307</v>
      </c>
      <c r="B111" s="234"/>
      <c r="C111" s="234"/>
      <c r="D111" s="234"/>
      <c r="E111" s="234"/>
      <c r="F111" s="234"/>
      <c r="G111" s="234"/>
      <c r="H111" s="234"/>
      <c r="I111" s="235"/>
      <c r="J111" s="114">
        <f>J13+J21+J26+J29+J36+J39+J73+J93+J110</f>
        <v>2448470</v>
      </c>
      <c r="K111" s="142"/>
    </row>
    <row r="112" spans="1:11" ht="17" customHeight="1">
      <c r="A112" s="214" t="s">
        <v>506</v>
      </c>
      <c r="B112" s="214"/>
      <c r="C112" s="214"/>
      <c r="D112" s="214"/>
      <c r="E112" s="214"/>
      <c r="F112" s="214"/>
      <c r="G112" s="214"/>
      <c r="H112" s="214"/>
      <c r="I112" s="179">
        <v>0.06</v>
      </c>
      <c r="J112" s="116">
        <f>J111*I112</f>
        <v>146908.19999999998</v>
      </c>
      <c r="K112" s="143"/>
    </row>
    <row r="113" spans="1:11" ht="16">
      <c r="A113" s="240" t="s">
        <v>309</v>
      </c>
      <c r="B113" s="241"/>
      <c r="C113" s="241"/>
      <c r="D113" s="241"/>
      <c r="E113" s="241"/>
      <c r="F113" s="241"/>
      <c r="G113" s="241"/>
      <c r="H113" s="241"/>
      <c r="I113" s="242"/>
      <c r="J113" s="118">
        <f>(J111+J112)*6%</f>
        <v>155722.69200000001</v>
      </c>
      <c r="K113" s="144"/>
    </row>
    <row r="114" spans="1:11">
      <c r="A114" s="222" t="s">
        <v>310</v>
      </c>
      <c r="B114" s="223"/>
      <c r="C114" s="223"/>
      <c r="D114" s="223"/>
      <c r="E114" s="223"/>
      <c r="F114" s="223"/>
      <c r="G114" s="223"/>
      <c r="H114" s="223"/>
      <c r="I114" s="224"/>
      <c r="J114" s="176">
        <f>SUM(J111:J113)</f>
        <v>2751100.892</v>
      </c>
      <c r="K114" s="177"/>
    </row>
  </sheetData>
  <sheetProtection autoFilter="0"/>
  <mergeCells count="249">
    <mergeCell ref="A37:B37"/>
    <mergeCell ref="D37:E37"/>
    <mergeCell ref="F37:G37"/>
    <mergeCell ref="A31:A35"/>
    <mergeCell ref="D35:E35"/>
    <mergeCell ref="D58:E58"/>
    <mergeCell ref="F58:G58"/>
    <mergeCell ref="D59:E59"/>
    <mergeCell ref="F59:G59"/>
    <mergeCell ref="D68:E68"/>
    <mergeCell ref="F68:G68"/>
    <mergeCell ref="D49:E49"/>
    <mergeCell ref="D50:E50"/>
    <mergeCell ref="D51:E51"/>
    <mergeCell ref="F51:G51"/>
    <mergeCell ref="F50:G50"/>
    <mergeCell ref="F49:G49"/>
    <mergeCell ref="D63:E63"/>
    <mergeCell ref="F63:G63"/>
    <mergeCell ref="H12:I12"/>
    <mergeCell ref="F12:G12"/>
    <mergeCell ref="D104:E104"/>
    <mergeCell ref="F104:G104"/>
    <mergeCell ref="D86:E86"/>
    <mergeCell ref="F86:G86"/>
    <mergeCell ref="F85:G85"/>
    <mergeCell ref="D85:E85"/>
    <mergeCell ref="B1:F1"/>
    <mergeCell ref="H1:I1"/>
    <mergeCell ref="D3:F3"/>
    <mergeCell ref="H3:I3"/>
    <mergeCell ref="D4:F4"/>
    <mergeCell ref="G4:H4"/>
    <mergeCell ref="I4:K4"/>
    <mergeCell ref="F15:G15"/>
    <mergeCell ref="H6:I6"/>
    <mergeCell ref="H7:I7"/>
    <mergeCell ref="H11:I11"/>
    <mergeCell ref="H14:I14"/>
    <mergeCell ref="A5:K5"/>
    <mergeCell ref="A13:I13"/>
    <mergeCell ref="D7:E7"/>
    <mergeCell ref="D11:E11"/>
    <mergeCell ref="D6:E6"/>
    <mergeCell ref="F6:G6"/>
    <mergeCell ref="D15:E15"/>
    <mergeCell ref="A14:B14"/>
    <mergeCell ref="D14:E14"/>
    <mergeCell ref="F14:G14"/>
    <mergeCell ref="D12:E12"/>
    <mergeCell ref="B18:B20"/>
    <mergeCell ref="D18:E18"/>
    <mergeCell ref="F18:G18"/>
    <mergeCell ref="D8:E8"/>
    <mergeCell ref="D9:E9"/>
    <mergeCell ref="D10:E10"/>
    <mergeCell ref="F8:G8"/>
    <mergeCell ref="F9:G9"/>
    <mergeCell ref="F10:G10"/>
    <mergeCell ref="A7:A12"/>
    <mergeCell ref="A113:I113"/>
    <mergeCell ref="D28:E28"/>
    <mergeCell ref="A22:B22"/>
    <mergeCell ref="D22:E22"/>
    <mergeCell ref="F22:G22"/>
    <mergeCell ref="H22:I22"/>
    <mergeCell ref="H19:I19"/>
    <mergeCell ref="A15:A20"/>
    <mergeCell ref="D20:E20"/>
    <mergeCell ref="F20:G20"/>
    <mergeCell ref="H20:I20"/>
    <mergeCell ref="F19:G19"/>
    <mergeCell ref="D19:E19"/>
    <mergeCell ref="F17:G17"/>
    <mergeCell ref="D17:E17"/>
    <mergeCell ref="F16:G16"/>
    <mergeCell ref="D16:E16"/>
    <mergeCell ref="H27:I27"/>
    <mergeCell ref="B15:B16"/>
    <mergeCell ref="A21:I21"/>
    <mergeCell ref="H18:I18"/>
    <mergeCell ref="A30:B30"/>
    <mergeCell ref="D30:E30"/>
    <mergeCell ref="F30:G30"/>
    <mergeCell ref="A114:I114"/>
    <mergeCell ref="H2:I2"/>
    <mergeCell ref="B2:F2"/>
    <mergeCell ref="F7:G7"/>
    <mergeCell ref="F11:G11"/>
    <mergeCell ref="A6:B6"/>
    <mergeCell ref="A41:A72"/>
    <mergeCell ref="A73:I73"/>
    <mergeCell ref="A93:I93"/>
    <mergeCell ref="A110:I110"/>
    <mergeCell ref="A111:I111"/>
    <mergeCell ref="A74:B74"/>
    <mergeCell ref="D74:E74"/>
    <mergeCell ref="F74:G74"/>
    <mergeCell ref="H74:I74"/>
    <mergeCell ref="A23:A25"/>
    <mergeCell ref="A26:I26"/>
    <mergeCell ref="A29:I29"/>
    <mergeCell ref="A36:I36"/>
    <mergeCell ref="A39:I39"/>
    <mergeCell ref="A27:B27"/>
    <mergeCell ref="D27:E27"/>
    <mergeCell ref="F27:G27"/>
    <mergeCell ref="F28:G28"/>
    <mergeCell ref="H30:I30"/>
    <mergeCell ref="D31:E31"/>
    <mergeCell ref="D32:E32"/>
    <mergeCell ref="D33:E33"/>
    <mergeCell ref="D34:E34"/>
    <mergeCell ref="F31:G31"/>
    <mergeCell ref="F32:G32"/>
    <mergeCell ref="F33:G33"/>
    <mergeCell ref="F34:G34"/>
    <mergeCell ref="F54:G54"/>
    <mergeCell ref="F41:G41"/>
    <mergeCell ref="F42:G42"/>
    <mergeCell ref="F43:G43"/>
    <mergeCell ref="F44:G44"/>
    <mergeCell ref="F46:G46"/>
    <mergeCell ref="F48:G48"/>
    <mergeCell ref="F52:G52"/>
    <mergeCell ref="A40:B40"/>
    <mergeCell ref="D40:E40"/>
    <mergeCell ref="F40:G40"/>
    <mergeCell ref="F38:G38"/>
    <mergeCell ref="H38:I38"/>
    <mergeCell ref="D41:E41"/>
    <mergeCell ref="D42:E42"/>
    <mergeCell ref="D43:E43"/>
    <mergeCell ref="D44:E44"/>
    <mergeCell ref="D46:E46"/>
    <mergeCell ref="D48:E48"/>
    <mergeCell ref="F53:G53"/>
    <mergeCell ref="H40:I40"/>
    <mergeCell ref="A112:H112"/>
    <mergeCell ref="F70:G70"/>
    <mergeCell ref="F69:G69"/>
    <mergeCell ref="F72:G72"/>
    <mergeCell ref="F71:G71"/>
    <mergeCell ref="D69:E69"/>
    <mergeCell ref="D71:E71"/>
    <mergeCell ref="D72:E72"/>
    <mergeCell ref="D81:E81"/>
    <mergeCell ref="D87:E87"/>
    <mergeCell ref="A94:B94"/>
    <mergeCell ref="D94:E94"/>
    <mergeCell ref="F94:G94"/>
    <mergeCell ref="H94:I94"/>
    <mergeCell ref="A95:A109"/>
    <mergeCell ref="D90:E90"/>
    <mergeCell ref="D91:E91"/>
    <mergeCell ref="D105:E105"/>
    <mergeCell ref="F105:G105"/>
    <mergeCell ref="D102:E102"/>
    <mergeCell ref="F102:G102"/>
    <mergeCell ref="F108:G108"/>
    <mergeCell ref="F109:G109"/>
    <mergeCell ref="D95:E95"/>
    <mergeCell ref="D96:E96"/>
    <mergeCell ref="D97:E97"/>
    <mergeCell ref="D98:E98"/>
    <mergeCell ref="D99:E99"/>
    <mergeCell ref="D100:E100"/>
    <mergeCell ref="D106:E106"/>
    <mergeCell ref="D107:E107"/>
    <mergeCell ref="D108:E108"/>
    <mergeCell ref="D109:E109"/>
    <mergeCell ref="F95:G95"/>
    <mergeCell ref="F96:G96"/>
    <mergeCell ref="F97:G97"/>
    <mergeCell ref="F98:G98"/>
    <mergeCell ref="F99:G99"/>
    <mergeCell ref="F100:G100"/>
    <mergeCell ref="F106:G106"/>
    <mergeCell ref="F107:G107"/>
    <mergeCell ref="D103:E103"/>
    <mergeCell ref="F103:G103"/>
    <mergeCell ref="D101:E101"/>
    <mergeCell ref="F101:G101"/>
    <mergeCell ref="F56:G56"/>
    <mergeCell ref="F57:G57"/>
    <mergeCell ref="F60:G60"/>
    <mergeCell ref="D77:E77"/>
    <mergeCell ref="F62:G62"/>
    <mergeCell ref="F64:G64"/>
    <mergeCell ref="F61:G61"/>
    <mergeCell ref="F75:G75"/>
    <mergeCell ref="F76:G76"/>
    <mergeCell ref="F67:G67"/>
    <mergeCell ref="F65:G65"/>
    <mergeCell ref="F66:G66"/>
    <mergeCell ref="D75:E75"/>
    <mergeCell ref="D76:E76"/>
    <mergeCell ref="D61:E61"/>
    <mergeCell ref="D62:E62"/>
    <mergeCell ref="D64:E64"/>
    <mergeCell ref="F91:G91"/>
    <mergeCell ref="F92:G92"/>
    <mergeCell ref="F79:G79"/>
    <mergeCell ref="D67:E67"/>
    <mergeCell ref="D70:E70"/>
    <mergeCell ref="D78:E78"/>
    <mergeCell ref="F78:G78"/>
    <mergeCell ref="D89:E89"/>
    <mergeCell ref="A87:A92"/>
    <mergeCell ref="D92:E92"/>
    <mergeCell ref="F90:G90"/>
    <mergeCell ref="F87:G87"/>
    <mergeCell ref="F88:G88"/>
    <mergeCell ref="F89:G89"/>
    <mergeCell ref="F77:G77"/>
    <mergeCell ref="F82:G82"/>
    <mergeCell ref="D88:E88"/>
    <mergeCell ref="F84:G84"/>
    <mergeCell ref="D83:E83"/>
    <mergeCell ref="D80:E80"/>
    <mergeCell ref="D82:E82"/>
    <mergeCell ref="D60:E60"/>
    <mergeCell ref="D65:E65"/>
    <mergeCell ref="D66:E66"/>
    <mergeCell ref="A75:A86"/>
    <mergeCell ref="H8:I8"/>
    <mergeCell ref="H9:I9"/>
    <mergeCell ref="H10:I10"/>
    <mergeCell ref="K75:K78"/>
    <mergeCell ref="K79:K82"/>
    <mergeCell ref="F80:G80"/>
    <mergeCell ref="F81:G81"/>
    <mergeCell ref="D84:E84"/>
    <mergeCell ref="D79:E79"/>
    <mergeCell ref="F83:G83"/>
    <mergeCell ref="D45:E45"/>
    <mergeCell ref="F45:G45"/>
    <mergeCell ref="D47:E47"/>
    <mergeCell ref="F47:G47"/>
    <mergeCell ref="D52:E52"/>
    <mergeCell ref="D53:E53"/>
    <mergeCell ref="D54:E54"/>
    <mergeCell ref="D55:E55"/>
    <mergeCell ref="F55:G55"/>
    <mergeCell ref="D56:E56"/>
    <mergeCell ref="D57:E57"/>
    <mergeCell ref="F35:G35"/>
    <mergeCell ref="H37:I37"/>
    <mergeCell ref="D38:E38"/>
  </mergeCells>
  <phoneticPr fontId="4" type="noConversion"/>
  <dataValidations count="9">
    <dataValidation type="list" allowBlank="1" showInputMessage="1" showErrorMessage="1" sqref="C23:C25" xr:uid="{CEFC2114-12BA-0645-9F70-9AA61287E784}">
      <formula1>"高级大床,高级双床,豪华大床,豪华双床,行政大床,行政双床,小套房,加床,加餐,WIFI,单人房差,其他"</formula1>
    </dataValidation>
    <dataValidation type="list" allowBlank="1" showInputMessage="1" showErrorMessage="1" sqref="C31:C35" xr:uid="{BC33F24D-9ADE-DF49-B5B2-96A644F3A165}">
      <formula1>"酒店早餐,自助午餐,围桌午餐,自助晚餐,围桌晚餐,鸡尾酒会,酒水,特色餐,其他"</formula1>
    </dataValidation>
    <dataValidation type="list" allowBlank="1" showInputMessage="1" showErrorMessage="1" sqref="C28" xr:uid="{63B06393-9A46-AA4B-B615-C3869CBC503B}">
      <formula1>"半日场租,全天场租,半天会议包价,全天会议包价,进场费,茶歇,投影仪,其他"</formula1>
    </dataValidation>
    <dataValidation type="list" allowBlank="1" showInputMessage="1" showErrorMessage="1" sqref="C38" xr:uid="{BA614D05-0051-5C49-A857-7E8566E59180}">
      <formula1>"签证服务费,旅游签证,商务签证,保险,其他"</formula1>
    </dataValidation>
    <dataValidation type="list" allowBlank="1" showInputMessage="1" showErrorMessage="1" sqref="C19:C20 C15:C17" xr:uid="{930D0D4D-4FD3-9046-A188-9F6F008B4149}">
      <formula1>"4座普通小车,4座豪华小车,7座普通商务车,7座豪华商务车,19-22座普通小巴,19-22座豪华小巴,15座普通商务车,15座豪华商务车,33座中巴,37座中巴,45座大巴,53座大巴,57座大巴,车辆超时费,其他"</formula1>
    </dataValidation>
    <dataValidation type="list" allowBlank="1" showInputMessage="1" showErrorMessage="1" sqref="C18" xr:uid="{8DCD4136-624D-8141-8CDB-701C62553852}">
      <formula1>"车辆超公里费,4座普通小车,4座豪华小车,7座普通商务车,7座豪华商务车,19-22座普通小巴,19-22座豪华小巴,15座普通商务车,15座豪华商务车,33座中巴,37座中巴,45座大巴,53座大巴,57座大巴,车辆超时费,其他"</formula1>
    </dataValidation>
    <dataValidation type="list" allowBlank="1" showInputMessage="1" showErrorMessage="1" sqref="C41:C72" xr:uid="{BA4C9149-A25C-8349-ABA5-4D421CA226B0}">
      <formula1>"工作人员,餐费,住宿,交通,通信费,导游超时费,其他,物料"</formula1>
    </dataValidation>
    <dataValidation type="list" allowBlank="1" showInputMessage="1" showErrorMessage="1" sqref="C75:C92" xr:uid="{E13AA5E6-3E93-B048-B91B-4CCAFB447F38}">
      <formula1>"工作人员,餐费,住宿,交通,通信费,导游超时费,其他"</formula1>
    </dataValidation>
    <dataValidation type="list" allowBlank="1" showInputMessage="1" showErrorMessage="1" sqref="C7:C12" xr:uid="{CF3D98A4-C0BE-BF41-A947-5D0DCA0637DD}">
      <formula1>"经济舱（境内）,经济舱（境外）,商务舱（境内）,商务舱（境外）,头等舱（境内）,头等舱（境外）,火车票,服务费,其他"</formula1>
    </dataValidation>
  </dataValidations>
  <hyperlinks>
    <hyperlink ref="D4" r:id="rId1" xr:uid="{BD020697-8927-FE45-B188-52E12B4E111B}"/>
  </hyperlinks>
  <pageMargins left="0.7" right="0.7" top="0.75" bottom="0.75" header="0.3" footer="0.3"/>
  <pageSetup paperSize="9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EC47FC-D96E-9C49-BBAA-3B26DF771481}">
  <dimension ref="A1:L27"/>
  <sheetViews>
    <sheetView workbookViewId="0">
      <selection activeCell="B17" sqref="B17"/>
    </sheetView>
  </sheetViews>
  <sheetFormatPr baseColWidth="10" defaultColWidth="11" defaultRowHeight="16"/>
  <cols>
    <col min="1" max="1" width="21.33203125" customWidth="1"/>
    <col min="2" max="2" width="32" customWidth="1"/>
    <col min="3" max="3" width="17.6640625" customWidth="1"/>
    <col min="4" max="5" width="11" bestFit="1" customWidth="1"/>
    <col min="6" max="6" width="14.83203125" customWidth="1"/>
    <col min="7" max="7" width="11" bestFit="1" customWidth="1"/>
    <col min="11" max="11" width="27.83203125" customWidth="1"/>
    <col min="12" max="12" width="20.83203125" customWidth="1"/>
  </cols>
  <sheetData>
    <row r="1" spans="1:12" ht="23" customHeight="1">
      <c r="A1" s="159" t="s">
        <v>311</v>
      </c>
      <c r="B1" s="159">
        <v>1</v>
      </c>
      <c r="C1" s="159">
        <v>6</v>
      </c>
      <c r="D1" s="159">
        <v>23</v>
      </c>
      <c r="E1" s="159">
        <v>58</v>
      </c>
      <c r="F1" s="160"/>
      <c r="G1" s="159">
        <v>88</v>
      </c>
      <c r="H1" s="161"/>
      <c r="I1" s="161"/>
    </row>
    <row r="2" spans="1:12" ht="36" customHeight="1">
      <c r="A2" s="159" t="s">
        <v>325</v>
      </c>
      <c r="B2" s="159" t="s">
        <v>321</v>
      </c>
      <c r="C2" s="159" t="s">
        <v>322</v>
      </c>
      <c r="D2" s="159" t="s">
        <v>323</v>
      </c>
      <c r="E2" s="159" t="s">
        <v>324</v>
      </c>
      <c r="F2" s="159" t="s">
        <v>326</v>
      </c>
      <c r="G2" s="159" t="s">
        <v>327</v>
      </c>
      <c r="H2" s="161"/>
      <c r="I2" s="161"/>
    </row>
    <row r="3" spans="1:12" ht="18">
      <c r="A3" s="163" t="s">
        <v>455</v>
      </c>
      <c r="B3" s="163">
        <v>628943</v>
      </c>
      <c r="C3" s="163">
        <v>1224200</v>
      </c>
      <c r="D3" s="163">
        <v>37934</v>
      </c>
      <c r="E3" s="163">
        <v>15000</v>
      </c>
      <c r="F3" s="163">
        <f>B3*$B$1+C3*$C$1+D3*$D$1+E3*$E$1</f>
        <v>9716625</v>
      </c>
      <c r="G3" s="164">
        <f t="shared" ref="G3:G12" si="0">F3/$F$14</f>
        <v>0.23496252533162806</v>
      </c>
      <c r="H3" s="161"/>
      <c r="I3" s="161"/>
    </row>
    <row r="4" spans="1:12" ht="18">
      <c r="A4" s="163" t="s">
        <v>312</v>
      </c>
      <c r="B4" s="163">
        <v>2968850</v>
      </c>
      <c r="C4" s="163">
        <v>868000</v>
      </c>
      <c r="D4" s="163">
        <v>21300</v>
      </c>
      <c r="E4" s="163">
        <v>15000</v>
      </c>
      <c r="F4" s="163">
        <f t="shared" ref="F4:F12" si="1">B4*$B$1+C4*$C$1+D4*$D$1+E4*$E$1</f>
        <v>9536750</v>
      </c>
      <c r="G4" s="164">
        <f t="shared" si="0"/>
        <v>0.2306128787985956</v>
      </c>
      <c r="H4" s="161"/>
      <c r="I4" s="161"/>
    </row>
    <row r="5" spans="1:12" ht="18">
      <c r="A5" s="163" t="s">
        <v>313</v>
      </c>
      <c r="B5" s="163">
        <v>1089800</v>
      </c>
      <c r="C5" s="163">
        <v>284000</v>
      </c>
      <c r="D5" s="163">
        <v>20300</v>
      </c>
      <c r="E5" s="163">
        <v>0</v>
      </c>
      <c r="F5" s="163">
        <f t="shared" si="1"/>
        <v>3260700</v>
      </c>
      <c r="G5" s="165">
        <f t="shared" si="0"/>
        <v>7.8848602920133237E-2</v>
      </c>
      <c r="H5" s="161"/>
      <c r="I5" s="161"/>
    </row>
    <row r="6" spans="1:12" ht="18">
      <c r="A6" s="163" t="s">
        <v>314</v>
      </c>
      <c r="B6" s="163">
        <v>841600</v>
      </c>
      <c r="C6" s="163">
        <v>60000</v>
      </c>
      <c r="D6" s="163">
        <v>53700</v>
      </c>
      <c r="E6" s="163">
        <v>0</v>
      </c>
      <c r="F6" s="163">
        <f t="shared" si="1"/>
        <v>2436700</v>
      </c>
      <c r="G6" s="164">
        <f t="shared" si="0"/>
        <v>5.8923050490842045E-2</v>
      </c>
      <c r="H6" s="161"/>
      <c r="I6" s="161"/>
    </row>
    <row r="7" spans="1:12" ht="18">
      <c r="A7" s="163" t="s">
        <v>315</v>
      </c>
      <c r="B7" s="163">
        <v>126496</v>
      </c>
      <c r="C7" s="163">
        <v>17500</v>
      </c>
      <c r="D7" s="163">
        <v>550</v>
      </c>
      <c r="E7" s="163">
        <v>0</v>
      </c>
      <c r="F7" s="163">
        <f t="shared" si="1"/>
        <v>244146</v>
      </c>
      <c r="G7" s="164">
        <f t="shared" si="0"/>
        <v>5.9038154410215133E-3</v>
      </c>
      <c r="H7" s="161"/>
      <c r="I7" s="161"/>
    </row>
    <row r="8" spans="1:12" ht="24" customHeight="1">
      <c r="A8" s="163" t="s">
        <v>316</v>
      </c>
      <c r="B8" s="163">
        <v>793400</v>
      </c>
      <c r="C8" s="163">
        <v>298714</v>
      </c>
      <c r="D8" s="163">
        <v>6880</v>
      </c>
      <c r="E8" s="163">
        <v>0</v>
      </c>
      <c r="F8" s="163">
        <f t="shared" si="1"/>
        <v>2743924</v>
      </c>
      <c r="G8" s="165">
        <f t="shared" si="0"/>
        <v>6.6352186315522338E-2</v>
      </c>
      <c r="H8" s="161"/>
      <c r="I8" s="161"/>
    </row>
    <row r="9" spans="1:12" ht="18">
      <c r="A9" s="163" t="s">
        <v>317</v>
      </c>
      <c r="B9" s="163">
        <v>892000</v>
      </c>
      <c r="C9" s="163">
        <v>279600</v>
      </c>
      <c r="D9" s="163">
        <v>0</v>
      </c>
      <c r="E9" s="163">
        <v>0</v>
      </c>
      <c r="F9" s="163">
        <f t="shared" si="1"/>
        <v>2569600</v>
      </c>
      <c r="G9" s="165">
        <f t="shared" si="0"/>
        <v>6.2136771264935248E-2</v>
      </c>
      <c r="H9" s="161"/>
      <c r="I9" s="161"/>
    </row>
    <row r="10" spans="1:12" ht="18">
      <c r="A10" s="163" t="s">
        <v>318</v>
      </c>
      <c r="B10" s="163">
        <v>618990</v>
      </c>
      <c r="C10" s="163">
        <v>16250</v>
      </c>
      <c r="D10" s="163">
        <v>5000</v>
      </c>
      <c r="E10" s="163">
        <v>0</v>
      </c>
      <c r="F10" s="163">
        <f t="shared" si="1"/>
        <v>831490</v>
      </c>
      <c r="G10" s="165">
        <f t="shared" si="0"/>
        <v>2.0106671831834139E-2</v>
      </c>
      <c r="H10" s="161"/>
      <c r="I10" s="161"/>
    </row>
    <row r="11" spans="1:12" ht="18">
      <c r="A11" s="163" t="s">
        <v>79</v>
      </c>
      <c r="B11" s="163">
        <v>184000</v>
      </c>
      <c r="C11" s="163">
        <v>125000</v>
      </c>
      <c r="D11" s="163">
        <v>10000</v>
      </c>
      <c r="E11" s="163">
        <v>0</v>
      </c>
      <c r="F11" s="163">
        <f t="shared" si="1"/>
        <v>1164000</v>
      </c>
      <c r="G11" s="164">
        <f t="shared" si="0"/>
        <v>2.8147260955940469E-2</v>
      </c>
      <c r="H11" s="161"/>
      <c r="I11" s="161"/>
    </row>
    <row r="12" spans="1:12" ht="18">
      <c r="A12" s="163" t="s">
        <v>412</v>
      </c>
      <c r="B12" s="163">
        <v>3000000</v>
      </c>
      <c r="C12" s="163">
        <v>400000</v>
      </c>
      <c r="D12" s="163">
        <v>150000</v>
      </c>
      <c r="E12" s="163">
        <v>0</v>
      </c>
      <c r="F12" s="163">
        <f t="shared" si="1"/>
        <v>8850000</v>
      </c>
      <c r="G12" s="164">
        <f t="shared" si="0"/>
        <v>0.21400623664954738</v>
      </c>
      <c r="H12" s="161"/>
      <c r="I12" s="161"/>
      <c r="J12" s="161"/>
      <c r="K12" s="161"/>
      <c r="L12" s="161"/>
    </row>
    <row r="13" spans="1:12" ht="18">
      <c r="A13" s="159" t="s">
        <v>457</v>
      </c>
      <c r="B13" s="163">
        <f>SUM(B3:B12)</f>
        <v>11144079</v>
      </c>
      <c r="C13" s="163">
        <f>SUM(C3:C12)</f>
        <v>3573264</v>
      </c>
      <c r="D13" s="163">
        <f>SUM(D3:D12)</f>
        <v>305664</v>
      </c>
      <c r="E13" s="163">
        <f>SUM(E3:E12)</f>
        <v>30000</v>
      </c>
      <c r="F13" s="163">
        <f>SUM(F3:F12)</f>
        <v>41353935</v>
      </c>
      <c r="G13" s="169"/>
      <c r="H13" s="161"/>
      <c r="I13" s="161"/>
      <c r="J13" s="161"/>
      <c r="K13" s="161"/>
      <c r="L13" s="161"/>
    </row>
    <row r="14" spans="1:12" ht="18">
      <c r="A14" s="159" t="s">
        <v>458</v>
      </c>
      <c r="B14" s="163">
        <f>SUM(B3:B12)*B1</f>
        <v>11144079</v>
      </c>
      <c r="C14" s="163">
        <f>SUM(C3:C12)*C1</f>
        <v>21439584</v>
      </c>
      <c r="D14" s="163">
        <f>SUM(D3:D12)*D1</f>
        <v>7030272</v>
      </c>
      <c r="E14" s="163">
        <f>SUM(E3:E12)*E1</f>
        <v>1740000</v>
      </c>
      <c r="F14" s="163">
        <f>SUM(B14:E14)</f>
        <v>41353935</v>
      </c>
      <c r="G14" s="162">
        <f>F14/$F$14</f>
        <v>1</v>
      </c>
      <c r="H14" s="161"/>
      <c r="I14" s="161"/>
      <c r="J14" s="161"/>
      <c r="K14" s="161"/>
      <c r="L14" s="161"/>
    </row>
    <row r="17" spans="1:5" ht="49" customHeight="1">
      <c r="A17" s="166" t="s">
        <v>453</v>
      </c>
      <c r="B17" s="170" t="s">
        <v>460</v>
      </c>
      <c r="C17" s="171">
        <f>SUM(G12,G11,G7,G6,G4,G3)</f>
        <v>0.77255576766757517</v>
      </c>
    </row>
    <row r="18" spans="1:5" ht="18">
      <c r="A18" s="284"/>
      <c r="B18" s="163" t="s">
        <v>455</v>
      </c>
      <c r="C18" s="162">
        <v>0.23496252533162806</v>
      </c>
    </row>
    <row r="19" spans="1:5" ht="18">
      <c r="A19" s="285"/>
      <c r="B19" s="163" t="s">
        <v>312</v>
      </c>
      <c r="C19" s="162">
        <v>0.2306128787985956</v>
      </c>
    </row>
    <row r="20" spans="1:5" ht="18">
      <c r="A20" s="285"/>
      <c r="B20" s="163" t="s">
        <v>412</v>
      </c>
      <c r="C20" s="162">
        <v>0.21400623664954738</v>
      </c>
    </row>
    <row r="21" spans="1:5" ht="18">
      <c r="A21" s="285"/>
      <c r="B21" s="163" t="s">
        <v>314</v>
      </c>
      <c r="C21" s="162">
        <v>5.8923050490842045E-2</v>
      </c>
    </row>
    <row r="22" spans="1:5" ht="18">
      <c r="A22" s="285"/>
      <c r="B22" s="163" t="s">
        <v>79</v>
      </c>
      <c r="C22" s="162">
        <v>2.8147260955940469E-2</v>
      </c>
    </row>
    <row r="23" spans="1:5" ht="18">
      <c r="A23" s="285"/>
      <c r="B23" s="163" t="s">
        <v>315</v>
      </c>
      <c r="C23" s="162">
        <v>5.9038154410215133E-3</v>
      </c>
    </row>
    <row r="24" spans="1:5" ht="38">
      <c r="A24" s="167" t="s">
        <v>454</v>
      </c>
      <c r="B24" s="173" t="s">
        <v>459</v>
      </c>
      <c r="C24" s="172">
        <f>1-C17</f>
        <v>0.22744423233242483</v>
      </c>
      <c r="D24" s="61"/>
      <c r="E24" s="148"/>
    </row>
    <row r="25" spans="1:5" ht="18">
      <c r="A25" s="286"/>
      <c r="B25" s="163" t="s">
        <v>425</v>
      </c>
      <c r="C25" s="162">
        <v>0.12848895758045759</v>
      </c>
      <c r="D25" s="61"/>
      <c r="E25" s="148"/>
    </row>
    <row r="26" spans="1:5" ht="18">
      <c r="A26" s="287"/>
      <c r="B26" s="163" t="s">
        <v>427</v>
      </c>
      <c r="C26" s="162">
        <v>7.8848602920133237E-2</v>
      </c>
      <c r="D26" s="61"/>
      <c r="E26" s="148"/>
    </row>
    <row r="27" spans="1:5" ht="18">
      <c r="A27" s="288"/>
      <c r="B27" s="163" t="s">
        <v>426</v>
      </c>
      <c r="C27" s="162">
        <v>2.0106671831834139E-2</v>
      </c>
      <c r="D27" s="61"/>
    </row>
  </sheetData>
  <mergeCells count="2">
    <mergeCell ref="A18:A23"/>
    <mergeCell ref="A25:A27"/>
  </mergeCells>
  <phoneticPr fontId="4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6F7298-E360-8C48-AB7A-1540FA6B74C4}">
  <dimension ref="A1:I54"/>
  <sheetViews>
    <sheetView workbookViewId="0">
      <selection activeCell="A28" sqref="A28:H29"/>
    </sheetView>
  </sheetViews>
  <sheetFormatPr baseColWidth="10" defaultColWidth="11" defaultRowHeight="16"/>
  <cols>
    <col min="2" max="2" width="20" customWidth="1"/>
    <col min="3" max="3" width="18.5" customWidth="1"/>
    <col min="8" max="8" width="38.6640625" customWidth="1"/>
  </cols>
  <sheetData>
    <row r="1" spans="1:9">
      <c r="A1" s="215" t="s">
        <v>337</v>
      </c>
      <c r="B1" s="216"/>
      <c r="C1" s="127" t="s">
        <v>413</v>
      </c>
      <c r="D1" s="217" t="s">
        <v>3</v>
      </c>
      <c r="E1" s="218"/>
      <c r="F1" s="217" t="s">
        <v>339</v>
      </c>
      <c r="G1" s="218"/>
      <c r="H1" s="290" t="s">
        <v>423</v>
      </c>
      <c r="I1" s="291"/>
    </row>
    <row r="2" spans="1:9">
      <c r="A2" s="292" t="s">
        <v>263</v>
      </c>
      <c r="B2" s="293" t="s">
        <v>353</v>
      </c>
      <c r="C2" s="103" t="s">
        <v>342</v>
      </c>
      <c r="D2" s="294">
        <v>1</v>
      </c>
      <c r="E2" s="294"/>
      <c r="F2" s="245" t="s">
        <v>361</v>
      </c>
      <c r="G2" s="245"/>
    </row>
    <row r="3" spans="1:9">
      <c r="A3" s="292"/>
      <c r="B3" s="293"/>
      <c r="C3" s="92" t="s">
        <v>343</v>
      </c>
      <c r="D3" s="294">
        <v>1</v>
      </c>
      <c r="E3" s="294"/>
      <c r="F3" s="245" t="s">
        <v>355</v>
      </c>
      <c r="G3" s="245"/>
    </row>
    <row r="4" spans="1:9">
      <c r="A4" s="292"/>
      <c r="B4" s="293"/>
      <c r="C4" s="92" t="s">
        <v>265</v>
      </c>
      <c r="D4" s="294">
        <v>1070</v>
      </c>
      <c r="E4" s="294"/>
      <c r="F4" s="245" t="s">
        <v>355</v>
      </c>
      <c r="G4" s="245"/>
    </row>
    <row r="5" spans="1:9">
      <c r="A5" s="292"/>
      <c r="B5" s="293"/>
      <c r="C5" s="92" t="s">
        <v>344</v>
      </c>
      <c r="D5" s="294">
        <v>1</v>
      </c>
      <c r="E5" s="294"/>
      <c r="F5" s="245" t="s">
        <v>355</v>
      </c>
      <c r="G5" s="245"/>
    </row>
    <row r="6" spans="1:9">
      <c r="A6" s="292"/>
      <c r="B6" s="293"/>
      <c r="C6" s="92" t="s">
        <v>272</v>
      </c>
      <c r="D6" s="294">
        <v>1</v>
      </c>
      <c r="E6" s="294"/>
      <c r="F6" s="245" t="s">
        <v>355</v>
      </c>
      <c r="G6" s="245"/>
    </row>
    <row r="7" spans="1:9">
      <c r="A7" s="292"/>
      <c r="B7" s="293"/>
      <c r="C7" s="92" t="s">
        <v>345</v>
      </c>
      <c r="D7" s="294">
        <v>1</v>
      </c>
      <c r="E7" s="294"/>
      <c r="F7" s="245" t="s">
        <v>355</v>
      </c>
      <c r="G7" s="245"/>
    </row>
    <row r="8" spans="1:9">
      <c r="A8" s="292"/>
      <c r="B8" s="293"/>
      <c r="C8" s="92" t="s">
        <v>346</v>
      </c>
      <c r="D8" s="294">
        <v>2</v>
      </c>
      <c r="E8" s="294"/>
      <c r="F8" s="245" t="s">
        <v>355</v>
      </c>
      <c r="G8" s="245"/>
    </row>
    <row r="9" spans="1:9">
      <c r="A9" s="292"/>
      <c r="B9" s="293"/>
      <c r="C9" s="92" t="s">
        <v>347</v>
      </c>
      <c r="D9" s="294">
        <v>1</v>
      </c>
      <c r="E9" s="294"/>
      <c r="F9" s="245" t="s">
        <v>355</v>
      </c>
      <c r="G9" s="245"/>
    </row>
    <row r="10" spans="1:9">
      <c r="A10" s="292"/>
      <c r="B10" s="293"/>
      <c r="C10" s="92" t="s">
        <v>348</v>
      </c>
      <c r="D10" s="294">
        <v>1</v>
      </c>
      <c r="E10" s="294"/>
      <c r="F10" s="245" t="s">
        <v>355</v>
      </c>
      <c r="G10" s="245"/>
    </row>
    <row r="11" spans="1:9">
      <c r="A11" s="292"/>
      <c r="B11" s="293"/>
      <c r="C11" s="92" t="s">
        <v>349</v>
      </c>
      <c r="D11" s="294">
        <v>1</v>
      </c>
      <c r="E11" s="294"/>
      <c r="F11" s="245" t="s">
        <v>355</v>
      </c>
      <c r="G11" s="245"/>
    </row>
    <row r="12" spans="1:9">
      <c r="A12" s="292"/>
      <c r="B12" s="293"/>
      <c r="C12" s="92" t="s">
        <v>350</v>
      </c>
      <c r="D12" s="294">
        <v>1</v>
      </c>
      <c r="E12" s="294"/>
      <c r="F12" s="245" t="s">
        <v>355</v>
      </c>
      <c r="G12" s="245"/>
    </row>
    <row r="13" spans="1:9">
      <c r="A13" s="292"/>
      <c r="B13" s="293"/>
      <c r="C13" s="92" t="s">
        <v>351</v>
      </c>
      <c r="D13" s="294">
        <v>1</v>
      </c>
      <c r="E13" s="294"/>
      <c r="F13" s="245" t="s">
        <v>355</v>
      </c>
      <c r="G13" s="245"/>
    </row>
    <row r="14" spans="1:9">
      <c r="A14" s="292"/>
      <c r="B14" s="293"/>
      <c r="C14" s="92" t="s">
        <v>352</v>
      </c>
      <c r="D14" s="294">
        <v>1</v>
      </c>
      <c r="E14" s="294"/>
      <c r="F14" s="245" t="s">
        <v>355</v>
      </c>
      <c r="G14" s="245"/>
    </row>
    <row r="15" spans="1:9">
      <c r="A15" s="292"/>
      <c r="B15" s="293" t="s">
        <v>354</v>
      </c>
      <c r="C15" s="103" t="s">
        <v>342</v>
      </c>
      <c r="D15" s="294">
        <v>1</v>
      </c>
      <c r="E15" s="294"/>
      <c r="F15" s="245" t="s">
        <v>356</v>
      </c>
      <c r="G15" s="245"/>
    </row>
    <row r="16" spans="1:9">
      <c r="A16" s="292"/>
      <c r="B16" s="293"/>
      <c r="C16" s="92" t="s">
        <v>343</v>
      </c>
      <c r="D16" s="294">
        <v>1</v>
      </c>
      <c r="E16" s="294"/>
      <c r="F16" s="245" t="s">
        <v>356</v>
      </c>
      <c r="G16" s="245"/>
    </row>
    <row r="17" spans="1:7">
      <c r="A17" s="292"/>
      <c r="B17" s="293"/>
      <c r="C17" s="92" t="s">
        <v>265</v>
      </c>
      <c r="D17" s="294">
        <v>747</v>
      </c>
      <c r="E17" s="294"/>
      <c r="F17" s="245" t="s">
        <v>356</v>
      </c>
      <c r="G17" s="245"/>
    </row>
    <row r="18" spans="1:7">
      <c r="A18" s="292"/>
      <c r="B18" s="293"/>
      <c r="C18" s="92" t="s">
        <v>344</v>
      </c>
      <c r="D18" s="294">
        <v>12</v>
      </c>
      <c r="E18" s="294"/>
      <c r="F18" s="245" t="s">
        <v>356</v>
      </c>
      <c r="G18" s="245"/>
    </row>
    <row r="19" spans="1:7">
      <c r="A19" s="292"/>
      <c r="B19" s="293"/>
      <c r="C19" s="92" t="s">
        <v>272</v>
      </c>
      <c r="D19" s="294">
        <v>24</v>
      </c>
      <c r="E19" s="294"/>
      <c r="F19" s="245" t="s">
        <v>356</v>
      </c>
      <c r="G19" s="245"/>
    </row>
    <row r="20" spans="1:7">
      <c r="A20" s="292"/>
      <c r="B20" s="293"/>
      <c r="C20" s="92" t="s">
        <v>345</v>
      </c>
      <c r="D20" s="294">
        <v>1</v>
      </c>
      <c r="E20" s="294"/>
      <c r="F20" s="245" t="s">
        <v>356</v>
      </c>
      <c r="G20" s="245"/>
    </row>
    <row r="21" spans="1:7">
      <c r="A21" s="292"/>
      <c r="B21" s="293"/>
      <c r="C21" s="92" t="s">
        <v>346</v>
      </c>
      <c r="D21" s="294">
        <v>42</v>
      </c>
      <c r="E21" s="294"/>
      <c r="F21" s="245" t="s">
        <v>356</v>
      </c>
      <c r="G21" s="245"/>
    </row>
    <row r="22" spans="1:7">
      <c r="A22" s="292"/>
      <c r="B22" s="293"/>
      <c r="C22" s="92" t="s">
        <v>347</v>
      </c>
      <c r="D22" s="294">
        <v>1</v>
      </c>
      <c r="E22" s="294"/>
      <c r="F22" s="245" t="s">
        <v>356</v>
      </c>
      <c r="G22" s="245"/>
    </row>
    <row r="23" spans="1:7">
      <c r="A23" s="292"/>
      <c r="B23" s="293"/>
      <c r="C23" s="92" t="s">
        <v>348</v>
      </c>
      <c r="D23" s="294">
        <v>1</v>
      </c>
      <c r="E23" s="294"/>
      <c r="F23" s="245" t="s">
        <v>356</v>
      </c>
      <c r="G23" s="245"/>
    </row>
    <row r="24" spans="1:7">
      <c r="A24" s="292"/>
      <c r="B24" s="293"/>
      <c r="C24" s="92" t="s">
        <v>349</v>
      </c>
      <c r="D24" s="294">
        <v>1</v>
      </c>
      <c r="E24" s="294"/>
      <c r="F24" s="245" t="s">
        <v>356</v>
      </c>
      <c r="G24" s="245"/>
    </row>
    <row r="25" spans="1:7">
      <c r="A25" s="292"/>
      <c r="B25" s="293"/>
      <c r="C25" s="92" t="s">
        <v>350</v>
      </c>
      <c r="D25" s="294">
        <v>1</v>
      </c>
      <c r="E25" s="294"/>
      <c r="F25" s="245" t="s">
        <v>356</v>
      </c>
      <c r="G25" s="245"/>
    </row>
    <row r="26" spans="1:7">
      <c r="A26" s="292"/>
      <c r="B26" s="293"/>
      <c r="C26" s="92" t="s">
        <v>351</v>
      </c>
      <c r="D26" s="294">
        <v>1</v>
      </c>
      <c r="E26" s="294"/>
      <c r="F26" s="245" t="s">
        <v>356</v>
      </c>
      <c r="G26" s="245"/>
    </row>
    <row r="27" spans="1:7">
      <c r="A27" s="292"/>
      <c r="B27" s="293"/>
      <c r="C27" s="92" t="s">
        <v>352</v>
      </c>
      <c r="D27" s="294">
        <v>1</v>
      </c>
      <c r="E27" s="294"/>
      <c r="F27" s="245" t="s">
        <v>356</v>
      </c>
      <c r="G27" s="245"/>
    </row>
    <row r="28" spans="1:7">
      <c r="A28" s="292"/>
      <c r="B28" s="293" t="s">
        <v>362</v>
      </c>
      <c r="C28" s="92" t="s">
        <v>341</v>
      </c>
      <c r="D28" s="294">
        <v>80000</v>
      </c>
      <c r="E28" s="294"/>
      <c r="F28" s="245" t="s">
        <v>335</v>
      </c>
      <c r="G28" s="245"/>
    </row>
    <row r="29" spans="1:7">
      <c r="A29" s="292"/>
      <c r="B29" s="293"/>
      <c r="C29" s="92" t="s">
        <v>296</v>
      </c>
      <c r="D29" s="294">
        <v>132400</v>
      </c>
      <c r="E29" s="294"/>
      <c r="F29" s="245" t="s">
        <v>335</v>
      </c>
      <c r="G29" s="245"/>
    </row>
    <row r="30" spans="1:7">
      <c r="A30" s="289"/>
      <c r="B30" s="289"/>
      <c r="C30" s="289"/>
      <c r="D30" s="289"/>
      <c r="E30" s="289"/>
      <c r="F30" s="289"/>
      <c r="G30" s="289"/>
    </row>
    <row r="31" spans="1:7">
      <c r="A31" s="208" t="s">
        <v>299</v>
      </c>
      <c r="B31" s="104" t="s">
        <v>386</v>
      </c>
      <c r="C31" s="103" t="s">
        <v>299</v>
      </c>
      <c r="D31" s="206">
        <v>147</v>
      </c>
      <c r="E31" s="207"/>
      <c r="F31" s="206" t="s">
        <v>336</v>
      </c>
      <c r="G31" s="207"/>
    </row>
    <row r="32" spans="1:7">
      <c r="A32" s="209"/>
      <c r="B32" s="104" t="s">
        <v>387</v>
      </c>
      <c r="C32" s="103" t="s">
        <v>299</v>
      </c>
      <c r="D32" s="206">
        <v>669</v>
      </c>
      <c r="E32" s="207"/>
      <c r="F32" s="206" t="s">
        <v>336</v>
      </c>
      <c r="G32" s="207"/>
    </row>
    <row r="33" spans="1:7">
      <c r="A33" s="209"/>
      <c r="B33" s="104" t="s">
        <v>388</v>
      </c>
      <c r="C33" s="103" t="s">
        <v>299</v>
      </c>
      <c r="D33" s="206">
        <v>800</v>
      </c>
      <c r="E33" s="207"/>
      <c r="F33" s="206" t="s">
        <v>336</v>
      </c>
      <c r="G33" s="207"/>
    </row>
    <row r="34" spans="1:7">
      <c r="A34" s="209"/>
      <c r="B34" s="104" t="s">
        <v>382</v>
      </c>
      <c r="C34" s="103" t="s">
        <v>299</v>
      </c>
      <c r="D34" s="206">
        <v>240</v>
      </c>
      <c r="E34" s="207"/>
      <c r="F34" s="206" t="s">
        <v>336</v>
      </c>
      <c r="G34" s="207"/>
    </row>
    <row r="35" spans="1:7">
      <c r="A35" s="209"/>
      <c r="B35" s="104" t="s">
        <v>383</v>
      </c>
      <c r="C35" s="103" t="s">
        <v>299</v>
      </c>
      <c r="D35" s="206">
        <v>200</v>
      </c>
      <c r="E35" s="207"/>
      <c r="F35" s="206" t="s">
        <v>336</v>
      </c>
      <c r="G35" s="207"/>
    </row>
    <row r="36" spans="1:7">
      <c r="A36" s="209"/>
      <c r="B36" s="104" t="s">
        <v>396</v>
      </c>
      <c r="C36" s="103" t="s">
        <v>299</v>
      </c>
      <c r="D36" s="206">
        <v>30</v>
      </c>
      <c r="E36" s="207"/>
      <c r="F36" s="206" t="s">
        <v>336</v>
      </c>
      <c r="G36" s="207"/>
    </row>
    <row r="37" spans="1:7">
      <c r="A37" s="209"/>
      <c r="B37" s="104" t="s">
        <v>397</v>
      </c>
      <c r="C37" s="103" t="s">
        <v>299</v>
      </c>
      <c r="D37" s="206">
        <v>52</v>
      </c>
      <c r="E37" s="207"/>
      <c r="F37" s="206" t="s">
        <v>336</v>
      </c>
      <c r="G37" s="207"/>
    </row>
    <row r="38" spans="1:7">
      <c r="A38" s="209"/>
      <c r="B38" s="104" t="s">
        <v>398</v>
      </c>
      <c r="C38" s="103" t="s">
        <v>299</v>
      </c>
      <c r="D38" s="206">
        <v>11</v>
      </c>
      <c r="E38" s="207"/>
      <c r="F38" s="206" t="s">
        <v>336</v>
      </c>
      <c r="G38" s="207"/>
    </row>
    <row r="39" spans="1:7">
      <c r="A39" s="209"/>
      <c r="B39" s="104" t="s">
        <v>399</v>
      </c>
      <c r="C39" s="103" t="s">
        <v>299</v>
      </c>
      <c r="D39" s="206">
        <v>441</v>
      </c>
      <c r="E39" s="207"/>
      <c r="F39" s="206" t="s">
        <v>336</v>
      </c>
      <c r="G39" s="207"/>
    </row>
    <row r="40" spans="1:7">
      <c r="A40" s="209"/>
      <c r="B40" s="104" t="s">
        <v>392</v>
      </c>
      <c r="C40" s="103" t="s">
        <v>299</v>
      </c>
      <c r="D40" s="206">
        <v>22</v>
      </c>
      <c r="E40" s="207"/>
      <c r="F40" s="206" t="s">
        <v>336</v>
      </c>
      <c r="G40" s="207"/>
    </row>
    <row r="41" spans="1:7">
      <c r="A41" s="209"/>
      <c r="B41" s="104" t="s">
        <v>393</v>
      </c>
      <c r="C41" s="103" t="s">
        <v>299</v>
      </c>
      <c r="D41" s="206">
        <v>30</v>
      </c>
      <c r="E41" s="207"/>
      <c r="F41" s="206" t="s">
        <v>336</v>
      </c>
      <c r="G41" s="207"/>
    </row>
    <row r="42" spans="1:7">
      <c r="A42" s="209"/>
      <c r="B42" s="104" t="s">
        <v>394</v>
      </c>
      <c r="C42" s="103" t="s">
        <v>299</v>
      </c>
      <c r="D42" s="206">
        <v>7</v>
      </c>
      <c r="E42" s="207"/>
      <c r="F42" s="206" t="s">
        <v>336</v>
      </c>
      <c r="G42" s="207"/>
    </row>
    <row r="43" spans="1:7">
      <c r="A43" s="209"/>
      <c r="B43" s="104" t="s">
        <v>395</v>
      </c>
      <c r="C43" s="103" t="s">
        <v>299</v>
      </c>
      <c r="D43" s="206">
        <v>423</v>
      </c>
      <c r="E43" s="207"/>
      <c r="F43" s="206" t="s">
        <v>336</v>
      </c>
      <c r="G43" s="207"/>
    </row>
    <row r="44" spans="1:7">
      <c r="A44" s="209"/>
      <c r="B44" s="104" t="s">
        <v>400</v>
      </c>
      <c r="C44" s="103" t="s">
        <v>299</v>
      </c>
      <c r="D44" s="206">
        <v>58</v>
      </c>
      <c r="E44" s="207"/>
      <c r="F44" s="206" t="s">
        <v>336</v>
      </c>
      <c r="G44" s="207"/>
    </row>
    <row r="45" spans="1:7">
      <c r="A45" s="209"/>
      <c r="B45" s="104" t="s">
        <v>401</v>
      </c>
      <c r="C45" s="103" t="s">
        <v>299</v>
      </c>
      <c r="D45" s="206">
        <v>92</v>
      </c>
      <c r="E45" s="207"/>
      <c r="F45" s="206" t="s">
        <v>336</v>
      </c>
      <c r="G45" s="207"/>
    </row>
    <row r="46" spans="1:7">
      <c r="A46" s="209"/>
      <c r="B46" s="104" t="s">
        <v>402</v>
      </c>
      <c r="C46" s="103" t="s">
        <v>299</v>
      </c>
      <c r="D46" s="206">
        <v>21</v>
      </c>
      <c r="E46" s="207"/>
      <c r="F46" s="206" t="s">
        <v>336</v>
      </c>
      <c r="G46" s="207"/>
    </row>
    <row r="47" spans="1:7">
      <c r="A47" s="209"/>
      <c r="B47" s="104" t="s">
        <v>403</v>
      </c>
      <c r="C47" s="103" t="s">
        <v>299</v>
      </c>
      <c r="D47" s="206">
        <v>1014</v>
      </c>
      <c r="E47" s="207"/>
      <c r="F47" s="206" t="s">
        <v>336</v>
      </c>
      <c r="G47" s="207"/>
    </row>
    <row r="48" spans="1:7">
      <c r="A48" s="210"/>
      <c r="B48" s="104" t="s">
        <v>404</v>
      </c>
      <c r="C48" s="103" t="s">
        <v>299</v>
      </c>
      <c r="D48" s="206">
        <v>437</v>
      </c>
      <c r="E48" s="207"/>
      <c r="F48" s="206" t="s">
        <v>336</v>
      </c>
      <c r="G48" s="207"/>
    </row>
    <row r="49" spans="1:7">
      <c r="A49" s="211" t="s">
        <v>408</v>
      </c>
      <c r="B49" s="104" t="s">
        <v>384</v>
      </c>
      <c r="C49" s="103" t="s">
        <v>296</v>
      </c>
      <c r="D49" s="206">
        <v>2680</v>
      </c>
      <c r="E49" s="207"/>
      <c r="F49" s="206" t="s">
        <v>336</v>
      </c>
      <c r="G49" s="207"/>
    </row>
    <row r="50" spans="1:7">
      <c r="A50" s="211"/>
      <c r="B50" s="104" t="s">
        <v>389</v>
      </c>
      <c r="C50" s="103" t="s">
        <v>296</v>
      </c>
      <c r="D50" s="206">
        <v>184</v>
      </c>
      <c r="E50" s="207"/>
      <c r="F50" s="206" t="s">
        <v>336</v>
      </c>
      <c r="G50" s="207"/>
    </row>
    <row r="51" spans="1:7">
      <c r="A51" s="211"/>
      <c r="B51" s="104" t="s">
        <v>385</v>
      </c>
      <c r="C51" s="103" t="s">
        <v>296</v>
      </c>
      <c r="D51" s="206">
        <v>306</v>
      </c>
      <c r="E51" s="207"/>
      <c r="F51" s="206" t="s">
        <v>336</v>
      </c>
      <c r="G51" s="207"/>
    </row>
    <row r="52" spans="1:7">
      <c r="A52" s="211"/>
      <c r="B52" s="104" t="s">
        <v>405</v>
      </c>
      <c r="C52" s="103" t="s">
        <v>296</v>
      </c>
      <c r="D52" s="206">
        <v>2496</v>
      </c>
      <c r="E52" s="207"/>
      <c r="F52" s="206" t="s">
        <v>336</v>
      </c>
      <c r="G52" s="207"/>
    </row>
    <row r="53" spans="1:7">
      <c r="A53" s="211"/>
      <c r="B53" s="104" t="s">
        <v>406</v>
      </c>
      <c r="C53" s="103" t="s">
        <v>296</v>
      </c>
      <c r="D53" s="206">
        <v>2180</v>
      </c>
      <c r="E53" s="207"/>
      <c r="F53" s="206" t="s">
        <v>336</v>
      </c>
      <c r="G53" s="207"/>
    </row>
    <row r="54" spans="1:7">
      <c r="A54" s="211"/>
      <c r="B54" s="104" t="s">
        <v>407</v>
      </c>
      <c r="C54" s="103" t="s">
        <v>296</v>
      </c>
      <c r="D54" s="206">
        <v>140</v>
      </c>
      <c r="E54" s="207"/>
      <c r="F54" s="206" t="s">
        <v>336</v>
      </c>
      <c r="G54" s="207"/>
    </row>
  </sheetData>
  <mergeCells count="115">
    <mergeCell ref="D5:E5"/>
    <mergeCell ref="F5:G5"/>
    <mergeCell ref="D6:E6"/>
    <mergeCell ref="F6:G6"/>
    <mergeCell ref="D7:E7"/>
    <mergeCell ref="F7:G7"/>
    <mergeCell ref="D1:E1"/>
    <mergeCell ref="F1:G1"/>
    <mergeCell ref="D2:E2"/>
    <mergeCell ref="F2:G2"/>
    <mergeCell ref="D3:E3"/>
    <mergeCell ref="F3:G3"/>
    <mergeCell ref="D4:E4"/>
    <mergeCell ref="F4:G4"/>
    <mergeCell ref="D11:E11"/>
    <mergeCell ref="F11:G11"/>
    <mergeCell ref="D12:E12"/>
    <mergeCell ref="F12:G12"/>
    <mergeCell ref="D13:E13"/>
    <mergeCell ref="F13:G13"/>
    <mergeCell ref="D8:E8"/>
    <mergeCell ref="F8:G8"/>
    <mergeCell ref="D9:E9"/>
    <mergeCell ref="F9:G9"/>
    <mergeCell ref="D10:E10"/>
    <mergeCell ref="F10:G10"/>
    <mergeCell ref="F20:G20"/>
    <mergeCell ref="D21:E21"/>
    <mergeCell ref="F21:G21"/>
    <mergeCell ref="D14:E14"/>
    <mergeCell ref="F14:G14"/>
    <mergeCell ref="D15:E15"/>
    <mergeCell ref="F15:G15"/>
    <mergeCell ref="D16:E16"/>
    <mergeCell ref="F16:G16"/>
    <mergeCell ref="D17:E17"/>
    <mergeCell ref="F17:G17"/>
    <mergeCell ref="D18:E18"/>
    <mergeCell ref="A1:B1"/>
    <mergeCell ref="A2:A29"/>
    <mergeCell ref="B2:B14"/>
    <mergeCell ref="B15:B27"/>
    <mergeCell ref="B28:B29"/>
    <mergeCell ref="D29:E29"/>
    <mergeCell ref="D25:E25"/>
    <mergeCell ref="F25:G25"/>
    <mergeCell ref="D26:E26"/>
    <mergeCell ref="F26:G26"/>
    <mergeCell ref="D27:E27"/>
    <mergeCell ref="F27:G27"/>
    <mergeCell ref="D28:E28"/>
    <mergeCell ref="F28:G28"/>
    <mergeCell ref="D22:E22"/>
    <mergeCell ref="F22:G22"/>
    <mergeCell ref="D23:E23"/>
    <mergeCell ref="F23:G23"/>
    <mergeCell ref="D24:E24"/>
    <mergeCell ref="F24:G24"/>
    <mergeCell ref="F18:G18"/>
    <mergeCell ref="D19:E19"/>
    <mergeCell ref="F19:G19"/>
    <mergeCell ref="D20:E20"/>
    <mergeCell ref="D34:E34"/>
    <mergeCell ref="F34:G34"/>
    <mergeCell ref="F46:G46"/>
    <mergeCell ref="D41:E41"/>
    <mergeCell ref="F41:G41"/>
    <mergeCell ref="D42:E42"/>
    <mergeCell ref="F42:G42"/>
    <mergeCell ref="D43:E43"/>
    <mergeCell ref="F43:G43"/>
    <mergeCell ref="D38:E38"/>
    <mergeCell ref="F38:G38"/>
    <mergeCell ref="D39:E39"/>
    <mergeCell ref="F39:G39"/>
    <mergeCell ref="D40:E40"/>
    <mergeCell ref="F40:G40"/>
    <mergeCell ref="A30:G30"/>
    <mergeCell ref="H1:I1"/>
    <mergeCell ref="F51:G51"/>
    <mergeCell ref="D52:E52"/>
    <mergeCell ref="F52:G52"/>
    <mergeCell ref="D44:E44"/>
    <mergeCell ref="F44:G44"/>
    <mergeCell ref="D45:E45"/>
    <mergeCell ref="F45:G45"/>
    <mergeCell ref="D46:E46"/>
    <mergeCell ref="D35:E35"/>
    <mergeCell ref="F35:G35"/>
    <mergeCell ref="D36:E36"/>
    <mergeCell ref="F36:G36"/>
    <mergeCell ref="D37:E37"/>
    <mergeCell ref="F37:G37"/>
    <mergeCell ref="F29:G29"/>
    <mergeCell ref="A31:A48"/>
    <mergeCell ref="D31:E31"/>
    <mergeCell ref="F31:G31"/>
    <mergeCell ref="D32:E32"/>
    <mergeCell ref="F32:G32"/>
    <mergeCell ref="D33:E33"/>
    <mergeCell ref="F33:G33"/>
    <mergeCell ref="D53:E53"/>
    <mergeCell ref="F53:G53"/>
    <mergeCell ref="D54:E54"/>
    <mergeCell ref="F54:G54"/>
    <mergeCell ref="D47:E47"/>
    <mergeCell ref="F47:G47"/>
    <mergeCell ref="D48:E48"/>
    <mergeCell ref="F48:G48"/>
    <mergeCell ref="A49:A54"/>
    <mergeCell ref="D49:E49"/>
    <mergeCell ref="F49:G49"/>
    <mergeCell ref="D50:E50"/>
    <mergeCell ref="F50:G50"/>
    <mergeCell ref="D51:E51"/>
  </mergeCells>
  <phoneticPr fontId="4" type="noConversion"/>
  <dataValidations count="2">
    <dataValidation type="list" allowBlank="1" showInputMessage="1" showErrorMessage="1" sqref="C2:C29" xr:uid="{1B7D672E-49E4-C744-9F11-0A9C39A45595}">
      <formula1>"4座普通小车,4座豪华小车,7座普通商务车,7座豪华商务车,19-22座普通小巴,19-22座豪华小巴,15座普通商务车,15座豪华商务车,33座中巴,37座中巴,45座大巴,53座大巴,57座大巴,车辆超时费,其他"</formula1>
    </dataValidation>
    <dataValidation type="list" allowBlank="1" showInputMessage="1" showErrorMessage="1" sqref="C31:C54" xr:uid="{3ED374BB-1237-FE45-8273-17861F813528}">
      <formula1>"工作人员,餐费,住宿,交通,通信费,导游超时费,其他"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51126A-987C-724E-B39A-16D900865F02}">
  <dimension ref="A1:F41"/>
  <sheetViews>
    <sheetView workbookViewId="0">
      <selection activeCell="A28" sqref="A28:H29"/>
    </sheetView>
  </sheetViews>
  <sheetFormatPr baseColWidth="10" defaultColWidth="11" defaultRowHeight="16"/>
  <cols>
    <col min="2" max="2" width="48" customWidth="1"/>
    <col min="3" max="3" width="6.83203125" customWidth="1"/>
    <col min="4" max="4" width="6.33203125" customWidth="1"/>
    <col min="5" max="5" width="21" customWidth="1"/>
    <col min="6" max="6" width="35.6640625" customWidth="1"/>
  </cols>
  <sheetData>
    <row r="1" spans="1:6">
      <c r="A1" s="83" t="s">
        <v>337</v>
      </c>
      <c r="B1" s="83" t="s">
        <v>415</v>
      </c>
      <c r="C1" s="84" t="s">
        <v>3</v>
      </c>
      <c r="D1" s="84" t="s">
        <v>414</v>
      </c>
      <c r="E1" s="84" t="s">
        <v>319</v>
      </c>
      <c r="F1" s="147" t="s">
        <v>424</v>
      </c>
    </row>
    <row r="2" spans="1:6">
      <c r="A2" s="145">
        <v>1</v>
      </c>
      <c r="B2" s="145" t="s">
        <v>176</v>
      </c>
      <c r="C2" s="145">
        <v>18</v>
      </c>
      <c r="D2" s="145">
        <v>1</v>
      </c>
      <c r="E2" s="146"/>
    </row>
    <row r="3" spans="1:6">
      <c r="A3" s="145">
        <v>2</v>
      </c>
      <c r="B3" s="145" t="s">
        <v>177</v>
      </c>
      <c r="C3" s="145">
        <v>284</v>
      </c>
      <c r="D3" s="145">
        <v>1</v>
      </c>
      <c r="E3" s="146"/>
    </row>
    <row r="4" spans="1:6">
      <c r="A4" s="145">
        <v>3</v>
      </c>
      <c r="B4" s="145" t="s">
        <v>178</v>
      </c>
      <c r="C4" s="145">
        <v>1</v>
      </c>
      <c r="D4" s="145">
        <v>1</v>
      </c>
      <c r="E4" s="146"/>
    </row>
    <row r="5" spans="1:6">
      <c r="A5" s="145">
        <v>4</v>
      </c>
      <c r="B5" s="145" t="s">
        <v>74</v>
      </c>
      <c r="C5" s="145">
        <v>76</v>
      </c>
      <c r="D5" s="145">
        <v>1</v>
      </c>
      <c r="E5" s="146"/>
    </row>
    <row r="6" spans="1:6">
      <c r="A6" s="145">
        <v>5</v>
      </c>
      <c r="B6" s="145" t="s">
        <v>416</v>
      </c>
      <c r="C6" s="145">
        <v>2</v>
      </c>
      <c r="D6" s="145">
        <v>6</v>
      </c>
      <c r="E6" s="146"/>
    </row>
    <row r="7" spans="1:6">
      <c r="A7" s="145">
        <v>6</v>
      </c>
      <c r="B7" s="145" t="s">
        <v>417</v>
      </c>
      <c r="C7" s="145">
        <v>2</v>
      </c>
      <c r="D7" s="145">
        <v>1</v>
      </c>
      <c r="E7" s="146"/>
    </row>
    <row r="8" spans="1:6">
      <c r="A8" s="145">
        <v>7</v>
      </c>
      <c r="B8" s="145" t="s">
        <v>418</v>
      </c>
      <c r="C8" s="145">
        <v>32</v>
      </c>
      <c r="D8" s="145">
        <v>8.5</v>
      </c>
      <c r="E8" s="146"/>
    </row>
    <row r="9" spans="1:6">
      <c r="A9" s="145">
        <v>8</v>
      </c>
      <c r="B9" s="145" t="s">
        <v>419</v>
      </c>
      <c r="C9" s="145">
        <v>32</v>
      </c>
      <c r="D9" s="145">
        <v>1</v>
      </c>
      <c r="E9" s="146"/>
    </row>
    <row r="10" spans="1:6">
      <c r="A10" s="145">
        <v>9</v>
      </c>
      <c r="B10" s="145" t="s">
        <v>420</v>
      </c>
      <c r="C10" s="145">
        <v>40</v>
      </c>
      <c r="D10" s="145">
        <v>1</v>
      </c>
      <c r="E10" s="146"/>
    </row>
    <row r="11" spans="1:6">
      <c r="A11" s="145">
        <v>10</v>
      </c>
      <c r="B11" s="145" t="s">
        <v>421</v>
      </c>
      <c r="C11" s="145">
        <v>15</v>
      </c>
      <c r="D11" s="145">
        <v>1</v>
      </c>
      <c r="E11" s="146"/>
    </row>
    <row r="12" spans="1:6">
      <c r="A12" s="145">
        <v>11</v>
      </c>
      <c r="B12" s="145" t="s">
        <v>419</v>
      </c>
      <c r="C12" s="145">
        <v>40</v>
      </c>
      <c r="D12" s="145">
        <v>1</v>
      </c>
      <c r="E12" s="146"/>
    </row>
    <row r="13" spans="1:6">
      <c r="A13" s="145">
        <v>12</v>
      </c>
      <c r="B13" s="145" t="s">
        <v>422</v>
      </c>
      <c r="C13" s="145">
        <v>10</v>
      </c>
      <c r="D13" s="145">
        <v>1</v>
      </c>
      <c r="E13" s="146"/>
    </row>
    <row r="14" spans="1:6">
      <c r="A14" s="145">
        <v>13</v>
      </c>
      <c r="B14" s="145" t="s">
        <v>189</v>
      </c>
      <c r="C14" s="145">
        <v>10</v>
      </c>
      <c r="D14" s="145">
        <v>2</v>
      </c>
      <c r="E14" s="146"/>
    </row>
    <row r="15" spans="1:6">
      <c r="A15" s="145">
        <v>14</v>
      </c>
      <c r="B15" s="145" t="s">
        <v>191</v>
      </c>
      <c r="C15" s="145">
        <v>8</v>
      </c>
      <c r="D15" s="145">
        <v>2</v>
      </c>
      <c r="E15" s="146"/>
    </row>
    <row r="16" spans="1:6">
      <c r="A16" s="145">
        <v>15</v>
      </c>
      <c r="B16" s="145" t="s">
        <v>193</v>
      </c>
      <c r="C16" s="145">
        <v>5</v>
      </c>
      <c r="D16" s="145">
        <v>2</v>
      </c>
      <c r="E16" s="146"/>
    </row>
    <row r="17" spans="1:5">
      <c r="A17" s="145">
        <v>16</v>
      </c>
      <c r="B17" s="145" t="s">
        <v>195</v>
      </c>
      <c r="C17" s="145">
        <v>1</v>
      </c>
      <c r="D17" s="145">
        <v>2</v>
      </c>
      <c r="E17" s="146"/>
    </row>
    <row r="18" spans="1:5">
      <c r="A18" s="145">
        <v>17</v>
      </c>
      <c r="B18" s="145" t="s">
        <v>197</v>
      </c>
      <c r="C18" s="145">
        <v>429</v>
      </c>
      <c r="D18" s="145">
        <v>14</v>
      </c>
      <c r="E18" s="146"/>
    </row>
    <row r="19" spans="1:5">
      <c r="A19" s="145">
        <v>18</v>
      </c>
      <c r="B19" s="145" t="s">
        <v>199</v>
      </c>
      <c r="C19" s="145">
        <v>429</v>
      </c>
      <c r="D19" s="145">
        <v>1</v>
      </c>
      <c r="E19" s="146"/>
    </row>
    <row r="20" spans="1:5">
      <c r="A20" s="145">
        <v>19</v>
      </c>
      <c r="B20" s="145" t="s">
        <v>200</v>
      </c>
      <c r="C20" s="145">
        <v>429</v>
      </c>
      <c r="D20" s="145">
        <v>1</v>
      </c>
      <c r="E20" s="146"/>
    </row>
    <row r="21" spans="1:5">
      <c r="A21" s="145">
        <v>20</v>
      </c>
      <c r="B21" s="145" t="s">
        <v>201</v>
      </c>
      <c r="C21" s="145">
        <v>284</v>
      </c>
      <c r="D21" s="145">
        <v>1</v>
      </c>
      <c r="E21" s="146"/>
    </row>
    <row r="22" spans="1:5">
      <c r="A22" s="145">
        <v>21</v>
      </c>
      <c r="B22" s="145" t="s">
        <v>202</v>
      </c>
      <c r="C22" s="145">
        <v>429</v>
      </c>
      <c r="D22" s="145">
        <v>1</v>
      </c>
      <c r="E22" s="146"/>
    </row>
    <row r="23" spans="1:5">
      <c r="A23" s="145">
        <v>22</v>
      </c>
      <c r="B23" s="145" t="s">
        <v>203</v>
      </c>
      <c r="C23" s="145">
        <v>284</v>
      </c>
      <c r="D23" s="145">
        <v>1</v>
      </c>
      <c r="E23" s="146"/>
    </row>
    <row r="24" spans="1:5">
      <c r="A24" s="145">
        <v>23</v>
      </c>
      <c r="B24" s="145" t="s">
        <v>204</v>
      </c>
      <c r="C24" s="145">
        <v>284</v>
      </c>
      <c r="D24" s="145">
        <v>1</v>
      </c>
      <c r="E24" s="146"/>
    </row>
    <row r="25" spans="1:5">
      <c r="A25" s="145">
        <v>24</v>
      </c>
      <c r="B25" s="145" t="s">
        <v>205</v>
      </c>
      <c r="C25" s="145">
        <v>284</v>
      </c>
      <c r="D25" s="145">
        <v>1</v>
      </c>
      <c r="E25" s="146"/>
    </row>
    <row r="26" spans="1:5">
      <c r="A26" s="145">
        <v>25</v>
      </c>
      <c r="B26" s="145" t="s">
        <v>206</v>
      </c>
      <c r="C26" s="145">
        <v>284</v>
      </c>
      <c r="D26" s="145">
        <v>1</v>
      </c>
      <c r="E26" s="146"/>
    </row>
    <row r="27" spans="1:5">
      <c r="A27" s="145">
        <v>26</v>
      </c>
      <c r="B27" s="145" t="s">
        <v>207</v>
      </c>
      <c r="C27" s="145">
        <v>0</v>
      </c>
      <c r="D27" s="145">
        <v>1</v>
      </c>
      <c r="E27" s="146"/>
    </row>
    <row r="28" spans="1:5">
      <c r="A28" s="145">
        <v>27</v>
      </c>
      <c r="B28" s="145" t="s">
        <v>208</v>
      </c>
      <c r="C28" s="145">
        <v>1000</v>
      </c>
      <c r="D28" s="145">
        <v>5</v>
      </c>
      <c r="E28" s="146"/>
    </row>
    <row r="29" spans="1:5">
      <c r="A29" s="145">
        <v>28</v>
      </c>
      <c r="B29" s="145" t="s">
        <v>210</v>
      </c>
      <c r="C29" s="145">
        <v>200</v>
      </c>
      <c r="D29" s="145">
        <v>1</v>
      </c>
      <c r="E29" s="146"/>
    </row>
    <row r="30" spans="1:5">
      <c r="A30" s="145">
        <v>29</v>
      </c>
      <c r="B30" s="145" t="s">
        <v>212</v>
      </c>
      <c r="C30" s="145">
        <v>4</v>
      </c>
      <c r="D30" s="145">
        <v>1</v>
      </c>
      <c r="E30" s="146"/>
    </row>
    <row r="31" spans="1:5">
      <c r="A31" s="145">
        <v>30</v>
      </c>
      <c r="B31" s="145" t="s">
        <v>78</v>
      </c>
      <c r="C31" s="145">
        <v>1</v>
      </c>
      <c r="D31" s="145">
        <v>1</v>
      </c>
      <c r="E31" s="146"/>
    </row>
    <row r="32" spans="1:5">
      <c r="A32" s="145">
        <v>31</v>
      </c>
      <c r="B32" s="145" t="s">
        <v>214</v>
      </c>
      <c r="C32" s="145">
        <v>1</v>
      </c>
      <c r="D32" s="145">
        <v>1</v>
      </c>
      <c r="E32" s="146"/>
    </row>
    <row r="33" spans="1:5">
      <c r="A33" s="145">
        <v>32</v>
      </c>
      <c r="B33" s="145" t="s">
        <v>227</v>
      </c>
      <c r="C33" s="145">
        <v>1</v>
      </c>
      <c r="D33" s="145">
        <v>1</v>
      </c>
      <c r="E33" s="123"/>
    </row>
    <row r="34" spans="1:5">
      <c r="A34" s="145">
        <v>33</v>
      </c>
      <c r="B34" s="145" t="s">
        <v>228</v>
      </c>
      <c r="C34" s="145">
        <v>1</v>
      </c>
      <c r="D34" s="145">
        <v>1</v>
      </c>
      <c r="E34" s="123"/>
    </row>
    <row r="35" spans="1:5">
      <c r="A35" s="145">
        <v>34</v>
      </c>
      <c r="B35" s="145" t="s">
        <v>216</v>
      </c>
      <c r="C35" s="123"/>
      <c r="D35" s="123"/>
      <c r="E35" s="123"/>
    </row>
    <row r="36" spans="1:5">
      <c r="A36" s="145">
        <v>35</v>
      </c>
      <c r="B36" s="145" t="s">
        <v>217</v>
      </c>
      <c r="C36" s="123"/>
      <c r="D36" s="123"/>
      <c r="E36" s="123"/>
    </row>
    <row r="37" spans="1:5">
      <c r="A37" s="145">
        <v>36</v>
      </c>
      <c r="B37" s="145" t="s">
        <v>218</v>
      </c>
      <c r="C37" s="123"/>
      <c r="D37" s="123"/>
      <c r="E37" s="123"/>
    </row>
    <row r="38" spans="1:5">
      <c r="A38" s="145">
        <v>37</v>
      </c>
      <c r="B38" s="145" t="s">
        <v>219</v>
      </c>
      <c r="C38" s="123"/>
      <c r="D38" s="123"/>
      <c r="E38" s="123"/>
    </row>
    <row r="39" spans="1:5">
      <c r="A39" s="145">
        <v>38</v>
      </c>
      <c r="B39" s="145" t="s">
        <v>220</v>
      </c>
      <c r="C39" s="123"/>
      <c r="D39" s="123"/>
      <c r="E39" s="123"/>
    </row>
    <row r="40" spans="1:5">
      <c r="A40" s="145">
        <v>39</v>
      </c>
      <c r="B40" s="145" t="s">
        <v>222</v>
      </c>
      <c r="C40" s="123"/>
      <c r="D40" s="123"/>
      <c r="E40" s="123"/>
    </row>
    <row r="41" spans="1:5">
      <c r="A41" s="145">
        <v>40</v>
      </c>
      <c r="B41" s="145" t="s">
        <v>224</v>
      </c>
      <c r="C41" s="123"/>
      <c r="D41" s="123"/>
      <c r="E41" s="123"/>
    </row>
  </sheetData>
  <autoFilter ref="A1:D32" xr:uid="{1851126A-987C-724E-B39A-16D900865F02}"/>
  <phoneticPr fontId="4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EB88A8-512C-4544-8AB6-2A860D74D693}">
  <dimension ref="A1:I31"/>
  <sheetViews>
    <sheetView workbookViewId="0">
      <selection activeCell="A28" sqref="A28:H29"/>
    </sheetView>
  </sheetViews>
  <sheetFormatPr baseColWidth="10" defaultColWidth="11" defaultRowHeight="16"/>
  <cols>
    <col min="1" max="2" width="13.83203125" customWidth="1"/>
    <col min="7" max="8" width="18.83203125" customWidth="1"/>
    <col min="9" max="9" width="44" customWidth="1"/>
  </cols>
  <sheetData>
    <row r="1" spans="1:9">
      <c r="A1" s="168" t="s">
        <v>456</v>
      </c>
      <c r="B1" s="168"/>
      <c r="C1" s="168" t="s">
        <v>321</v>
      </c>
      <c r="D1" s="168" t="s">
        <v>322</v>
      </c>
      <c r="E1" s="168" t="s">
        <v>323</v>
      </c>
      <c r="F1" s="168" t="s">
        <v>324</v>
      </c>
    </row>
    <row r="2" spans="1:9">
      <c r="A2" s="124" t="s">
        <v>311</v>
      </c>
      <c r="B2" s="124" t="s">
        <v>367</v>
      </c>
      <c r="C2" s="124">
        <v>1</v>
      </c>
      <c r="D2" s="124">
        <v>6</v>
      </c>
      <c r="E2" s="124">
        <v>23</v>
      </c>
      <c r="F2" s="124">
        <v>58</v>
      </c>
      <c r="G2" s="124" t="s">
        <v>320</v>
      </c>
      <c r="H2" s="124" t="s">
        <v>462</v>
      </c>
      <c r="I2" s="124" t="s">
        <v>313</v>
      </c>
    </row>
    <row r="3" spans="1:9">
      <c r="A3" s="293" t="s">
        <v>353</v>
      </c>
      <c r="B3" s="103" t="s">
        <v>342</v>
      </c>
      <c r="C3" s="122">
        <v>1</v>
      </c>
      <c r="D3" s="123"/>
      <c r="E3" s="123"/>
      <c r="F3" s="123"/>
      <c r="G3" s="122">
        <f>C3*$C$2+D3*$D$2+E3*$E$2+F3*$F$2</f>
        <v>1</v>
      </c>
      <c r="H3" s="122">
        <f>ROUND(G3,1)</f>
        <v>1</v>
      </c>
      <c r="I3" s="123"/>
    </row>
    <row r="4" spans="1:9">
      <c r="A4" s="293"/>
      <c r="B4" s="92" t="s">
        <v>343</v>
      </c>
      <c r="C4" s="122">
        <v>1</v>
      </c>
      <c r="D4" s="123"/>
      <c r="E4" s="123"/>
      <c r="F4" s="123"/>
      <c r="G4" s="122">
        <f t="shared" ref="G4:G31" si="0">C4*$C$2+D4*$D$2+E4*$E$2+F4*$F$2</f>
        <v>1</v>
      </c>
      <c r="H4" s="122">
        <f t="shared" ref="H4:H30" si="1">ROUND(G4,1)</f>
        <v>1</v>
      </c>
      <c r="I4" s="123"/>
    </row>
    <row r="5" spans="1:9">
      <c r="A5" s="293"/>
      <c r="B5" s="92" t="s">
        <v>265</v>
      </c>
      <c r="C5" s="122">
        <v>396</v>
      </c>
      <c r="D5" s="122">
        <v>28</v>
      </c>
      <c r="E5" s="122">
        <v>22</v>
      </c>
      <c r="F5" s="123"/>
      <c r="G5" s="122">
        <f t="shared" si="0"/>
        <v>1070</v>
      </c>
      <c r="H5" s="122">
        <v>1100</v>
      </c>
      <c r="I5" s="122" t="s">
        <v>366</v>
      </c>
    </row>
    <row r="6" spans="1:9">
      <c r="A6" s="293"/>
      <c r="B6" s="92" t="s">
        <v>344</v>
      </c>
      <c r="C6" s="122">
        <v>1</v>
      </c>
      <c r="D6" s="123"/>
      <c r="E6" s="123"/>
      <c r="F6" s="123"/>
      <c r="G6" s="122">
        <f t="shared" si="0"/>
        <v>1</v>
      </c>
      <c r="H6" s="122">
        <f t="shared" si="1"/>
        <v>1</v>
      </c>
      <c r="I6" s="122" t="s">
        <v>357</v>
      </c>
    </row>
    <row r="7" spans="1:9">
      <c r="A7" s="293"/>
      <c r="B7" s="92" t="s">
        <v>272</v>
      </c>
      <c r="C7" s="122">
        <v>1</v>
      </c>
      <c r="D7" s="123"/>
      <c r="E7" s="123"/>
      <c r="F7" s="123"/>
      <c r="G7" s="122">
        <f t="shared" si="0"/>
        <v>1</v>
      </c>
      <c r="H7" s="122">
        <f t="shared" si="1"/>
        <v>1</v>
      </c>
      <c r="I7" s="122"/>
    </row>
    <row r="8" spans="1:9">
      <c r="A8" s="293"/>
      <c r="B8" s="92" t="s">
        <v>345</v>
      </c>
      <c r="C8" s="122">
        <v>1</v>
      </c>
      <c r="D8" s="123"/>
      <c r="E8" s="123"/>
      <c r="F8" s="123"/>
      <c r="G8" s="122">
        <f t="shared" si="0"/>
        <v>1</v>
      </c>
      <c r="H8" s="122">
        <f t="shared" si="1"/>
        <v>1</v>
      </c>
      <c r="I8" s="122"/>
    </row>
    <row r="9" spans="1:9">
      <c r="A9" s="293"/>
      <c r="B9" s="92" t="s">
        <v>346</v>
      </c>
      <c r="C9" s="122">
        <v>2</v>
      </c>
      <c r="D9" s="123"/>
      <c r="E9" s="123"/>
      <c r="F9" s="123"/>
      <c r="G9" s="122">
        <f t="shared" si="0"/>
        <v>2</v>
      </c>
      <c r="H9" s="122">
        <f t="shared" si="1"/>
        <v>2</v>
      </c>
      <c r="I9" s="122" t="s">
        <v>358</v>
      </c>
    </row>
    <row r="10" spans="1:9">
      <c r="A10" s="293"/>
      <c r="B10" s="92" t="s">
        <v>347</v>
      </c>
      <c r="C10" s="122">
        <v>1</v>
      </c>
      <c r="D10" s="123"/>
      <c r="E10" s="123"/>
      <c r="F10" s="123"/>
      <c r="G10" s="122">
        <f t="shared" si="0"/>
        <v>1</v>
      </c>
      <c r="H10" s="122">
        <f t="shared" si="1"/>
        <v>1</v>
      </c>
      <c r="I10" s="122"/>
    </row>
    <row r="11" spans="1:9">
      <c r="A11" s="293"/>
      <c r="B11" s="92" t="s">
        <v>348</v>
      </c>
      <c r="C11" s="122">
        <v>1</v>
      </c>
      <c r="D11" s="122"/>
      <c r="E11" s="123"/>
      <c r="F11" s="123"/>
      <c r="G11" s="122">
        <f t="shared" si="0"/>
        <v>1</v>
      </c>
      <c r="H11" s="122">
        <f t="shared" si="1"/>
        <v>1</v>
      </c>
      <c r="I11" s="122"/>
    </row>
    <row r="12" spans="1:9">
      <c r="A12" s="293"/>
      <c r="B12" s="92" t="s">
        <v>349</v>
      </c>
      <c r="C12" s="122">
        <v>1</v>
      </c>
      <c r="D12" s="123"/>
      <c r="E12" s="123"/>
      <c r="F12" s="123"/>
      <c r="G12" s="122">
        <f t="shared" si="0"/>
        <v>1</v>
      </c>
      <c r="H12" s="122">
        <f t="shared" si="1"/>
        <v>1</v>
      </c>
      <c r="I12" s="122"/>
    </row>
    <row r="13" spans="1:9">
      <c r="A13" s="293"/>
      <c r="B13" s="92" t="s">
        <v>350</v>
      </c>
      <c r="C13" s="122">
        <v>1</v>
      </c>
      <c r="D13" s="123"/>
      <c r="E13" s="123"/>
      <c r="F13" s="123"/>
      <c r="G13" s="122">
        <f t="shared" si="0"/>
        <v>1</v>
      </c>
      <c r="H13" s="122">
        <f t="shared" si="1"/>
        <v>1</v>
      </c>
      <c r="I13" s="122"/>
    </row>
    <row r="14" spans="1:9">
      <c r="A14" s="293"/>
      <c r="B14" s="92" t="s">
        <v>351</v>
      </c>
      <c r="C14" s="122">
        <v>1</v>
      </c>
      <c r="D14" s="123"/>
      <c r="E14" s="123"/>
      <c r="F14" s="123"/>
      <c r="G14" s="122">
        <f t="shared" si="0"/>
        <v>1</v>
      </c>
      <c r="H14" s="122">
        <f t="shared" si="1"/>
        <v>1</v>
      </c>
      <c r="I14" s="122"/>
    </row>
    <row r="15" spans="1:9">
      <c r="A15" s="293"/>
      <c r="B15" s="92" t="s">
        <v>352</v>
      </c>
      <c r="C15" s="122">
        <v>1</v>
      </c>
      <c r="D15" s="123"/>
      <c r="E15" s="123"/>
      <c r="F15" s="123"/>
      <c r="G15" s="122">
        <f t="shared" si="0"/>
        <v>1</v>
      </c>
      <c r="H15" s="122">
        <f t="shared" si="1"/>
        <v>1</v>
      </c>
      <c r="I15" s="122"/>
    </row>
    <row r="16" spans="1:9">
      <c r="A16" s="293"/>
      <c r="B16" s="92" t="s">
        <v>341</v>
      </c>
      <c r="C16" s="122">
        <v>1</v>
      </c>
      <c r="D16" s="123"/>
      <c r="E16" s="123"/>
      <c r="F16" s="123"/>
      <c r="G16" s="122">
        <f t="shared" si="0"/>
        <v>1</v>
      </c>
      <c r="H16" s="122">
        <f t="shared" si="1"/>
        <v>1</v>
      </c>
      <c r="I16" s="122"/>
    </row>
    <row r="17" spans="1:9">
      <c r="A17" s="293" t="s">
        <v>354</v>
      </c>
      <c r="B17" s="103" t="s">
        <v>342</v>
      </c>
      <c r="C17" s="122">
        <v>1</v>
      </c>
      <c r="D17" s="123"/>
      <c r="E17" s="123"/>
      <c r="F17" s="123"/>
      <c r="G17" s="122">
        <f t="shared" si="0"/>
        <v>1</v>
      </c>
      <c r="H17" s="122">
        <f t="shared" si="1"/>
        <v>1</v>
      </c>
      <c r="I17" s="123"/>
    </row>
    <row r="18" spans="1:9">
      <c r="A18" s="293"/>
      <c r="B18" s="92" t="s">
        <v>343</v>
      </c>
      <c r="C18" s="122">
        <v>1</v>
      </c>
      <c r="D18" s="123"/>
      <c r="E18" s="123"/>
      <c r="F18" s="123"/>
      <c r="G18" s="122">
        <f t="shared" si="0"/>
        <v>1</v>
      </c>
      <c r="H18" s="122">
        <f t="shared" si="1"/>
        <v>1</v>
      </c>
      <c r="I18" s="123"/>
    </row>
    <row r="19" spans="1:9">
      <c r="A19" s="293"/>
      <c r="B19" s="92" t="s">
        <v>265</v>
      </c>
      <c r="C19" s="122">
        <v>344</v>
      </c>
      <c r="D19" s="122">
        <v>48</v>
      </c>
      <c r="E19" s="122">
        <v>5</v>
      </c>
      <c r="F19" s="123"/>
      <c r="G19" s="122">
        <f t="shared" si="0"/>
        <v>747</v>
      </c>
      <c r="H19" s="122">
        <v>750</v>
      </c>
      <c r="I19" s="122" t="s">
        <v>359</v>
      </c>
    </row>
    <row r="20" spans="1:9">
      <c r="A20" s="293"/>
      <c r="B20" s="92" t="s">
        <v>344</v>
      </c>
      <c r="C20" s="122">
        <v>12</v>
      </c>
      <c r="D20" s="123"/>
      <c r="E20" s="123"/>
      <c r="F20" s="123"/>
      <c r="G20" s="122">
        <f t="shared" si="0"/>
        <v>12</v>
      </c>
      <c r="H20" s="122">
        <v>20</v>
      </c>
      <c r="I20" s="122" t="s">
        <v>357</v>
      </c>
    </row>
    <row r="21" spans="1:9">
      <c r="A21" s="293"/>
      <c r="B21" s="92" t="s">
        <v>272</v>
      </c>
      <c r="C21" s="122">
        <v>1</v>
      </c>
      <c r="D21" s="123"/>
      <c r="E21" s="122">
        <v>1</v>
      </c>
      <c r="F21" s="123"/>
      <c r="G21" s="122">
        <f t="shared" si="0"/>
        <v>24</v>
      </c>
      <c r="H21" s="122">
        <v>30</v>
      </c>
      <c r="I21" s="122"/>
    </row>
    <row r="22" spans="1:9">
      <c r="A22" s="293"/>
      <c r="B22" s="92" t="s">
        <v>345</v>
      </c>
      <c r="C22" s="122">
        <v>1</v>
      </c>
      <c r="D22" s="123"/>
      <c r="E22" s="123"/>
      <c r="F22" s="123"/>
      <c r="G22" s="122">
        <f t="shared" si="0"/>
        <v>1</v>
      </c>
      <c r="H22" s="122">
        <f t="shared" si="1"/>
        <v>1</v>
      </c>
      <c r="I22" s="122"/>
    </row>
    <row r="23" spans="1:9">
      <c r="A23" s="293"/>
      <c r="B23" s="92" t="s">
        <v>346</v>
      </c>
      <c r="C23" s="122">
        <v>42</v>
      </c>
      <c r="D23" s="123"/>
      <c r="E23" s="123"/>
      <c r="F23" s="123"/>
      <c r="G23" s="122">
        <f t="shared" si="0"/>
        <v>42</v>
      </c>
      <c r="H23" s="122">
        <v>50</v>
      </c>
      <c r="I23" s="122" t="s">
        <v>358</v>
      </c>
    </row>
    <row r="24" spans="1:9">
      <c r="A24" s="293"/>
      <c r="B24" s="92" t="s">
        <v>347</v>
      </c>
      <c r="C24" s="122">
        <v>1</v>
      </c>
      <c r="D24" s="123"/>
      <c r="E24" s="123"/>
      <c r="F24" s="123"/>
      <c r="G24" s="122">
        <f t="shared" si="0"/>
        <v>1</v>
      </c>
      <c r="H24" s="122">
        <f t="shared" si="1"/>
        <v>1</v>
      </c>
      <c r="I24" s="122"/>
    </row>
    <row r="25" spans="1:9">
      <c r="A25" s="293"/>
      <c r="B25" s="92" t="s">
        <v>348</v>
      </c>
      <c r="C25" s="122">
        <v>1</v>
      </c>
      <c r="D25" s="123"/>
      <c r="E25" s="123"/>
      <c r="F25" s="123"/>
      <c r="G25" s="122">
        <f t="shared" si="0"/>
        <v>1</v>
      </c>
      <c r="H25" s="122">
        <f t="shared" si="1"/>
        <v>1</v>
      </c>
      <c r="I25" s="122"/>
    </row>
    <row r="26" spans="1:9">
      <c r="A26" s="293"/>
      <c r="B26" s="92" t="s">
        <v>349</v>
      </c>
      <c r="C26" s="122">
        <v>1</v>
      </c>
      <c r="D26" s="123"/>
      <c r="E26" s="123"/>
      <c r="F26" s="123"/>
      <c r="G26" s="122">
        <f t="shared" si="0"/>
        <v>1</v>
      </c>
      <c r="H26" s="122">
        <f t="shared" si="1"/>
        <v>1</v>
      </c>
      <c r="I26" s="122"/>
    </row>
    <row r="27" spans="1:9">
      <c r="A27" s="293"/>
      <c r="B27" s="92" t="s">
        <v>350</v>
      </c>
      <c r="C27" s="122">
        <v>1</v>
      </c>
      <c r="D27" s="123"/>
      <c r="E27" s="123"/>
      <c r="F27" s="123"/>
      <c r="G27" s="122">
        <f t="shared" si="0"/>
        <v>1</v>
      </c>
      <c r="H27" s="122">
        <f t="shared" si="1"/>
        <v>1</v>
      </c>
      <c r="I27" s="122"/>
    </row>
    <row r="28" spans="1:9">
      <c r="A28" s="293"/>
      <c r="B28" s="92" t="s">
        <v>351</v>
      </c>
      <c r="C28" s="122">
        <v>1</v>
      </c>
      <c r="D28" s="123"/>
      <c r="E28" s="123"/>
      <c r="F28" s="123"/>
      <c r="G28" s="122">
        <f t="shared" si="0"/>
        <v>1</v>
      </c>
      <c r="H28" s="122">
        <f t="shared" si="1"/>
        <v>1</v>
      </c>
      <c r="I28" s="122"/>
    </row>
    <row r="29" spans="1:9">
      <c r="A29" s="293"/>
      <c r="B29" s="92" t="s">
        <v>352</v>
      </c>
      <c r="C29" s="122">
        <v>1</v>
      </c>
      <c r="D29" s="123"/>
      <c r="E29" s="123"/>
      <c r="F29" s="123"/>
      <c r="G29" s="122">
        <f t="shared" si="0"/>
        <v>1</v>
      </c>
      <c r="H29" s="122">
        <f t="shared" si="1"/>
        <v>1</v>
      </c>
      <c r="I29" s="122"/>
    </row>
    <row r="30" spans="1:9">
      <c r="A30" s="293" t="s">
        <v>362</v>
      </c>
      <c r="B30" s="92" t="s">
        <v>341</v>
      </c>
      <c r="C30" s="122">
        <v>80000</v>
      </c>
      <c r="D30" s="122"/>
      <c r="E30" s="122"/>
      <c r="F30" s="122"/>
      <c r="G30" s="122">
        <f t="shared" si="0"/>
        <v>80000</v>
      </c>
      <c r="H30" s="122">
        <f t="shared" si="1"/>
        <v>80000</v>
      </c>
      <c r="I30" s="122"/>
    </row>
    <row r="31" spans="1:9">
      <c r="A31" s="293"/>
      <c r="B31" s="92" t="s">
        <v>368</v>
      </c>
      <c r="C31" s="122">
        <v>12400</v>
      </c>
      <c r="D31" s="122">
        <v>20000</v>
      </c>
      <c r="E31" s="122"/>
      <c r="F31" s="122"/>
      <c r="G31" s="122">
        <f t="shared" si="0"/>
        <v>132400</v>
      </c>
      <c r="H31" s="122">
        <v>140000</v>
      </c>
      <c r="I31" s="122" t="s">
        <v>369</v>
      </c>
    </row>
  </sheetData>
  <autoFilter ref="A2:I30" xr:uid="{42EB88A8-512C-4544-8AB6-2A860D74D693}"/>
  <mergeCells count="3">
    <mergeCell ref="A3:A16"/>
    <mergeCell ref="A17:A29"/>
    <mergeCell ref="A30:A31"/>
  </mergeCells>
  <phoneticPr fontId="4" type="noConversion"/>
  <dataValidations count="1">
    <dataValidation type="list" allowBlank="1" showInputMessage="1" showErrorMessage="1" sqref="B3:B30" xr:uid="{7F6E27A1-EFDE-464A-AA5B-DBA5D0B5FB1C}">
      <formula1>"4座普通小车,4座豪华小车,7座普通商务车,7座豪华商务车,19-22座普通小巴,19-22座豪华小巴,15座普通商务车,15座豪华商务车,33座中巴,37座中巴,45座大巴,53座大巴,57座大巴,车辆超时费,其他"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D446F2-F0CB-9342-882D-A05A27C495A5}">
  <dimension ref="A1:J25"/>
  <sheetViews>
    <sheetView workbookViewId="0">
      <selection activeCell="A28" sqref="A28:H29"/>
    </sheetView>
  </sheetViews>
  <sheetFormatPr baseColWidth="10" defaultColWidth="11" defaultRowHeight="16"/>
  <cols>
    <col min="2" max="2" width="24.83203125" customWidth="1"/>
  </cols>
  <sheetData>
    <row r="1" spans="1:10">
      <c r="A1" s="295" t="s">
        <v>337</v>
      </c>
      <c r="B1" s="295"/>
      <c r="C1" s="83" t="s">
        <v>325</v>
      </c>
      <c r="D1" s="124">
        <v>1</v>
      </c>
      <c r="E1" s="124">
        <v>6</v>
      </c>
      <c r="F1" s="124">
        <v>23</v>
      </c>
      <c r="G1" s="124">
        <v>58</v>
      </c>
      <c r="H1" s="124" t="s">
        <v>320</v>
      </c>
      <c r="I1" s="124" t="s">
        <v>462</v>
      </c>
      <c r="J1" s="124" t="s">
        <v>319</v>
      </c>
    </row>
    <row r="2" spans="1:10">
      <c r="A2" s="211" t="s">
        <v>299</v>
      </c>
      <c r="B2" s="104" t="s">
        <v>386</v>
      </c>
      <c r="C2" s="103" t="s">
        <v>299</v>
      </c>
      <c r="D2" s="104">
        <v>75</v>
      </c>
      <c r="E2" s="110">
        <v>12</v>
      </c>
      <c r="F2" s="122"/>
      <c r="G2" s="122"/>
      <c r="H2" s="122">
        <f>SUM(D2*$D$1+E2*$E$1+F2*$F$1+G1*$G$2)</f>
        <v>147</v>
      </c>
      <c r="I2" s="122">
        <v>150</v>
      </c>
      <c r="J2" s="122"/>
    </row>
    <row r="3" spans="1:10">
      <c r="A3" s="211"/>
      <c r="B3" s="104" t="s">
        <v>387</v>
      </c>
      <c r="C3" s="103" t="s">
        <v>299</v>
      </c>
      <c r="D3" s="104">
        <v>345</v>
      </c>
      <c r="E3" s="110">
        <v>54</v>
      </c>
      <c r="F3" s="122"/>
      <c r="G3" s="122"/>
      <c r="H3" s="122">
        <f t="shared" ref="H3:H25" si="0">SUM(D3*$D$1+E3*$E$1+F3*$F$1+G2*$G$2)</f>
        <v>669</v>
      </c>
      <c r="I3" s="122">
        <v>700</v>
      </c>
      <c r="J3" s="122"/>
    </row>
    <row r="4" spans="1:10">
      <c r="A4" s="211"/>
      <c r="B4" s="104" t="s">
        <v>388</v>
      </c>
      <c r="C4" s="103" t="s">
        <v>299</v>
      </c>
      <c r="D4" s="104">
        <f>260+120</f>
        <v>380</v>
      </c>
      <c r="E4" s="110">
        <v>70</v>
      </c>
      <c r="F4" s="122"/>
      <c r="G4" s="122"/>
      <c r="H4" s="122">
        <f t="shared" si="0"/>
        <v>800</v>
      </c>
      <c r="I4" s="122">
        <v>800</v>
      </c>
      <c r="J4" s="122"/>
    </row>
    <row r="5" spans="1:10">
      <c r="A5" s="211"/>
      <c r="B5" s="104" t="s">
        <v>382</v>
      </c>
      <c r="C5" s="103" t="s">
        <v>299</v>
      </c>
      <c r="D5" s="104"/>
      <c r="E5" s="110">
        <v>40</v>
      </c>
      <c r="F5" s="122"/>
      <c r="G5" s="122"/>
      <c r="H5" s="122">
        <f t="shared" si="0"/>
        <v>240</v>
      </c>
      <c r="I5" s="122">
        <v>250</v>
      </c>
      <c r="J5" s="122"/>
    </row>
    <row r="6" spans="1:10">
      <c r="A6" s="211"/>
      <c r="B6" s="104" t="s">
        <v>383</v>
      </c>
      <c r="C6" s="103" t="s">
        <v>299</v>
      </c>
      <c r="D6" s="104">
        <v>20</v>
      </c>
      <c r="E6" s="110">
        <v>30</v>
      </c>
      <c r="F6" s="122"/>
      <c r="G6" s="122"/>
      <c r="H6" s="122">
        <f t="shared" si="0"/>
        <v>200</v>
      </c>
      <c r="I6" s="122">
        <v>200</v>
      </c>
      <c r="J6" s="122"/>
    </row>
    <row r="7" spans="1:10">
      <c r="A7" s="211"/>
      <c r="B7" s="104" t="s">
        <v>396</v>
      </c>
      <c r="C7" s="103" t="s">
        <v>299</v>
      </c>
      <c r="D7" s="104">
        <v>30</v>
      </c>
      <c r="E7" s="123"/>
      <c r="F7" s="122"/>
      <c r="G7" s="122"/>
      <c r="H7" s="122">
        <f t="shared" si="0"/>
        <v>30</v>
      </c>
      <c r="I7" s="122">
        <v>30</v>
      </c>
      <c r="J7" s="122"/>
    </row>
    <row r="8" spans="1:10">
      <c r="A8" s="211"/>
      <c r="B8" s="104" t="s">
        <v>397</v>
      </c>
      <c r="C8" s="103" t="s">
        <v>299</v>
      </c>
      <c r="D8" s="104">
        <v>52</v>
      </c>
      <c r="E8" s="123"/>
      <c r="F8" s="122"/>
      <c r="G8" s="122"/>
      <c r="H8" s="122">
        <f t="shared" si="0"/>
        <v>52</v>
      </c>
      <c r="I8" s="122">
        <v>60</v>
      </c>
      <c r="J8" s="122"/>
    </row>
    <row r="9" spans="1:10">
      <c r="A9" s="211"/>
      <c r="B9" s="104" t="s">
        <v>398</v>
      </c>
      <c r="C9" s="103" t="s">
        <v>299</v>
      </c>
      <c r="D9" s="104">
        <v>11</v>
      </c>
      <c r="E9" s="110"/>
      <c r="F9" s="122"/>
      <c r="G9" s="122"/>
      <c r="H9" s="122">
        <f t="shared" si="0"/>
        <v>11</v>
      </c>
      <c r="I9" s="122">
        <v>20</v>
      </c>
      <c r="J9" s="122"/>
    </row>
    <row r="10" spans="1:10">
      <c r="A10" s="211"/>
      <c r="B10" s="104" t="s">
        <v>399</v>
      </c>
      <c r="C10" s="103" t="s">
        <v>299</v>
      </c>
      <c r="D10" s="104">
        <v>81</v>
      </c>
      <c r="E10" s="110">
        <v>60</v>
      </c>
      <c r="F10" s="122"/>
      <c r="G10" s="122"/>
      <c r="H10" s="122">
        <f t="shared" si="0"/>
        <v>441</v>
      </c>
      <c r="I10" s="122">
        <v>450</v>
      </c>
      <c r="J10" s="122"/>
    </row>
    <row r="11" spans="1:10">
      <c r="A11" s="211"/>
      <c r="B11" s="104" t="s">
        <v>392</v>
      </c>
      <c r="C11" s="103" t="s">
        <v>299</v>
      </c>
      <c r="D11" s="104">
        <v>22</v>
      </c>
      <c r="E11" s="110"/>
      <c r="F11" s="122"/>
      <c r="G11" s="122"/>
      <c r="H11" s="122">
        <f t="shared" si="0"/>
        <v>22</v>
      </c>
      <c r="I11" s="122">
        <v>30</v>
      </c>
      <c r="J11" s="122"/>
    </row>
    <row r="12" spans="1:10">
      <c r="A12" s="211"/>
      <c r="B12" s="104" t="s">
        <v>393</v>
      </c>
      <c r="C12" s="103" t="s">
        <v>299</v>
      </c>
      <c r="D12" s="104">
        <v>30</v>
      </c>
      <c r="E12" s="110"/>
      <c r="F12" s="122"/>
      <c r="G12" s="122"/>
      <c r="H12" s="122">
        <f t="shared" si="0"/>
        <v>30</v>
      </c>
      <c r="I12" s="122">
        <v>30</v>
      </c>
      <c r="J12" s="122"/>
    </row>
    <row r="13" spans="1:10">
      <c r="A13" s="211"/>
      <c r="B13" s="104" t="s">
        <v>394</v>
      </c>
      <c r="C13" s="103" t="s">
        <v>299</v>
      </c>
      <c r="D13" s="104">
        <v>7</v>
      </c>
      <c r="E13" s="123"/>
      <c r="F13" s="123"/>
      <c r="G13" s="123"/>
      <c r="H13" s="122">
        <f t="shared" si="0"/>
        <v>7</v>
      </c>
      <c r="I13" s="122">
        <v>10</v>
      </c>
      <c r="J13" s="123"/>
    </row>
    <row r="14" spans="1:10">
      <c r="A14" s="211"/>
      <c r="B14" s="104" t="s">
        <v>395</v>
      </c>
      <c r="C14" s="103" t="s">
        <v>299</v>
      </c>
      <c r="D14" s="122">
        <v>63</v>
      </c>
      <c r="E14" s="110">
        <v>60</v>
      </c>
      <c r="F14" s="123"/>
      <c r="G14" s="123"/>
      <c r="H14" s="122">
        <f t="shared" si="0"/>
        <v>423</v>
      </c>
      <c r="I14" s="122">
        <v>450</v>
      </c>
      <c r="J14" s="123"/>
    </row>
    <row r="15" spans="1:10">
      <c r="A15" s="211"/>
      <c r="B15" s="104" t="s">
        <v>400</v>
      </c>
      <c r="C15" s="103" t="s">
        <v>299</v>
      </c>
      <c r="D15" s="104">
        <v>58</v>
      </c>
      <c r="E15" s="123"/>
      <c r="F15" s="123"/>
      <c r="G15" s="123"/>
      <c r="H15" s="122">
        <f t="shared" si="0"/>
        <v>58</v>
      </c>
      <c r="I15" s="122">
        <v>60</v>
      </c>
      <c r="J15" s="123"/>
    </row>
    <row r="16" spans="1:10">
      <c r="A16" s="211"/>
      <c r="B16" s="104" t="s">
        <v>401</v>
      </c>
      <c r="C16" s="103" t="s">
        <v>299</v>
      </c>
      <c r="D16" s="104">
        <v>92</v>
      </c>
      <c r="E16" s="123"/>
      <c r="F16" s="123"/>
      <c r="G16" s="123"/>
      <c r="H16" s="122">
        <f t="shared" si="0"/>
        <v>92</v>
      </c>
      <c r="I16" s="122">
        <v>100</v>
      </c>
      <c r="J16" s="123"/>
    </row>
    <row r="17" spans="1:10">
      <c r="A17" s="211"/>
      <c r="B17" s="104" t="s">
        <v>402</v>
      </c>
      <c r="C17" s="103" t="s">
        <v>299</v>
      </c>
      <c r="D17" s="104">
        <v>21</v>
      </c>
      <c r="E17" s="123"/>
      <c r="F17" s="123"/>
      <c r="G17" s="123"/>
      <c r="H17" s="122">
        <f t="shared" si="0"/>
        <v>21</v>
      </c>
      <c r="I17" s="122">
        <v>30</v>
      </c>
      <c r="J17" s="123"/>
    </row>
    <row r="18" spans="1:10">
      <c r="A18" s="211"/>
      <c r="B18" s="104" t="s">
        <v>403</v>
      </c>
      <c r="C18" s="103" t="s">
        <v>299</v>
      </c>
      <c r="D18" s="104">
        <f>116+142</f>
        <v>258</v>
      </c>
      <c r="E18" s="104">
        <v>126</v>
      </c>
      <c r="F18" s="123"/>
      <c r="G18" s="123"/>
      <c r="H18" s="122">
        <f t="shared" si="0"/>
        <v>1014</v>
      </c>
      <c r="I18" s="122">
        <v>1100</v>
      </c>
      <c r="J18" s="123"/>
    </row>
    <row r="19" spans="1:10">
      <c r="A19" s="211"/>
      <c r="B19" s="104" t="s">
        <v>404</v>
      </c>
      <c r="C19" s="103" t="s">
        <v>299</v>
      </c>
      <c r="D19" s="104">
        <v>73</v>
      </c>
      <c r="E19" s="104">
        <v>30</v>
      </c>
      <c r="F19" s="104">
        <v>8</v>
      </c>
      <c r="G19" s="123"/>
      <c r="H19" s="122">
        <f t="shared" si="0"/>
        <v>437</v>
      </c>
      <c r="I19" s="122">
        <v>450</v>
      </c>
      <c r="J19" s="123"/>
    </row>
    <row r="20" spans="1:10">
      <c r="A20" s="211"/>
      <c r="B20" s="104" t="s">
        <v>384</v>
      </c>
      <c r="C20" s="103" t="s">
        <v>296</v>
      </c>
      <c r="D20" s="104">
        <f>260+1120</f>
        <v>1380</v>
      </c>
      <c r="E20" s="104">
        <f>66+120</f>
        <v>186</v>
      </c>
      <c r="F20" s="104">
        <v>8</v>
      </c>
      <c r="G20" s="123"/>
      <c r="H20" s="122">
        <f t="shared" si="0"/>
        <v>2680</v>
      </c>
      <c r="I20" s="122">
        <v>2700</v>
      </c>
      <c r="J20" s="123"/>
    </row>
    <row r="21" spans="1:10">
      <c r="A21" s="211"/>
      <c r="B21" s="104" t="s">
        <v>389</v>
      </c>
      <c r="C21" s="103" t="s">
        <v>296</v>
      </c>
      <c r="D21" s="104">
        <v>52</v>
      </c>
      <c r="E21" s="104">
        <f>22</f>
        <v>22</v>
      </c>
      <c r="F21" s="123"/>
      <c r="G21" s="123"/>
      <c r="H21" s="122">
        <f t="shared" si="0"/>
        <v>184</v>
      </c>
      <c r="I21" s="122">
        <v>200</v>
      </c>
      <c r="J21" s="123"/>
    </row>
    <row r="22" spans="1:10">
      <c r="A22" s="211"/>
      <c r="B22" s="104" t="s">
        <v>385</v>
      </c>
      <c r="C22" s="103" t="s">
        <v>296</v>
      </c>
      <c r="D22" s="104">
        <v>126</v>
      </c>
      <c r="E22" s="104">
        <v>30</v>
      </c>
      <c r="F22" s="123"/>
      <c r="G22" s="123"/>
      <c r="H22" s="122">
        <f t="shared" si="0"/>
        <v>306</v>
      </c>
      <c r="I22" s="122">
        <v>300</v>
      </c>
      <c r="J22" s="123"/>
    </row>
    <row r="23" spans="1:10">
      <c r="A23" s="211"/>
      <c r="B23" s="104" t="s">
        <v>405</v>
      </c>
      <c r="C23" s="103" t="s">
        <v>296</v>
      </c>
      <c r="D23" s="104">
        <f>260+8*140</f>
        <v>1380</v>
      </c>
      <c r="E23" s="104">
        <f>186</f>
        <v>186</v>
      </c>
      <c r="F23" s="123"/>
      <c r="G23" s="123"/>
      <c r="H23" s="122">
        <f t="shared" si="0"/>
        <v>2496</v>
      </c>
      <c r="I23" s="122">
        <v>2500</v>
      </c>
      <c r="J23" s="123"/>
    </row>
    <row r="24" spans="1:10">
      <c r="A24" s="211"/>
      <c r="B24" s="104" t="s">
        <v>406</v>
      </c>
      <c r="C24" s="103" t="s">
        <v>296</v>
      </c>
      <c r="D24" s="104">
        <f>260+480</f>
        <v>740</v>
      </c>
      <c r="E24" s="104">
        <f>60+180</f>
        <v>240</v>
      </c>
      <c r="F24" s="123"/>
      <c r="G24" s="123"/>
      <c r="H24" s="122">
        <f t="shared" si="0"/>
        <v>2180</v>
      </c>
      <c r="I24" s="122">
        <v>2200</v>
      </c>
      <c r="J24" s="123"/>
    </row>
    <row r="25" spans="1:10">
      <c r="A25" s="211"/>
      <c r="B25" s="104" t="s">
        <v>407</v>
      </c>
      <c r="C25" s="103" t="s">
        <v>296</v>
      </c>
      <c r="D25" s="104">
        <v>80</v>
      </c>
      <c r="E25" s="104">
        <v>10</v>
      </c>
      <c r="F25" s="123"/>
      <c r="G25" s="123"/>
      <c r="H25" s="122">
        <f t="shared" si="0"/>
        <v>140</v>
      </c>
      <c r="I25" s="122">
        <v>150</v>
      </c>
      <c r="J25" s="123"/>
    </row>
  </sheetData>
  <mergeCells count="2">
    <mergeCell ref="A1:B1"/>
    <mergeCell ref="A2:A25"/>
  </mergeCells>
  <phoneticPr fontId="4" type="noConversion"/>
  <dataValidations count="1">
    <dataValidation type="list" allowBlank="1" showInputMessage="1" showErrorMessage="1" sqref="C2:C25" xr:uid="{6B6BC5BF-C46D-5D40-8E13-C9B7B8DAA0C2}">
      <formula1>"工作人员,餐费,住宿,交通,通信费,导游超时费,其他"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9F0698-2101-594E-B103-DDBC154EAC0A}">
  <dimension ref="A1:K25"/>
  <sheetViews>
    <sheetView workbookViewId="0">
      <selection activeCell="A28" sqref="A28:H29"/>
    </sheetView>
  </sheetViews>
  <sheetFormatPr baseColWidth="10" defaultColWidth="11" defaultRowHeight="16"/>
  <cols>
    <col min="1" max="1" width="18" customWidth="1"/>
    <col min="2" max="2" width="17" customWidth="1"/>
    <col min="4" max="4" width="11.1640625" customWidth="1"/>
    <col min="9" max="10" width="13.1640625" customWidth="1"/>
  </cols>
  <sheetData>
    <row r="1" spans="1:11">
      <c r="A1" s="124" t="s">
        <v>337</v>
      </c>
      <c r="B1" s="124" t="s">
        <v>325</v>
      </c>
      <c r="C1" s="124" t="s">
        <v>339</v>
      </c>
      <c r="D1" s="124">
        <v>1</v>
      </c>
      <c r="E1" s="124">
        <v>6</v>
      </c>
      <c r="F1" s="124">
        <v>23</v>
      </c>
      <c r="G1" s="124">
        <v>58</v>
      </c>
      <c r="H1" s="124" t="s">
        <v>320</v>
      </c>
      <c r="I1" s="124" t="s">
        <v>462</v>
      </c>
      <c r="J1" s="124" t="s">
        <v>462</v>
      </c>
      <c r="K1" s="124" t="s">
        <v>313</v>
      </c>
    </row>
    <row r="2" spans="1:11">
      <c r="A2" s="296" t="s">
        <v>318</v>
      </c>
      <c r="B2" s="174" t="s">
        <v>463</v>
      </c>
      <c r="C2" s="111" t="s">
        <v>489</v>
      </c>
      <c r="D2" s="111">
        <f>0.24*18</f>
        <v>4.32</v>
      </c>
      <c r="E2" s="111">
        <f>30*0.24</f>
        <v>7.1999999999999993</v>
      </c>
      <c r="F2" s="111">
        <f>2*0.24</f>
        <v>0.48</v>
      </c>
      <c r="G2" s="123"/>
      <c r="H2" s="111">
        <f>D2*$D$1+E2*$E$1+F2*$F$1</f>
        <v>58.559999999999995</v>
      </c>
      <c r="I2" s="111">
        <f>ROUND(H2,0)</f>
        <v>59</v>
      </c>
      <c r="J2" s="111">
        <v>60</v>
      </c>
      <c r="K2" s="123"/>
    </row>
    <row r="3" spans="1:11">
      <c r="A3" s="297"/>
      <c r="B3" s="174" t="s">
        <v>496</v>
      </c>
      <c r="C3" s="111" t="s">
        <v>489</v>
      </c>
      <c r="D3" s="111">
        <v>1</v>
      </c>
      <c r="E3" s="111"/>
      <c r="F3" s="123"/>
      <c r="G3" s="123"/>
      <c r="H3" s="111">
        <f t="shared" ref="H3:H25" si="0">D3*$D$1+E3*$E$1+F3*$F$1</f>
        <v>1</v>
      </c>
      <c r="I3" s="111">
        <f t="shared" ref="I3:J25" si="1">ROUND(H3,0)</f>
        <v>1</v>
      </c>
      <c r="J3" s="111">
        <f t="shared" si="1"/>
        <v>1</v>
      </c>
      <c r="K3" s="123"/>
    </row>
    <row r="4" spans="1:11">
      <c r="A4" s="297"/>
      <c r="B4" s="174" t="s">
        <v>470</v>
      </c>
      <c r="C4" s="111" t="s">
        <v>464</v>
      </c>
      <c r="D4" s="111">
        <v>10</v>
      </c>
      <c r="E4" s="111"/>
      <c r="F4" s="123"/>
      <c r="G4" s="123"/>
      <c r="H4" s="111">
        <f t="shared" si="0"/>
        <v>10</v>
      </c>
      <c r="I4" s="111">
        <f t="shared" si="1"/>
        <v>10</v>
      </c>
      <c r="J4" s="111">
        <f t="shared" si="1"/>
        <v>10</v>
      </c>
      <c r="K4" s="123"/>
    </row>
    <row r="5" spans="1:11">
      <c r="A5" s="297"/>
      <c r="B5" s="174" t="s">
        <v>465</v>
      </c>
      <c r="C5" s="111" t="s">
        <v>489</v>
      </c>
      <c r="D5" s="111">
        <v>4.5599999999999996</v>
      </c>
      <c r="E5" s="111">
        <f>30*0.06</f>
        <v>1.7999999999999998</v>
      </c>
      <c r="F5" s="111">
        <f>6*0.06</f>
        <v>0.36</v>
      </c>
      <c r="G5" s="123"/>
      <c r="H5" s="111">
        <f t="shared" si="0"/>
        <v>23.64</v>
      </c>
      <c r="I5" s="111">
        <f t="shared" si="1"/>
        <v>24</v>
      </c>
      <c r="J5" s="111">
        <v>30</v>
      </c>
      <c r="K5" s="123"/>
    </row>
    <row r="6" spans="1:11">
      <c r="A6" s="297"/>
      <c r="B6" s="174" t="s">
        <v>468</v>
      </c>
      <c r="C6" s="111" t="s">
        <v>464</v>
      </c>
      <c r="D6" s="111">
        <v>339</v>
      </c>
      <c r="E6" s="111"/>
      <c r="F6" s="123"/>
      <c r="G6" s="123"/>
      <c r="H6" s="111">
        <f t="shared" si="0"/>
        <v>339</v>
      </c>
      <c r="I6" s="111">
        <f t="shared" si="1"/>
        <v>339</v>
      </c>
      <c r="J6" s="111">
        <v>350</v>
      </c>
      <c r="K6" s="123"/>
    </row>
    <row r="7" spans="1:11">
      <c r="A7" s="297"/>
      <c r="B7" s="174" t="s">
        <v>467</v>
      </c>
      <c r="C7" s="111" t="s">
        <v>489</v>
      </c>
      <c r="D7" s="111">
        <f>0.3*84</f>
        <v>25.2</v>
      </c>
      <c r="E7" s="111"/>
      <c r="F7" s="123"/>
      <c r="G7" s="123"/>
      <c r="H7" s="111">
        <f t="shared" si="0"/>
        <v>25.2</v>
      </c>
      <c r="I7" s="111">
        <f t="shared" si="1"/>
        <v>25</v>
      </c>
      <c r="J7" s="111">
        <f t="shared" si="1"/>
        <v>25</v>
      </c>
      <c r="K7" s="123"/>
    </row>
    <row r="8" spans="1:11">
      <c r="A8" s="297"/>
      <c r="B8" s="174" t="s">
        <v>472</v>
      </c>
      <c r="C8" s="111" t="s">
        <v>490</v>
      </c>
      <c r="D8" s="111">
        <v>284</v>
      </c>
      <c r="E8" s="111"/>
      <c r="F8" s="123"/>
      <c r="G8" s="123"/>
      <c r="H8" s="111">
        <f t="shared" si="0"/>
        <v>284</v>
      </c>
      <c r="I8" s="111">
        <f t="shared" si="1"/>
        <v>284</v>
      </c>
      <c r="J8" s="111">
        <v>300</v>
      </c>
      <c r="K8" s="123"/>
    </row>
    <row r="9" spans="1:11">
      <c r="A9" s="297"/>
      <c r="B9" s="174" t="s">
        <v>473</v>
      </c>
      <c r="C9" s="111" t="s">
        <v>490</v>
      </c>
      <c r="D9" s="111">
        <v>1</v>
      </c>
      <c r="E9" s="111"/>
      <c r="F9" s="123"/>
      <c r="G9" s="123"/>
      <c r="H9" s="111">
        <f t="shared" si="0"/>
        <v>1</v>
      </c>
      <c r="I9" s="111">
        <f t="shared" si="1"/>
        <v>1</v>
      </c>
      <c r="J9" s="111">
        <f t="shared" si="1"/>
        <v>1</v>
      </c>
      <c r="K9" s="123"/>
    </row>
    <row r="10" spans="1:11">
      <c r="A10" s="297"/>
      <c r="B10" s="174" t="s">
        <v>487</v>
      </c>
      <c r="C10" s="111" t="s">
        <v>491</v>
      </c>
      <c r="D10" s="111">
        <v>1</v>
      </c>
      <c r="E10" s="111"/>
      <c r="F10" s="123"/>
      <c r="G10" s="123"/>
      <c r="H10" s="111">
        <f t="shared" si="0"/>
        <v>1</v>
      </c>
      <c r="I10" s="111">
        <f t="shared" si="1"/>
        <v>1</v>
      </c>
      <c r="J10" s="111">
        <f t="shared" si="1"/>
        <v>1</v>
      </c>
      <c r="K10" s="123"/>
    </row>
    <row r="11" spans="1:11">
      <c r="A11" s="297"/>
      <c r="B11" s="174" t="s">
        <v>469</v>
      </c>
      <c r="C11" s="111" t="s">
        <v>376</v>
      </c>
      <c r="D11" s="111">
        <v>16</v>
      </c>
      <c r="E11" s="111"/>
      <c r="F11" s="123"/>
      <c r="G11" s="123"/>
      <c r="H11" s="111">
        <f t="shared" si="0"/>
        <v>16</v>
      </c>
      <c r="I11" s="111">
        <f t="shared" si="1"/>
        <v>16</v>
      </c>
      <c r="J11" s="111">
        <f t="shared" si="1"/>
        <v>16</v>
      </c>
      <c r="K11" s="123"/>
    </row>
    <row r="12" spans="1:11">
      <c r="A12" s="297"/>
      <c r="B12" s="174" t="s">
        <v>471</v>
      </c>
      <c r="C12" s="111" t="s">
        <v>464</v>
      </c>
      <c r="D12" s="111">
        <v>429</v>
      </c>
      <c r="E12" s="111"/>
      <c r="F12" s="123"/>
      <c r="G12" s="123"/>
      <c r="H12" s="111">
        <f t="shared" si="0"/>
        <v>429</v>
      </c>
      <c r="I12" s="111">
        <f t="shared" si="1"/>
        <v>429</v>
      </c>
      <c r="J12" s="111">
        <v>450</v>
      </c>
      <c r="K12" s="123"/>
    </row>
    <row r="13" spans="1:11">
      <c r="A13" s="297"/>
      <c r="B13" s="174" t="s">
        <v>474</v>
      </c>
      <c r="C13" s="111" t="s">
        <v>464</v>
      </c>
      <c r="D13" s="111">
        <v>429</v>
      </c>
      <c r="E13" s="111"/>
      <c r="F13" s="123"/>
      <c r="G13" s="123"/>
      <c r="H13" s="111">
        <f t="shared" si="0"/>
        <v>429</v>
      </c>
      <c r="I13" s="111">
        <f t="shared" si="1"/>
        <v>429</v>
      </c>
      <c r="J13" s="111">
        <v>450</v>
      </c>
      <c r="K13" s="123"/>
    </row>
    <row r="14" spans="1:11">
      <c r="A14" s="297"/>
      <c r="B14" s="174" t="s">
        <v>482</v>
      </c>
      <c r="C14" s="111" t="s">
        <v>335</v>
      </c>
      <c r="D14" s="111">
        <v>1</v>
      </c>
      <c r="E14" s="111"/>
      <c r="F14" s="123"/>
      <c r="G14" s="123"/>
      <c r="H14" s="111">
        <f t="shared" si="0"/>
        <v>1</v>
      </c>
      <c r="I14" s="111">
        <f t="shared" si="1"/>
        <v>1</v>
      </c>
      <c r="J14" s="111">
        <f t="shared" si="1"/>
        <v>1</v>
      </c>
      <c r="K14" s="123"/>
    </row>
    <row r="15" spans="1:11">
      <c r="A15" s="297"/>
      <c r="B15" s="174" t="s">
        <v>483</v>
      </c>
      <c r="C15" s="111" t="s">
        <v>335</v>
      </c>
      <c r="D15" s="111">
        <v>1</v>
      </c>
      <c r="E15" s="111"/>
      <c r="F15" s="123"/>
      <c r="G15" s="123"/>
      <c r="H15" s="111">
        <f t="shared" si="0"/>
        <v>1</v>
      </c>
      <c r="I15" s="111">
        <f t="shared" si="1"/>
        <v>1</v>
      </c>
      <c r="J15" s="111">
        <f t="shared" si="1"/>
        <v>1</v>
      </c>
      <c r="K15" s="123"/>
    </row>
    <row r="16" spans="1:11">
      <c r="A16" s="297"/>
      <c r="B16" s="174" t="s">
        <v>484</v>
      </c>
      <c r="C16" s="111" t="s">
        <v>492</v>
      </c>
      <c r="D16" s="111">
        <v>5000</v>
      </c>
      <c r="E16" s="111">
        <v>1300</v>
      </c>
      <c r="F16" s="123"/>
      <c r="G16" s="123"/>
      <c r="H16" s="111">
        <f t="shared" si="0"/>
        <v>12800</v>
      </c>
      <c r="I16" s="111">
        <f t="shared" si="1"/>
        <v>12800</v>
      </c>
      <c r="J16" s="111">
        <v>13000</v>
      </c>
      <c r="K16" s="123"/>
    </row>
    <row r="17" spans="1:11">
      <c r="A17" s="297"/>
      <c r="B17" s="174" t="s">
        <v>485</v>
      </c>
      <c r="C17" s="111" t="s">
        <v>493</v>
      </c>
      <c r="D17" s="111">
        <v>200</v>
      </c>
      <c r="E17" s="111"/>
      <c r="F17" s="123"/>
      <c r="G17" s="123"/>
      <c r="H17" s="111">
        <f t="shared" si="0"/>
        <v>200</v>
      </c>
      <c r="I17" s="111">
        <f t="shared" si="1"/>
        <v>200</v>
      </c>
      <c r="J17" s="111">
        <f t="shared" si="1"/>
        <v>200</v>
      </c>
      <c r="K17" s="123"/>
    </row>
    <row r="18" spans="1:11">
      <c r="A18" s="297"/>
      <c r="B18" s="174" t="s">
        <v>478</v>
      </c>
      <c r="C18" s="111" t="s">
        <v>489</v>
      </c>
      <c r="D18" s="111">
        <v>15</v>
      </c>
      <c r="E18" s="111"/>
      <c r="F18" s="123"/>
      <c r="G18" s="123"/>
      <c r="H18" s="111">
        <f t="shared" si="0"/>
        <v>15</v>
      </c>
      <c r="I18" s="111">
        <f t="shared" si="1"/>
        <v>15</v>
      </c>
      <c r="J18" s="111">
        <f t="shared" si="1"/>
        <v>15</v>
      </c>
      <c r="K18" s="123"/>
    </row>
    <row r="19" spans="1:11">
      <c r="A19" s="297"/>
      <c r="B19" s="174" t="s">
        <v>479</v>
      </c>
      <c r="C19" s="111" t="s">
        <v>494</v>
      </c>
      <c r="D19" s="111">
        <v>10</v>
      </c>
      <c r="E19" s="111"/>
      <c r="F19" s="123"/>
      <c r="G19" s="123"/>
      <c r="H19" s="111">
        <f t="shared" si="0"/>
        <v>10</v>
      </c>
      <c r="I19" s="111">
        <f t="shared" si="1"/>
        <v>10</v>
      </c>
      <c r="J19" s="111">
        <f t="shared" si="1"/>
        <v>10</v>
      </c>
      <c r="K19" s="123"/>
    </row>
    <row r="20" spans="1:11">
      <c r="A20" s="297"/>
      <c r="B20" s="174" t="s">
        <v>480</v>
      </c>
      <c r="C20" s="111" t="s">
        <v>494</v>
      </c>
      <c r="D20" s="111">
        <v>10</v>
      </c>
      <c r="E20" s="111"/>
      <c r="F20" s="123"/>
      <c r="G20" s="123"/>
      <c r="H20" s="111">
        <f t="shared" si="0"/>
        <v>10</v>
      </c>
      <c r="I20" s="111">
        <f t="shared" si="1"/>
        <v>10</v>
      </c>
      <c r="J20" s="111">
        <f t="shared" si="1"/>
        <v>10</v>
      </c>
      <c r="K20" s="123"/>
    </row>
    <row r="21" spans="1:11">
      <c r="A21" s="297"/>
      <c r="B21" s="174" t="s">
        <v>498</v>
      </c>
      <c r="C21" s="111" t="s">
        <v>494</v>
      </c>
      <c r="D21" s="111">
        <v>2</v>
      </c>
      <c r="E21" s="111"/>
      <c r="F21" s="123"/>
      <c r="G21" s="123"/>
      <c r="H21" s="111">
        <f t="shared" si="0"/>
        <v>2</v>
      </c>
      <c r="I21" s="111">
        <f t="shared" si="1"/>
        <v>2</v>
      </c>
      <c r="J21" s="111">
        <f t="shared" si="1"/>
        <v>2</v>
      </c>
      <c r="K21" s="123"/>
    </row>
    <row r="22" spans="1:11">
      <c r="A22" s="297"/>
      <c r="B22" s="174" t="s">
        <v>481</v>
      </c>
      <c r="C22" s="111" t="s">
        <v>494</v>
      </c>
      <c r="D22" s="111">
        <v>5</v>
      </c>
      <c r="E22" s="111"/>
      <c r="F22" s="123"/>
      <c r="G22" s="123"/>
      <c r="H22" s="111">
        <f t="shared" si="0"/>
        <v>5</v>
      </c>
      <c r="I22" s="111">
        <f t="shared" si="1"/>
        <v>5</v>
      </c>
      <c r="J22" s="111">
        <f t="shared" si="1"/>
        <v>5</v>
      </c>
      <c r="K22" s="123"/>
    </row>
    <row r="23" spans="1:11">
      <c r="A23" s="297"/>
      <c r="B23" s="174" t="s">
        <v>486</v>
      </c>
      <c r="C23" s="111" t="s">
        <v>489</v>
      </c>
      <c r="D23" s="111">
        <v>20</v>
      </c>
      <c r="E23" s="111"/>
      <c r="F23" s="123"/>
      <c r="G23" s="123"/>
      <c r="H23" s="111">
        <f t="shared" si="0"/>
        <v>20</v>
      </c>
      <c r="I23" s="111">
        <f t="shared" si="1"/>
        <v>20</v>
      </c>
      <c r="J23" s="111">
        <f t="shared" si="1"/>
        <v>20</v>
      </c>
      <c r="K23" s="123"/>
    </row>
    <row r="24" spans="1:11">
      <c r="A24" s="297"/>
      <c r="B24" s="174" t="s">
        <v>476</v>
      </c>
      <c r="C24" s="111" t="s">
        <v>335</v>
      </c>
      <c r="D24" s="111">
        <v>10000</v>
      </c>
      <c r="E24" s="111">
        <v>5000</v>
      </c>
      <c r="F24" s="123"/>
      <c r="G24" s="123"/>
      <c r="H24" s="111">
        <f t="shared" si="0"/>
        <v>40000</v>
      </c>
      <c r="I24" s="111">
        <f t="shared" si="1"/>
        <v>40000</v>
      </c>
      <c r="J24" s="111">
        <f t="shared" si="1"/>
        <v>40000</v>
      </c>
      <c r="K24" s="123"/>
    </row>
    <row r="25" spans="1:11">
      <c r="A25" s="298"/>
      <c r="B25" s="174" t="s">
        <v>477</v>
      </c>
      <c r="C25" s="111" t="s">
        <v>335</v>
      </c>
      <c r="D25" s="111">
        <v>5000</v>
      </c>
      <c r="E25" s="111"/>
      <c r="F25" s="123"/>
      <c r="G25" s="123"/>
      <c r="H25" s="111">
        <f t="shared" si="0"/>
        <v>5000</v>
      </c>
      <c r="I25" s="111">
        <f t="shared" si="1"/>
        <v>5000</v>
      </c>
      <c r="J25" s="111">
        <f t="shared" si="1"/>
        <v>5000</v>
      </c>
      <c r="K25" s="123"/>
    </row>
  </sheetData>
  <mergeCells count="1">
    <mergeCell ref="A2:A25"/>
  </mergeCells>
  <phoneticPr fontId="4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EA73F0-AADD-3F4E-8404-3D137007FFF9}">
  <dimension ref="A1:G155"/>
  <sheetViews>
    <sheetView topLeftCell="A99" workbookViewId="0">
      <selection activeCell="A28" sqref="A28:H29"/>
    </sheetView>
  </sheetViews>
  <sheetFormatPr baseColWidth="10" defaultColWidth="11" defaultRowHeight="16"/>
  <cols>
    <col min="2" max="2" width="61.6640625" customWidth="1"/>
    <col min="5" max="5" width="16" customWidth="1"/>
    <col min="7" max="7" width="23.33203125" customWidth="1"/>
  </cols>
  <sheetData>
    <row r="1" spans="1:7" ht="18">
      <c r="A1" s="300" t="s">
        <v>90</v>
      </c>
      <c r="B1" s="301"/>
      <c r="C1" s="302"/>
      <c r="D1" s="302"/>
      <c r="E1" s="302"/>
      <c r="F1" s="302"/>
      <c r="G1" s="301"/>
    </row>
    <row r="2" spans="1:7">
      <c r="A2" s="30" t="s">
        <v>1</v>
      </c>
      <c r="B2" s="31" t="s">
        <v>2</v>
      </c>
      <c r="C2" s="30" t="s">
        <v>3</v>
      </c>
      <c r="D2" s="30" t="s">
        <v>4</v>
      </c>
      <c r="E2" s="30" t="s">
        <v>5</v>
      </c>
      <c r="F2" s="30" t="s">
        <v>6</v>
      </c>
      <c r="G2" s="31" t="s">
        <v>7</v>
      </c>
    </row>
    <row r="3" spans="1:7">
      <c r="A3" s="32"/>
      <c r="B3" s="33" t="s">
        <v>8</v>
      </c>
      <c r="C3" s="34"/>
      <c r="D3" s="34"/>
      <c r="E3" s="34"/>
      <c r="F3" s="34"/>
      <c r="G3" s="35"/>
    </row>
    <row r="4" spans="1:7" ht="28">
      <c r="A4" s="36">
        <v>1</v>
      </c>
      <c r="B4" s="37" t="s">
        <v>91</v>
      </c>
      <c r="C4" s="36" t="e">
        <f>[1]各人群统表!D2</f>
        <v>#REF!</v>
      </c>
      <c r="D4" s="36">
        <v>2</v>
      </c>
      <c r="E4" s="38">
        <v>3500</v>
      </c>
      <c r="F4" s="39" t="e">
        <f t="shared" ref="F4:F10" si="0">C4*D4*E4</f>
        <v>#REF!</v>
      </c>
      <c r="G4" s="40" t="s">
        <v>92</v>
      </c>
    </row>
    <row r="5" spans="1:7" ht="28">
      <c r="A5" s="36">
        <v>2</v>
      </c>
      <c r="B5" s="37" t="s">
        <v>93</v>
      </c>
      <c r="C5" s="36" t="e">
        <f>[1]各人群统表!C3/2</f>
        <v>#REF!</v>
      </c>
      <c r="D5" s="36">
        <v>2</v>
      </c>
      <c r="E5" s="38">
        <v>3500</v>
      </c>
      <c r="F5" s="39" t="e">
        <f t="shared" si="0"/>
        <v>#REF!</v>
      </c>
      <c r="G5" s="40" t="s">
        <v>92</v>
      </c>
    </row>
    <row r="6" spans="1:7" ht="28">
      <c r="A6" s="36">
        <v>3</v>
      </c>
      <c r="B6" s="37" t="s">
        <v>94</v>
      </c>
      <c r="C6" s="36" t="e">
        <f>[1]各人群统表!C3/2</f>
        <v>#REF!</v>
      </c>
      <c r="D6" s="36">
        <v>2</v>
      </c>
      <c r="E6" s="38">
        <v>1735</v>
      </c>
      <c r="F6" s="39" t="e">
        <f t="shared" si="0"/>
        <v>#REF!</v>
      </c>
      <c r="G6" s="41" t="s">
        <v>95</v>
      </c>
    </row>
    <row r="7" spans="1:7" ht="28">
      <c r="A7" s="36">
        <v>4</v>
      </c>
      <c r="B7" s="37" t="s">
        <v>96</v>
      </c>
      <c r="C7" s="36" t="e">
        <f>(SUM([1]各人群统表!C4:C18)+1)/2</f>
        <v>#REF!</v>
      </c>
      <c r="D7" s="36">
        <v>2</v>
      </c>
      <c r="E7" s="38">
        <v>1285</v>
      </c>
      <c r="F7" s="39" t="e">
        <f t="shared" si="0"/>
        <v>#REF!</v>
      </c>
      <c r="G7" s="40" t="s">
        <v>97</v>
      </c>
    </row>
    <row r="8" spans="1:7" ht="28">
      <c r="A8" s="36">
        <v>5</v>
      </c>
      <c r="B8" s="37" t="s">
        <v>98</v>
      </c>
      <c r="C8" s="36" t="e">
        <f>(SUM([1]各人群统表!C4:C18)-1)/2</f>
        <v>#REF!</v>
      </c>
      <c r="D8" s="36">
        <v>2</v>
      </c>
      <c r="E8" s="38">
        <v>445</v>
      </c>
      <c r="F8" s="39" t="e">
        <f t="shared" si="0"/>
        <v>#REF!</v>
      </c>
      <c r="G8" s="41" t="s">
        <v>12</v>
      </c>
    </row>
    <row r="9" spans="1:7" ht="32" customHeight="1">
      <c r="A9" s="36">
        <v>6</v>
      </c>
      <c r="B9" s="37" t="s">
        <v>13</v>
      </c>
      <c r="C9" s="36" t="e">
        <f>C6+C8</f>
        <v>#REF!</v>
      </c>
      <c r="D9" s="36">
        <v>2</v>
      </c>
      <c r="E9" s="38">
        <v>30</v>
      </c>
      <c r="F9" s="39" t="e">
        <f t="shared" si="0"/>
        <v>#REF!</v>
      </c>
      <c r="G9" s="41"/>
    </row>
    <row r="10" spans="1:7">
      <c r="A10" s="36">
        <v>7</v>
      </c>
      <c r="B10" s="37" t="s">
        <v>15</v>
      </c>
      <c r="C10" s="36">
        <v>1</v>
      </c>
      <c r="D10" s="36">
        <v>1</v>
      </c>
      <c r="E10" s="38">
        <v>20000</v>
      </c>
      <c r="F10" s="39">
        <f t="shared" si="0"/>
        <v>20000</v>
      </c>
      <c r="G10" s="37" t="s">
        <v>16</v>
      </c>
    </row>
    <row r="11" spans="1:7">
      <c r="A11" s="299" t="s">
        <v>17</v>
      </c>
      <c r="B11" s="299"/>
      <c r="C11" s="299"/>
      <c r="D11" s="299"/>
      <c r="E11" s="299"/>
      <c r="F11" s="42" t="e">
        <f>SUM(F4:F10)*0.7</f>
        <v>#REF!</v>
      </c>
      <c r="G11" s="43"/>
    </row>
    <row r="12" spans="1:7">
      <c r="A12" s="34"/>
      <c r="B12" s="33" t="s">
        <v>18</v>
      </c>
      <c r="C12" s="34"/>
      <c r="D12" s="34"/>
      <c r="E12" s="34"/>
      <c r="F12" s="34"/>
      <c r="G12" s="35"/>
    </row>
    <row r="13" spans="1:7">
      <c r="A13" s="36">
        <v>1</v>
      </c>
      <c r="B13" s="44" t="s">
        <v>99</v>
      </c>
      <c r="C13" s="36">
        <v>1</v>
      </c>
      <c r="D13" s="36">
        <v>5</v>
      </c>
      <c r="E13" s="38">
        <v>30000</v>
      </c>
      <c r="F13" s="39">
        <f>C13*D13*E13</f>
        <v>150000</v>
      </c>
      <c r="G13" s="37" t="s">
        <v>100</v>
      </c>
    </row>
    <row r="14" spans="1:7">
      <c r="A14" s="36">
        <v>2</v>
      </c>
      <c r="B14" s="45" t="s">
        <v>101</v>
      </c>
      <c r="C14" s="36">
        <v>1</v>
      </c>
      <c r="D14" s="36">
        <v>5</v>
      </c>
      <c r="E14" s="38">
        <v>20000</v>
      </c>
      <c r="F14" s="39">
        <f t="shared" ref="F14:F21" si="1">C14*D14*E14</f>
        <v>100000</v>
      </c>
      <c r="G14" s="37"/>
    </row>
    <row r="15" spans="1:7">
      <c r="A15" s="36">
        <v>3</v>
      </c>
      <c r="B15" s="44" t="s">
        <v>102</v>
      </c>
      <c r="C15" s="36">
        <v>15</v>
      </c>
      <c r="D15" s="36">
        <v>6</v>
      </c>
      <c r="E15" s="38">
        <v>3280</v>
      </c>
      <c r="F15" s="39">
        <f t="shared" si="1"/>
        <v>295200</v>
      </c>
      <c r="G15" s="37" t="s">
        <v>100</v>
      </c>
    </row>
    <row r="16" spans="1:7">
      <c r="A16" s="36">
        <v>4</v>
      </c>
      <c r="B16" s="46" t="s">
        <v>103</v>
      </c>
      <c r="C16" s="36">
        <v>17</v>
      </c>
      <c r="D16" s="36">
        <v>6</v>
      </c>
      <c r="E16" s="38">
        <v>3250</v>
      </c>
      <c r="F16" s="39">
        <f t="shared" si="1"/>
        <v>331500</v>
      </c>
      <c r="G16" s="37"/>
    </row>
    <row r="17" spans="1:7">
      <c r="A17" s="36">
        <v>5</v>
      </c>
      <c r="B17" s="45" t="s">
        <v>104</v>
      </c>
      <c r="C17" s="36">
        <v>1</v>
      </c>
      <c r="D17" s="36">
        <v>5</v>
      </c>
      <c r="E17" s="38">
        <v>1500</v>
      </c>
      <c r="F17" s="39">
        <f t="shared" si="1"/>
        <v>7500</v>
      </c>
      <c r="G17" s="37"/>
    </row>
    <row r="18" spans="1:7">
      <c r="A18" s="36">
        <v>6</v>
      </c>
      <c r="B18" s="44" t="s">
        <v>105</v>
      </c>
      <c r="C18" s="47">
        <v>25</v>
      </c>
      <c r="D18" s="36">
        <v>4</v>
      </c>
      <c r="E18" s="38">
        <v>1500</v>
      </c>
      <c r="F18" s="39">
        <f t="shared" si="1"/>
        <v>150000</v>
      </c>
      <c r="G18" s="37"/>
    </row>
    <row r="19" spans="1:7">
      <c r="A19" s="36">
        <v>7</v>
      </c>
      <c r="B19" s="44" t="s">
        <v>105</v>
      </c>
      <c r="C19" s="36">
        <v>15</v>
      </c>
      <c r="D19" s="36">
        <v>6</v>
      </c>
      <c r="E19" s="38">
        <v>1500</v>
      </c>
      <c r="F19" s="39">
        <f t="shared" si="1"/>
        <v>135000</v>
      </c>
      <c r="G19" s="37"/>
    </row>
    <row r="20" spans="1:7">
      <c r="A20" s="36">
        <v>8</v>
      </c>
      <c r="B20" s="46" t="s">
        <v>106</v>
      </c>
      <c r="C20" s="36">
        <v>44</v>
      </c>
      <c r="D20" s="36">
        <v>6</v>
      </c>
      <c r="E20" s="38">
        <v>1450</v>
      </c>
      <c r="F20" s="39">
        <f t="shared" si="1"/>
        <v>382800</v>
      </c>
      <c r="G20" s="37"/>
    </row>
    <row r="21" spans="1:7">
      <c r="A21" s="36">
        <v>9</v>
      </c>
      <c r="B21" s="46" t="s">
        <v>106</v>
      </c>
      <c r="C21" s="36">
        <v>137</v>
      </c>
      <c r="D21" s="36">
        <v>3</v>
      </c>
      <c r="E21" s="38">
        <v>1450</v>
      </c>
      <c r="F21" s="39">
        <f t="shared" si="1"/>
        <v>595950</v>
      </c>
      <c r="G21" s="37"/>
    </row>
    <row r="22" spans="1:7">
      <c r="A22" s="36"/>
      <c r="B22" s="46" t="s">
        <v>107</v>
      </c>
      <c r="C22" s="36">
        <v>17</v>
      </c>
      <c r="D22" s="36">
        <v>6</v>
      </c>
      <c r="E22" s="38">
        <v>1450</v>
      </c>
      <c r="F22" s="39">
        <f t="shared" ref="F22:F27" si="2">C22*D22*E22</f>
        <v>147900</v>
      </c>
      <c r="G22" s="37"/>
    </row>
    <row r="23" spans="1:7">
      <c r="A23" s="36"/>
      <c r="B23" s="46" t="s">
        <v>107</v>
      </c>
      <c r="C23" s="36">
        <v>100</v>
      </c>
      <c r="D23" s="36">
        <v>3</v>
      </c>
      <c r="E23" s="38">
        <v>1450</v>
      </c>
      <c r="F23" s="39">
        <f t="shared" si="2"/>
        <v>435000</v>
      </c>
      <c r="G23" s="37"/>
    </row>
    <row r="24" spans="1:7">
      <c r="A24" s="36">
        <v>10</v>
      </c>
      <c r="B24" s="48" t="s">
        <v>108</v>
      </c>
      <c r="C24" s="49">
        <v>10</v>
      </c>
      <c r="D24" s="49">
        <v>3</v>
      </c>
      <c r="E24" s="50">
        <v>850</v>
      </c>
      <c r="F24" s="51">
        <f t="shared" si="2"/>
        <v>25500</v>
      </c>
      <c r="G24" s="37"/>
    </row>
    <row r="25" spans="1:7">
      <c r="A25" s="36">
        <v>11</v>
      </c>
      <c r="B25" s="48" t="s">
        <v>108</v>
      </c>
      <c r="C25" s="49">
        <v>10</v>
      </c>
      <c r="D25" s="49">
        <v>4</v>
      </c>
      <c r="E25" s="50">
        <v>850</v>
      </c>
      <c r="F25" s="51">
        <f t="shared" si="2"/>
        <v>34000</v>
      </c>
      <c r="G25" s="37"/>
    </row>
    <row r="26" spans="1:7">
      <c r="A26" s="36">
        <v>12</v>
      </c>
      <c r="B26" s="48" t="s">
        <v>108</v>
      </c>
      <c r="C26" s="49">
        <v>35</v>
      </c>
      <c r="D26" s="49">
        <v>6</v>
      </c>
      <c r="E26" s="50">
        <v>850</v>
      </c>
      <c r="F26" s="51">
        <f t="shared" si="2"/>
        <v>178500</v>
      </c>
      <c r="G26" s="37"/>
    </row>
    <row r="27" spans="1:7">
      <c r="A27" s="36">
        <v>13</v>
      </c>
      <c r="B27" s="37" t="s">
        <v>109</v>
      </c>
      <c r="C27" s="36">
        <f>SUM(C13:C26)</f>
        <v>428</v>
      </c>
      <c r="D27" s="36">
        <v>0</v>
      </c>
      <c r="E27" s="38">
        <v>300</v>
      </c>
      <c r="F27" s="39">
        <f t="shared" si="2"/>
        <v>0</v>
      </c>
      <c r="G27" s="37"/>
    </row>
    <row r="28" spans="1:7">
      <c r="A28" s="299" t="s">
        <v>17</v>
      </c>
      <c r="B28" s="299"/>
      <c r="C28" s="299"/>
      <c r="D28" s="299"/>
      <c r="E28" s="299"/>
      <c r="F28" s="42">
        <f>SUM(F13:F27)</f>
        <v>2968850</v>
      </c>
      <c r="G28" s="43"/>
    </row>
    <row r="29" spans="1:7">
      <c r="A29" s="34"/>
      <c r="B29" s="33" t="s">
        <v>26</v>
      </c>
      <c r="C29" s="34"/>
      <c r="D29" s="34"/>
      <c r="E29" s="34"/>
      <c r="F29" s="34"/>
      <c r="G29" s="35"/>
    </row>
    <row r="30" spans="1:7" ht="56">
      <c r="A30" s="36">
        <v>1</v>
      </c>
      <c r="B30" s="37" t="s">
        <v>110</v>
      </c>
      <c r="C30" s="36" t="e">
        <f>[1]各人群统表!D2</f>
        <v>#REF!</v>
      </c>
      <c r="D30" s="36">
        <v>6</v>
      </c>
      <c r="E30" s="38">
        <v>3800</v>
      </c>
      <c r="F30" s="39" t="e">
        <f t="shared" ref="F30:F38" si="3">C30*D30*E30</f>
        <v>#REF!</v>
      </c>
      <c r="G30" s="37" t="s">
        <v>111</v>
      </c>
    </row>
    <row r="31" spans="1:7" ht="56">
      <c r="A31" s="36">
        <v>2</v>
      </c>
      <c r="B31" s="37" t="s">
        <v>112</v>
      </c>
      <c r="C31" s="36" t="e">
        <f>[1]各人群统表!D3</f>
        <v>#REF!</v>
      </c>
      <c r="D31" s="36">
        <v>7</v>
      </c>
      <c r="E31" s="38">
        <v>1500</v>
      </c>
      <c r="F31" s="39" t="e">
        <f t="shared" si="3"/>
        <v>#REF!</v>
      </c>
      <c r="G31" s="37" t="s">
        <v>113</v>
      </c>
    </row>
    <row r="32" spans="1:7" ht="65" customHeight="1">
      <c r="A32" s="36">
        <v>3</v>
      </c>
      <c r="B32" s="52" t="s">
        <v>114</v>
      </c>
      <c r="C32" s="53" t="e">
        <f>SUM([1]各人群统表!P5:V5)*0.5</f>
        <v>#REF!</v>
      </c>
      <c r="D32" s="36">
        <v>2</v>
      </c>
      <c r="E32" s="38">
        <v>800</v>
      </c>
      <c r="F32" s="39" t="e">
        <f t="shared" si="3"/>
        <v>#REF!</v>
      </c>
      <c r="G32" s="37"/>
    </row>
    <row r="33" spans="1:7">
      <c r="A33" s="36">
        <v>4</v>
      </c>
      <c r="B33" s="54" t="s">
        <v>115</v>
      </c>
      <c r="C33" s="55">
        <v>2</v>
      </c>
      <c r="D33" s="56">
        <v>2</v>
      </c>
      <c r="E33" s="57">
        <v>1500</v>
      </c>
      <c r="F33" s="58">
        <f t="shared" si="3"/>
        <v>6000</v>
      </c>
      <c r="G33" s="37"/>
    </row>
    <row r="34" spans="1:7">
      <c r="A34" s="36">
        <v>5</v>
      </c>
      <c r="B34" s="52" t="s">
        <v>116</v>
      </c>
      <c r="C34" s="36">
        <v>1</v>
      </c>
      <c r="D34" s="36">
        <v>2</v>
      </c>
      <c r="E34" s="38">
        <v>1100</v>
      </c>
      <c r="F34" s="39">
        <f t="shared" si="3"/>
        <v>2200</v>
      </c>
      <c r="G34" s="37"/>
    </row>
    <row r="35" spans="1:7" ht="84">
      <c r="A35" s="36">
        <v>6</v>
      </c>
      <c r="B35" s="52" t="s">
        <v>117</v>
      </c>
      <c r="C35" s="36">
        <v>7</v>
      </c>
      <c r="D35" s="36">
        <v>5</v>
      </c>
      <c r="E35" s="38">
        <v>2800</v>
      </c>
      <c r="F35" s="39">
        <f t="shared" si="3"/>
        <v>98000</v>
      </c>
      <c r="G35" s="37" t="s">
        <v>118</v>
      </c>
    </row>
    <row r="36" spans="1:7" ht="42">
      <c r="A36" s="36">
        <v>7</v>
      </c>
      <c r="B36" s="52" t="s">
        <v>119</v>
      </c>
      <c r="C36" s="36">
        <v>12</v>
      </c>
      <c r="D36" s="36">
        <v>5</v>
      </c>
      <c r="E36" s="38">
        <v>1500</v>
      </c>
      <c r="F36" s="39">
        <f t="shared" si="3"/>
        <v>90000</v>
      </c>
      <c r="G36" s="37" t="s">
        <v>120</v>
      </c>
    </row>
    <row r="37" spans="1:7" ht="42">
      <c r="A37" s="36">
        <v>8</v>
      </c>
      <c r="B37" s="37" t="s">
        <v>121</v>
      </c>
      <c r="C37" s="36">
        <v>7</v>
      </c>
      <c r="D37" s="36">
        <v>1</v>
      </c>
      <c r="E37" s="38">
        <v>2800</v>
      </c>
      <c r="F37" s="39">
        <f t="shared" si="3"/>
        <v>19600</v>
      </c>
      <c r="G37" s="37" t="s">
        <v>122</v>
      </c>
    </row>
    <row r="38" spans="1:7" ht="42">
      <c r="A38" s="36">
        <v>9</v>
      </c>
      <c r="B38" s="37" t="s">
        <v>123</v>
      </c>
      <c r="C38" s="36">
        <v>14</v>
      </c>
      <c r="D38" s="36">
        <v>1</v>
      </c>
      <c r="E38" s="38">
        <v>1500</v>
      </c>
      <c r="F38" s="39">
        <f t="shared" si="3"/>
        <v>21000</v>
      </c>
      <c r="G38" s="37" t="s">
        <v>124</v>
      </c>
    </row>
    <row r="39" spans="1:7">
      <c r="A39" s="36">
        <v>10</v>
      </c>
      <c r="B39" s="37" t="s">
        <v>125</v>
      </c>
      <c r="C39" s="36">
        <v>6</v>
      </c>
      <c r="D39" s="36">
        <v>7</v>
      </c>
      <c r="E39" s="38">
        <v>1500</v>
      </c>
      <c r="F39" s="39">
        <f>C39*D39*E39</f>
        <v>63000</v>
      </c>
      <c r="G39" s="37"/>
    </row>
    <row r="40" spans="1:7" ht="28">
      <c r="A40" s="36">
        <v>11</v>
      </c>
      <c r="B40" s="52" t="s">
        <v>34</v>
      </c>
      <c r="C40" s="36">
        <v>1</v>
      </c>
      <c r="D40" s="36">
        <v>1</v>
      </c>
      <c r="E40" s="38">
        <v>10000</v>
      </c>
      <c r="F40" s="39">
        <f>C40*D40*E40</f>
        <v>10000</v>
      </c>
      <c r="G40" s="37" t="s">
        <v>35</v>
      </c>
    </row>
    <row r="41" spans="1:7" ht="23" customHeight="1">
      <c r="A41" s="36">
        <v>12</v>
      </c>
      <c r="B41" s="52" t="s">
        <v>360</v>
      </c>
      <c r="C41" s="36">
        <v>100</v>
      </c>
      <c r="D41" s="36">
        <v>4</v>
      </c>
      <c r="E41" s="38">
        <v>200</v>
      </c>
      <c r="F41" s="39">
        <f>C41*D41*E41</f>
        <v>80000</v>
      </c>
      <c r="G41" s="37" t="s">
        <v>16</v>
      </c>
    </row>
    <row r="42" spans="1:7">
      <c r="A42" s="36">
        <v>13</v>
      </c>
      <c r="B42" s="52" t="s">
        <v>126</v>
      </c>
      <c r="C42" s="36">
        <v>2</v>
      </c>
      <c r="D42" s="36">
        <v>2</v>
      </c>
      <c r="E42" s="38">
        <v>600</v>
      </c>
      <c r="F42" s="39">
        <f>C42*D42*E42</f>
        <v>2400</v>
      </c>
      <c r="G42" s="37" t="s">
        <v>16</v>
      </c>
    </row>
    <row r="43" spans="1:7">
      <c r="A43" s="299" t="s">
        <v>17</v>
      </c>
      <c r="B43" s="299"/>
      <c r="C43" s="299"/>
      <c r="D43" s="299"/>
      <c r="E43" s="299"/>
      <c r="F43" s="42" t="e">
        <f>SUM(F30:F42)</f>
        <v>#REF!</v>
      </c>
      <c r="G43" s="43"/>
    </row>
    <row r="44" spans="1:7">
      <c r="A44" s="34"/>
      <c r="B44" s="33" t="s">
        <v>36</v>
      </c>
      <c r="C44" s="34"/>
      <c r="D44" s="34"/>
      <c r="E44" s="34"/>
      <c r="F44" s="34"/>
      <c r="G44" s="35"/>
    </row>
    <row r="45" spans="1:7">
      <c r="A45" s="36">
        <v>1</v>
      </c>
      <c r="B45" s="37" t="s">
        <v>127</v>
      </c>
      <c r="C45" s="36" t="e">
        <f>[1]各人群统表!D2</f>
        <v>#REF!</v>
      </c>
      <c r="D45" s="36">
        <v>5</v>
      </c>
      <c r="E45" s="38">
        <v>400</v>
      </c>
      <c r="F45" s="39" t="e">
        <f>C45*D45*E45</f>
        <v>#REF!</v>
      </c>
      <c r="G45" s="37" t="s">
        <v>128</v>
      </c>
    </row>
    <row r="46" spans="1:7">
      <c r="A46" s="36">
        <v>2</v>
      </c>
      <c r="B46" s="37" t="s">
        <v>129</v>
      </c>
      <c r="C46" s="36" t="e">
        <f>[1]各人群统表!D3</f>
        <v>#REF!</v>
      </c>
      <c r="D46" s="36">
        <v>6</v>
      </c>
      <c r="E46" s="38">
        <v>400</v>
      </c>
      <c r="F46" s="39" t="e">
        <f>C46*D46*E46</f>
        <v>#REF!</v>
      </c>
      <c r="G46" s="37" t="s">
        <v>128</v>
      </c>
    </row>
    <row r="47" spans="1:7">
      <c r="A47" s="36">
        <v>3</v>
      </c>
      <c r="B47" s="37" t="s">
        <v>130</v>
      </c>
      <c r="C47" s="36" t="e">
        <f>[1]各人群统表!P5</f>
        <v>#REF!</v>
      </c>
      <c r="D47" s="36">
        <v>3</v>
      </c>
      <c r="E47" s="38">
        <v>400</v>
      </c>
      <c r="F47" s="39" t="e">
        <f t="shared" ref="F47:F56" si="4">C47*D47*E47</f>
        <v>#REF!</v>
      </c>
      <c r="G47" s="37" t="s">
        <v>128</v>
      </c>
    </row>
    <row r="48" spans="1:7">
      <c r="A48" s="36">
        <v>4</v>
      </c>
      <c r="B48" s="37" t="s">
        <v>130</v>
      </c>
      <c r="C48" s="36" t="e">
        <f>[1]各人群统表!Q5</f>
        <v>#REF!</v>
      </c>
      <c r="D48" s="36">
        <v>4</v>
      </c>
      <c r="E48" s="38">
        <v>400</v>
      </c>
      <c r="F48" s="39" t="e">
        <f t="shared" si="4"/>
        <v>#REF!</v>
      </c>
      <c r="G48" s="37" t="s">
        <v>128</v>
      </c>
    </row>
    <row r="49" spans="1:7">
      <c r="A49" s="36">
        <v>5</v>
      </c>
      <c r="B49" s="37" t="s">
        <v>130</v>
      </c>
      <c r="C49" s="36" t="e">
        <f>[1]各人群统表!R5</f>
        <v>#REF!</v>
      </c>
      <c r="D49" s="36">
        <v>5</v>
      </c>
      <c r="E49" s="38">
        <v>400</v>
      </c>
      <c r="F49" s="39" t="e">
        <f t="shared" si="4"/>
        <v>#REF!</v>
      </c>
      <c r="G49" s="37" t="s">
        <v>128</v>
      </c>
    </row>
    <row r="50" spans="1:7">
      <c r="A50" s="36">
        <v>6</v>
      </c>
      <c r="B50" s="37" t="s">
        <v>130</v>
      </c>
      <c r="C50" s="36" t="e">
        <f>[1]各人群统表!S5</f>
        <v>#REF!</v>
      </c>
      <c r="D50" s="36">
        <v>6</v>
      </c>
      <c r="E50" s="38">
        <v>400</v>
      </c>
      <c r="F50" s="39" t="e">
        <f t="shared" si="4"/>
        <v>#REF!</v>
      </c>
      <c r="G50" s="37" t="s">
        <v>128</v>
      </c>
    </row>
    <row r="51" spans="1:7">
      <c r="A51" s="36">
        <v>7</v>
      </c>
      <c r="B51" s="59" t="s">
        <v>131</v>
      </c>
      <c r="C51" s="49">
        <v>10</v>
      </c>
      <c r="D51" s="49">
        <v>3</v>
      </c>
      <c r="E51" s="50">
        <v>300</v>
      </c>
      <c r="F51" s="51">
        <f t="shared" si="4"/>
        <v>9000</v>
      </c>
      <c r="G51" s="37" t="s">
        <v>128</v>
      </c>
    </row>
    <row r="52" spans="1:7">
      <c r="A52" s="36">
        <v>8</v>
      </c>
      <c r="B52" s="59" t="s">
        <v>131</v>
      </c>
      <c r="C52" s="49">
        <v>10</v>
      </c>
      <c r="D52" s="49">
        <v>4</v>
      </c>
      <c r="E52" s="50">
        <v>300</v>
      </c>
      <c r="F52" s="51">
        <f t="shared" si="4"/>
        <v>12000</v>
      </c>
      <c r="G52" s="37" t="s">
        <v>128</v>
      </c>
    </row>
    <row r="53" spans="1:7">
      <c r="A53" s="36">
        <v>9</v>
      </c>
      <c r="B53" s="59" t="s">
        <v>131</v>
      </c>
      <c r="C53" s="49">
        <v>35</v>
      </c>
      <c r="D53" s="49">
        <v>6</v>
      </c>
      <c r="E53" s="50">
        <v>300</v>
      </c>
      <c r="F53" s="51">
        <f t="shared" si="4"/>
        <v>63000</v>
      </c>
      <c r="G53" s="37" t="s">
        <v>128</v>
      </c>
    </row>
    <row r="54" spans="1:7">
      <c r="A54" s="36">
        <v>10</v>
      </c>
      <c r="B54" s="37" t="s">
        <v>132</v>
      </c>
      <c r="C54" s="36">
        <v>215</v>
      </c>
      <c r="D54" s="36">
        <v>1</v>
      </c>
      <c r="E54" s="38">
        <v>200</v>
      </c>
      <c r="F54" s="39">
        <f t="shared" si="4"/>
        <v>43000</v>
      </c>
      <c r="G54" s="37" t="s">
        <v>133</v>
      </c>
    </row>
    <row r="55" spans="1:7">
      <c r="A55" s="36">
        <v>11</v>
      </c>
      <c r="B55" s="37" t="s">
        <v>134</v>
      </c>
      <c r="C55" s="36">
        <v>215</v>
      </c>
      <c r="D55" s="36">
        <v>1</v>
      </c>
      <c r="E55" s="38">
        <v>200</v>
      </c>
      <c r="F55" s="39">
        <f t="shared" si="4"/>
        <v>43000</v>
      </c>
      <c r="G55" s="37" t="s">
        <v>135</v>
      </c>
    </row>
    <row r="56" spans="1:7">
      <c r="A56" s="36">
        <v>12</v>
      </c>
      <c r="B56" s="37" t="s">
        <v>136</v>
      </c>
      <c r="C56" s="36">
        <v>400</v>
      </c>
      <c r="D56" s="36">
        <v>2</v>
      </c>
      <c r="E56" s="38">
        <v>100</v>
      </c>
      <c r="F56" s="39">
        <f t="shared" si="4"/>
        <v>80000</v>
      </c>
      <c r="G56" s="37"/>
    </row>
    <row r="57" spans="1:7">
      <c r="A57" s="299" t="s">
        <v>17</v>
      </c>
      <c r="B57" s="299"/>
      <c r="C57" s="299"/>
      <c r="D57" s="299"/>
      <c r="E57" s="299"/>
      <c r="F57" s="42" t="e">
        <f>SUM(F45:F56)</f>
        <v>#REF!</v>
      </c>
      <c r="G57" s="43"/>
    </row>
    <row r="58" spans="1:7">
      <c r="A58" s="34"/>
      <c r="B58" s="33" t="s">
        <v>41</v>
      </c>
      <c r="C58" s="34"/>
      <c r="D58" s="34"/>
      <c r="E58" s="34"/>
      <c r="F58" s="34"/>
      <c r="G58" s="35"/>
    </row>
    <row r="59" spans="1:7">
      <c r="A59" s="36">
        <v>1</v>
      </c>
      <c r="B59" s="37" t="s">
        <v>137</v>
      </c>
      <c r="C59" s="36" t="e">
        <f>[1]各人群统表!C2+[1]各人群统表!C3+[1]各人群统表!C4+[1]各人群统表!C5+[1]各人群统表!C6+[1]各人群统表!C8+[1]各人群统表!C12+[1]各人群统表!C13+[1]各人群统表!C14+[1]各人群统表!C15+[1]各人群统表!C16+[1]各人群统表!C17+[1]各人群统表!C18</f>
        <v>#REF!</v>
      </c>
      <c r="D59" s="36">
        <v>1</v>
      </c>
      <c r="E59" s="38">
        <v>50</v>
      </c>
      <c r="F59" s="39" t="e">
        <f>C59*D59*E59</f>
        <v>#REF!</v>
      </c>
      <c r="G59" s="60" t="s">
        <v>138</v>
      </c>
    </row>
    <row r="60" spans="1:7" ht="42">
      <c r="A60" s="36">
        <v>2</v>
      </c>
      <c r="B60" s="37" t="s">
        <v>139</v>
      </c>
      <c r="C60" s="36">
        <v>2</v>
      </c>
      <c r="D60" s="36">
        <v>6</v>
      </c>
      <c r="E60" s="38">
        <v>2500</v>
      </c>
      <c r="F60" s="39">
        <f>C60*D60*E60</f>
        <v>30000</v>
      </c>
      <c r="G60" s="60" t="s">
        <v>140</v>
      </c>
    </row>
    <row r="61" spans="1:7">
      <c r="A61" s="36">
        <v>3</v>
      </c>
      <c r="B61" s="37" t="s">
        <v>141</v>
      </c>
      <c r="C61" s="36">
        <v>2</v>
      </c>
      <c r="D61" s="36">
        <v>6</v>
      </c>
      <c r="E61" s="38">
        <v>1000</v>
      </c>
      <c r="F61" s="39">
        <f>C61*D61*E61</f>
        <v>12000</v>
      </c>
      <c r="G61" s="60"/>
    </row>
    <row r="62" spans="1:7">
      <c r="A62" s="36">
        <v>4</v>
      </c>
      <c r="B62" s="37" t="s">
        <v>142</v>
      </c>
      <c r="C62" s="36">
        <v>429</v>
      </c>
      <c r="D62" s="36">
        <v>6</v>
      </c>
      <c r="E62" s="38">
        <v>4</v>
      </c>
      <c r="F62" s="39">
        <f>C62*D62*E62</f>
        <v>10296</v>
      </c>
      <c r="G62" s="37" t="s">
        <v>143</v>
      </c>
    </row>
    <row r="63" spans="1:7">
      <c r="A63" s="36">
        <v>5</v>
      </c>
      <c r="B63" s="37" t="s">
        <v>144</v>
      </c>
      <c r="C63" s="36">
        <v>2</v>
      </c>
      <c r="D63" s="36">
        <v>6</v>
      </c>
      <c r="E63" s="38">
        <v>5000</v>
      </c>
      <c r="F63" s="39">
        <f>C63*D63*E63</f>
        <v>60000</v>
      </c>
      <c r="G63" s="60"/>
    </row>
    <row r="64" spans="1:7">
      <c r="A64" s="299" t="s">
        <v>17</v>
      </c>
      <c r="B64" s="299"/>
      <c r="C64" s="299"/>
      <c r="D64" s="299"/>
      <c r="E64" s="299"/>
      <c r="F64" s="42" t="e">
        <f>SUM(F59:F63)</f>
        <v>#REF!</v>
      </c>
      <c r="G64" s="43"/>
    </row>
    <row r="65" spans="1:7">
      <c r="A65" s="34"/>
      <c r="B65" s="33" t="s">
        <v>44</v>
      </c>
      <c r="C65" s="34"/>
      <c r="D65" s="34"/>
      <c r="E65" s="34"/>
      <c r="F65" s="34"/>
      <c r="G65" s="35"/>
    </row>
    <row r="66" spans="1:7">
      <c r="A66" s="36">
        <v>1</v>
      </c>
      <c r="B66" s="37" t="s">
        <v>145</v>
      </c>
      <c r="C66" s="36">
        <v>3</v>
      </c>
      <c r="D66" s="36">
        <v>25</v>
      </c>
      <c r="E66" s="38">
        <v>800</v>
      </c>
      <c r="F66" s="39">
        <f t="shared" ref="F66:F74" si="5">C66*D66*E66</f>
        <v>60000</v>
      </c>
      <c r="G66" s="37"/>
    </row>
    <row r="67" spans="1:7" ht="28">
      <c r="A67" s="36">
        <v>2</v>
      </c>
      <c r="B67" s="37" t="s">
        <v>146</v>
      </c>
      <c r="C67" s="36">
        <v>23</v>
      </c>
      <c r="D67" s="36">
        <v>15</v>
      </c>
      <c r="E67" s="38">
        <v>800</v>
      </c>
      <c r="F67" s="39">
        <f t="shared" si="5"/>
        <v>276000</v>
      </c>
      <c r="G67" s="37"/>
    </row>
    <row r="68" spans="1:7" ht="28">
      <c r="A68" s="36">
        <v>3</v>
      </c>
      <c r="B68" s="37" t="s">
        <v>147</v>
      </c>
      <c r="C68" s="36">
        <v>26</v>
      </c>
      <c r="D68" s="36">
        <v>10</v>
      </c>
      <c r="E68" s="38">
        <v>800</v>
      </c>
      <c r="F68" s="39">
        <f t="shared" si="5"/>
        <v>208000</v>
      </c>
      <c r="G68" s="37" t="s">
        <v>148</v>
      </c>
    </row>
    <row r="69" spans="1:7" ht="28">
      <c r="A69" s="36">
        <v>4</v>
      </c>
      <c r="B69" s="37" t="s">
        <v>149</v>
      </c>
      <c r="C69" s="36">
        <v>10</v>
      </c>
      <c r="D69" s="36">
        <v>12</v>
      </c>
      <c r="E69" s="38">
        <v>600</v>
      </c>
      <c r="F69" s="39">
        <f t="shared" si="5"/>
        <v>72000</v>
      </c>
      <c r="G69" s="37" t="s">
        <v>150</v>
      </c>
    </row>
    <row r="70" spans="1:7">
      <c r="A70" s="36">
        <v>5</v>
      </c>
      <c r="B70" s="37" t="s">
        <v>50</v>
      </c>
      <c r="C70" s="36">
        <v>26</v>
      </c>
      <c r="D70" s="36">
        <v>2</v>
      </c>
      <c r="E70" s="38">
        <v>1000</v>
      </c>
      <c r="F70" s="39">
        <f t="shared" si="5"/>
        <v>52000</v>
      </c>
      <c r="G70" s="37" t="s">
        <v>51</v>
      </c>
    </row>
    <row r="71" spans="1:7">
      <c r="A71" s="36">
        <v>6</v>
      </c>
      <c r="B71" s="37" t="s">
        <v>52</v>
      </c>
      <c r="C71" s="36">
        <v>14</v>
      </c>
      <c r="D71" s="36">
        <v>9</v>
      </c>
      <c r="E71" s="38">
        <v>500</v>
      </c>
      <c r="F71" s="39">
        <f t="shared" si="5"/>
        <v>63000</v>
      </c>
      <c r="G71" s="37" t="s">
        <v>53</v>
      </c>
    </row>
    <row r="72" spans="1:7" ht="28">
      <c r="A72" s="36">
        <v>7</v>
      </c>
      <c r="B72" s="37" t="s">
        <v>54</v>
      </c>
      <c r="C72" s="36">
        <v>26</v>
      </c>
      <c r="D72" s="36">
        <v>10</v>
      </c>
      <c r="E72" s="38">
        <v>60</v>
      </c>
      <c r="F72" s="39">
        <f t="shared" si="5"/>
        <v>15600</v>
      </c>
      <c r="G72" s="37" t="s">
        <v>55</v>
      </c>
    </row>
    <row r="73" spans="1:7">
      <c r="A73" s="36">
        <v>8</v>
      </c>
      <c r="B73" s="37" t="s">
        <v>56</v>
      </c>
      <c r="C73" s="36">
        <v>26</v>
      </c>
      <c r="D73" s="36">
        <v>10</v>
      </c>
      <c r="E73" s="38">
        <v>80</v>
      </c>
      <c r="F73" s="39">
        <f t="shared" si="5"/>
        <v>20800</v>
      </c>
      <c r="G73" s="37" t="s">
        <v>51</v>
      </c>
    </row>
    <row r="74" spans="1:7">
      <c r="A74" s="36">
        <v>9</v>
      </c>
      <c r="B74" s="37" t="s">
        <v>57</v>
      </c>
      <c r="C74" s="36">
        <v>26</v>
      </c>
      <c r="D74" s="36">
        <v>10</v>
      </c>
      <c r="E74" s="38">
        <v>100</v>
      </c>
      <c r="F74" s="39">
        <f t="shared" si="5"/>
        <v>26000</v>
      </c>
      <c r="G74" s="37" t="s">
        <v>51</v>
      </c>
    </row>
    <row r="75" spans="1:7">
      <c r="A75" s="299" t="s">
        <v>17</v>
      </c>
      <c r="B75" s="299"/>
      <c r="C75" s="299"/>
      <c r="D75" s="299"/>
      <c r="E75" s="299"/>
      <c r="F75" s="42">
        <f>SUM(F66:F74)</f>
        <v>793400</v>
      </c>
      <c r="G75" s="43"/>
    </row>
    <row r="76" spans="1:7">
      <c r="A76" s="34"/>
      <c r="B76" s="33" t="s">
        <v>58</v>
      </c>
      <c r="C76" s="34"/>
      <c r="D76" s="34"/>
      <c r="E76" s="34"/>
      <c r="F76" s="34"/>
      <c r="G76" s="35"/>
    </row>
    <row r="77" spans="1:7" ht="28">
      <c r="A77" s="36">
        <v>1</v>
      </c>
      <c r="B77" s="37" t="s">
        <v>151</v>
      </c>
      <c r="C77" s="36">
        <v>2</v>
      </c>
      <c r="D77" s="36">
        <v>10</v>
      </c>
      <c r="E77" s="38">
        <v>800</v>
      </c>
      <c r="F77" s="39">
        <f>C77*D77*E77</f>
        <v>16000</v>
      </c>
      <c r="G77" s="37" t="s">
        <v>152</v>
      </c>
    </row>
    <row r="78" spans="1:7" ht="84">
      <c r="A78" s="36">
        <v>8</v>
      </c>
      <c r="B78" s="37" t="s">
        <v>153</v>
      </c>
      <c r="C78" s="36">
        <v>81</v>
      </c>
      <c r="D78" s="36">
        <v>1</v>
      </c>
      <c r="E78" s="38">
        <v>600</v>
      </c>
      <c r="F78" s="39">
        <f t="shared" ref="F78:F91" si="6">C78*D78*E78</f>
        <v>48600</v>
      </c>
      <c r="G78" s="37" t="s">
        <v>154</v>
      </c>
    </row>
    <row r="79" spans="1:7" ht="70">
      <c r="A79" s="36">
        <v>9</v>
      </c>
      <c r="B79" s="37" t="s">
        <v>155</v>
      </c>
      <c r="C79" s="36" t="e">
        <f>[1]第三方人员明细表!M10</f>
        <v>#REF!</v>
      </c>
      <c r="D79" s="36">
        <v>1</v>
      </c>
      <c r="E79" s="38">
        <v>1000</v>
      </c>
      <c r="F79" s="39" t="e">
        <f t="shared" si="6"/>
        <v>#REF!</v>
      </c>
      <c r="G79" s="37" t="s">
        <v>156</v>
      </c>
    </row>
    <row r="80" spans="1:7" ht="70">
      <c r="A80" s="36">
        <v>10</v>
      </c>
      <c r="B80" s="37" t="s">
        <v>157</v>
      </c>
      <c r="C80" s="36" t="e">
        <f>[1]第三方人员明细表!M11</f>
        <v>#REF!</v>
      </c>
      <c r="D80" s="36">
        <v>1</v>
      </c>
      <c r="E80" s="38">
        <v>800</v>
      </c>
      <c r="F80" s="39" t="e">
        <f t="shared" si="6"/>
        <v>#REF!</v>
      </c>
      <c r="G80" s="37" t="s">
        <v>158</v>
      </c>
    </row>
    <row r="81" spans="1:7" ht="70">
      <c r="A81" s="36">
        <v>11</v>
      </c>
      <c r="B81" s="37" t="s">
        <v>159</v>
      </c>
      <c r="C81" s="36" t="e">
        <f>[1]第三方人员明细表!M12</f>
        <v>#REF!</v>
      </c>
      <c r="D81" s="36">
        <v>1</v>
      </c>
      <c r="E81" s="38">
        <v>3000</v>
      </c>
      <c r="F81" s="39" t="e">
        <f t="shared" si="6"/>
        <v>#REF!</v>
      </c>
      <c r="G81" s="37" t="s">
        <v>160</v>
      </c>
    </row>
    <row r="82" spans="1:7" ht="84">
      <c r="A82" s="36">
        <v>12</v>
      </c>
      <c r="B82" s="37" t="s">
        <v>161</v>
      </c>
      <c r="C82" s="36">
        <v>63</v>
      </c>
      <c r="D82" s="36">
        <v>1</v>
      </c>
      <c r="E82" s="38">
        <v>600</v>
      </c>
      <c r="F82" s="39">
        <f t="shared" si="6"/>
        <v>37800</v>
      </c>
      <c r="G82" s="37" t="s">
        <v>162</v>
      </c>
    </row>
    <row r="83" spans="1:7" ht="70">
      <c r="A83" s="36">
        <v>13</v>
      </c>
      <c r="B83" s="37" t="s">
        <v>163</v>
      </c>
      <c r="C83" s="36" t="e">
        <f>[1]第三方人员明细表!M19</f>
        <v>#REF!</v>
      </c>
      <c r="D83" s="61">
        <v>1</v>
      </c>
      <c r="E83" s="38">
        <v>1000</v>
      </c>
      <c r="F83" s="39" t="e">
        <f t="shared" si="6"/>
        <v>#REF!</v>
      </c>
      <c r="G83" s="37" t="s">
        <v>156</v>
      </c>
    </row>
    <row r="84" spans="1:7" ht="70">
      <c r="A84" s="36">
        <v>14</v>
      </c>
      <c r="B84" s="37" t="s">
        <v>164</v>
      </c>
      <c r="C84" s="36" t="e">
        <f>[1]第三方人员明细表!M20</f>
        <v>#REF!</v>
      </c>
      <c r="D84" s="61">
        <v>1</v>
      </c>
      <c r="E84" s="38">
        <v>800</v>
      </c>
      <c r="F84" s="39" t="e">
        <f t="shared" si="6"/>
        <v>#REF!</v>
      </c>
      <c r="G84" s="37" t="s">
        <v>158</v>
      </c>
    </row>
    <row r="85" spans="1:7" ht="70">
      <c r="A85" s="36">
        <v>15</v>
      </c>
      <c r="B85" s="37" t="s">
        <v>165</v>
      </c>
      <c r="C85" s="36" t="e">
        <f>[1]第三方人员明细表!M21</f>
        <v>#REF!</v>
      </c>
      <c r="D85" s="36">
        <v>1</v>
      </c>
      <c r="E85" s="38">
        <v>3000</v>
      </c>
      <c r="F85" s="39" t="e">
        <f t="shared" si="6"/>
        <v>#REF!</v>
      </c>
      <c r="G85" s="37" t="s">
        <v>160</v>
      </c>
    </row>
    <row r="86" spans="1:7" ht="56">
      <c r="A86" s="36">
        <v>16</v>
      </c>
      <c r="B86" s="37" t="s">
        <v>166</v>
      </c>
      <c r="C86" s="36">
        <v>116</v>
      </c>
      <c r="D86" s="36">
        <v>1</v>
      </c>
      <c r="E86" s="38">
        <v>600</v>
      </c>
      <c r="F86" s="39">
        <f t="shared" si="6"/>
        <v>69600</v>
      </c>
      <c r="G86" s="37" t="s">
        <v>167</v>
      </c>
    </row>
    <row r="87" spans="1:7" ht="56">
      <c r="A87" s="36">
        <v>17</v>
      </c>
      <c r="B87" s="37" t="s">
        <v>168</v>
      </c>
      <c r="C87" s="36">
        <v>142</v>
      </c>
      <c r="D87" s="36">
        <v>1</v>
      </c>
      <c r="E87" s="38">
        <v>600</v>
      </c>
      <c r="F87" s="39">
        <f t="shared" si="6"/>
        <v>85200</v>
      </c>
      <c r="G87" s="37" t="s">
        <v>167</v>
      </c>
    </row>
    <row r="88" spans="1:7" ht="70">
      <c r="A88" s="36">
        <v>18</v>
      </c>
      <c r="B88" s="37" t="s">
        <v>169</v>
      </c>
      <c r="C88" s="36">
        <v>58</v>
      </c>
      <c r="D88" s="36">
        <v>1</v>
      </c>
      <c r="E88" s="38">
        <v>1000</v>
      </c>
      <c r="F88" s="39">
        <f t="shared" si="6"/>
        <v>58000</v>
      </c>
      <c r="G88" s="37" t="s">
        <v>156</v>
      </c>
    </row>
    <row r="89" spans="1:7" ht="70">
      <c r="A89" s="36">
        <v>19</v>
      </c>
      <c r="B89" s="37" t="s">
        <v>170</v>
      </c>
      <c r="C89" s="36">
        <v>92</v>
      </c>
      <c r="D89" s="36">
        <v>1</v>
      </c>
      <c r="E89" s="38">
        <v>800</v>
      </c>
      <c r="F89" s="39">
        <f t="shared" si="6"/>
        <v>73600</v>
      </c>
      <c r="G89" s="37" t="s">
        <v>158</v>
      </c>
    </row>
    <row r="90" spans="1:7" ht="70">
      <c r="A90" s="36">
        <v>20</v>
      </c>
      <c r="B90" s="37" t="s">
        <v>171</v>
      </c>
      <c r="C90" s="36">
        <v>21</v>
      </c>
      <c r="D90" s="36">
        <v>1</v>
      </c>
      <c r="E90" s="38">
        <v>3000</v>
      </c>
      <c r="F90" s="39">
        <f t="shared" si="6"/>
        <v>63000</v>
      </c>
      <c r="G90" s="37" t="s">
        <v>160</v>
      </c>
    </row>
    <row r="91" spans="1:7" ht="56">
      <c r="A91" s="36">
        <v>21</v>
      </c>
      <c r="B91" s="37" t="s">
        <v>172</v>
      </c>
      <c r="C91" s="36">
        <v>73</v>
      </c>
      <c r="D91" s="36">
        <v>1</v>
      </c>
      <c r="E91" s="38">
        <v>600</v>
      </c>
      <c r="F91" s="39">
        <f t="shared" si="6"/>
        <v>43800</v>
      </c>
      <c r="G91" s="37" t="s">
        <v>167</v>
      </c>
    </row>
    <row r="92" spans="1:7">
      <c r="A92" s="36">
        <v>23</v>
      </c>
      <c r="B92" s="37" t="s">
        <v>68</v>
      </c>
      <c r="C92" s="36">
        <v>140</v>
      </c>
      <c r="D92" s="36">
        <v>8</v>
      </c>
      <c r="E92" s="38">
        <v>60</v>
      </c>
      <c r="F92" s="39">
        <f>C92*D92*E92</f>
        <v>67200</v>
      </c>
      <c r="G92" s="37"/>
    </row>
    <row r="93" spans="1:7">
      <c r="A93" s="36">
        <v>24</v>
      </c>
      <c r="B93" s="37" t="s">
        <v>173</v>
      </c>
      <c r="C93" s="36">
        <v>140</v>
      </c>
      <c r="D93" s="36">
        <v>8</v>
      </c>
      <c r="E93" s="38">
        <v>80</v>
      </c>
      <c r="F93" s="39">
        <f>C93*D93*E93</f>
        <v>89600</v>
      </c>
      <c r="G93" s="37"/>
    </row>
    <row r="94" spans="1:7">
      <c r="A94" s="36">
        <v>25</v>
      </c>
      <c r="B94" s="37" t="s">
        <v>174</v>
      </c>
      <c r="C94" s="36">
        <v>175</v>
      </c>
      <c r="D94" s="36">
        <v>8</v>
      </c>
      <c r="E94" s="38">
        <v>4</v>
      </c>
      <c r="F94" s="39">
        <f>C94*D94*E94</f>
        <v>5600</v>
      </c>
      <c r="G94" s="37"/>
    </row>
    <row r="95" spans="1:7">
      <c r="A95" s="36">
        <v>26</v>
      </c>
      <c r="B95" s="37" t="s">
        <v>70</v>
      </c>
      <c r="C95" s="36">
        <v>80</v>
      </c>
      <c r="D95" s="36">
        <v>1</v>
      </c>
      <c r="E95" s="38">
        <v>300</v>
      </c>
      <c r="F95" s="39">
        <f>C95*D95*E95</f>
        <v>24000</v>
      </c>
      <c r="G95" s="37"/>
    </row>
    <row r="96" spans="1:7">
      <c r="A96" s="36">
        <v>27</v>
      </c>
      <c r="B96" s="37" t="s">
        <v>175</v>
      </c>
      <c r="C96" s="36">
        <v>80</v>
      </c>
      <c r="D96" s="36">
        <v>6</v>
      </c>
      <c r="E96" s="38">
        <v>80</v>
      </c>
      <c r="F96" s="39">
        <f>C96*D96*E96</f>
        <v>38400</v>
      </c>
      <c r="G96" s="37"/>
    </row>
    <row r="97" spans="1:7">
      <c r="A97" s="299" t="s">
        <v>17</v>
      </c>
      <c r="B97" s="299"/>
      <c r="C97" s="299"/>
      <c r="D97" s="299"/>
      <c r="E97" s="299"/>
      <c r="F97" s="42" t="e">
        <f>SUM(F77:F96)</f>
        <v>#REF!</v>
      </c>
      <c r="G97" s="43"/>
    </row>
    <row r="98" spans="1:7">
      <c r="A98" s="34"/>
      <c r="B98" s="33" t="s">
        <v>72</v>
      </c>
      <c r="C98" s="34"/>
      <c r="D98" s="34"/>
      <c r="E98" s="34"/>
      <c r="F98" s="34"/>
      <c r="G98" s="35"/>
    </row>
    <row r="99" spans="1:7">
      <c r="A99" s="36">
        <v>1</v>
      </c>
      <c r="B99" s="37" t="s">
        <v>176</v>
      </c>
      <c r="C99" s="36">
        <v>18</v>
      </c>
      <c r="D99" s="36">
        <v>1</v>
      </c>
      <c r="E99" s="38">
        <v>80</v>
      </c>
      <c r="F99" s="39">
        <f t="shared" ref="F99:F138" si="7">C99*D99*E99</f>
        <v>1440</v>
      </c>
      <c r="G99" s="37"/>
    </row>
    <row r="100" spans="1:7">
      <c r="A100" s="36">
        <v>2</v>
      </c>
      <c r="B100" s="37" t="s">
        <v>177</v>
      </c>
      <c r="C100" s="36" t="e">
        <f>[1]各人群统表!C2+[1]各人群统表!C3+[1]各人群统表!C4+[1]各人群统表!C5+[1]各人群统表!C6+[1]各人群统表!C8+[1]各人群统表!C12+[1]各人群统表!C13+[1]各人群统表!C14+[1]各人群统表!C15+[1]各人群统表!C16+[1]各人群统表!C17+[1]各人群统表!C18</f>
        <v>#REF!</v>
      </c>
      <c r="D100" s="36">
        <v>1</v>
      </c>
      <c r="E100" s="38">
        <v>150</v>
      </c>
      <c r="F100" s="39" t="e">
        <f t="shared" si="7"/>
        <v>#REF!</v>
      </c>
      <c r="G100" s="37"/>
    </row>
    <row r="101" spans="1:7">
      <c r="A101" s="36">
        <v>3</v>
      </c>
      <c r="B101" s="37" t="s">
        <v>178</v>
      </c>
      <c r="C101" s="36">
        <v>1</v>
      </c>
      <c r="D101" s="36">
        <v>1</v>
      </c>
      <c r="E101" s="38">
        <v>2000</v>
      </c>
      <c r="F101" s="39">
        <f t="shared" si="7"/>
        <v>2000</v>
      </c>
      <c r="G101" s="37" t="s">
        <v>179</v>
      </c>
    </row>
    <row r="102" spans="1:7">
      <c r="A102" s="36">
        <v>4</v>
      </c>
      <c r="B102" s="37" t="s">
        <v>74</v>
      </c>
      <c r="C102" s="36">
        <v>76</v>
      </c>
      <c r="D102" s="36">
        <v>1</v>
      </c>
      <c r="E102" s="38">
        <v>30</v>
      </c>
      <c r="F102" s="39">
        <f t="shared" si="7"/>
        <v>2280</v>
      </c>
      <c r="G102" s="37"/>
    </row>
    <row r="103" spans="1:7" ht="28">
      <c r="A103" s="36">
        <v>5</v>
      </c>
      <c r="B103" s="37" t="s">
        <v>180</v>
      </c>
      <c r="C103" s="36">
        <v>2</v>
      </c>
      <c r="D103" s="36">
        <v>6</v>
      </c>
      <c r="E103" s="38">
        <v>200</v>
      </c>
      <c r="F103" s="39">
        <f t="shared" si="7"/>
        <v>2400</v>
      </c>
      <c r="G103" s="37" t="s">
        <v>76</v>
      </c>
    </row>
    <row r="104" spans="1:7">
      <c r="A104" s="36">
        <v>6</v>
      </c>
      <c r="B104" s="52" t="s">
        <v>181</v>
      </c>
      <c r="C104" s="36">
        <v>2</v>
      </c>
      <c r="D104" s="36">
        <v>1</v>
      </c>
      <c r="E104" s="38">
        <v>3000</v>
      </c>
      <c r="F104" s="39">
        <f t="shared" si="7"/>
        <v>6000</v>
      </c>
      <c r="G104" s="37"/>
    </row>
    <row r="105" spans="1:7" ht="28">
      <c r="A105" s="36">
        <v>7</v>
      </c>
      <c r="B105" s="37" t="s">
        <v>497</v>
      </c>
      <c r="C105" s="36">
        <v>32</v>
      </c>
      <c r="D105" s="36">
        <v>8.5</v>
      </c>
      <c r="E105" s="38">
        <v>100</v>
      </c>
      <c r="F105" s="39">
        <f t="shared" si="7"/>
        <v>27200</v>
      </c>
      <c r="G105" s="37" t="s">
        <v>76</v>
      </c>
    </row>
    <row r="106" spans="1:7">
      <c r="A106" s="36">
        <v>8</v>
      </c>
      <c r="B106" s="52" t="s">
        <v>182</v>
      </c>
      <c r="C106" s="36">
        <v>32</v>
      </c>
      <c r="D106" s="36">
        <v>1</v>
      </c>
      <c r="E106" s="38">
        <v>500</v>
      </c>
      <c r="F106" s="39">
        <f t="shared" si="7"/>
        <v>16000</v>
      </c>
      <c r="G106" s="37"/>
    </row>
    <row r="107" spans="1:7" ht="28">
      <c r="A107" s="36">
        <v>9</v>
      </c>
      <c r="B107" s="37" t="s">
        <v>183</v>
      </c>
      <c r="C107" s="36">
        <v>40</v>
      </c>
      <c r="D107" s="36">
        <v>1</v>
      </c>
      <c r="E107" s="38">
        <v>100</v>
      </c>
      <c r="F107" s="39">
        <f t="shared" si="7"/>
        <v>4000</v>
      </c>
      <c r="G107" s="37" t="s">
        <v>184</v>
      </c>
    </row>
    <row r="108" spans="1:7">
      <c r="A108" s="36">
        <v>10</v>
      </c>
      <c r="B108" s="37" t="s">
        <v>185</v>
      </c>
      <c r="C108" s="36">
        <v>15</v>
      </c>
      <c r="D108" s="36">
        <v>1</v>
      </c>
      <c r="E108" s="38">
        <v>100</v>
      </c>
      <c r="F108" s="39">
        <f t="shared" si="7"/>
        <v>1500</v>
      </c>
      <c r="G108" s="37" t="s">
        <v>186</v>
      </c>
    </row>
    <row r="109" spans="1:7">
      <c r="A109" s="36">
        <v>11</v>
      </c>
      <c r="B109" s="52" t="s">
        <v>187</v>
      </c>
      <c r="C109" s="36">
        <v>40</v>
      </c>
      <c r="D109" s="36">
        <v>1</v>
      </c>
      <c r="E109" s="38">
        <v>500</v>
      </c>
      <c r="F109" s="39">
        <f t="shared" si="7"/>
        <v>20000</v>
      </c>
      <c r="G109" s="37"/>
    </row>
    <row r="110" spans="1:7">
      <c r="A110" s="36">
        <v>12</v>
      </c>
      <c r="B110" s="52" t="s">
        <v>188</v>
      </c>
      <c r="C110" s="36">
        <v>10</v>
      </c>
      <c r="D110" s="36">
        <v>1</v>
      </c>
      <c r="E110" s="38">
        <v>1500</v>
      </c>
      <c r="F110" s="39">
        <f t="shared" si="7"/>
        <v>15000</v>
      </c>
      <c r="G110" s="37"/>
    </row>
    <row r="111" spans="1:7" ht="28">
      <c r="A111" s="36">
        <v>13</v>
      </c>
      <c r="B111" s="37" t="s">
        <v>189</v>
      </c>
      <c r="C111" s="36">
        <v>10</v>
      </c>
      <c r="D111" s="36">
        <v>2</v>
      </c>
      <c r="E111" s="38">
        <v>600</v>
      </c>
      <c r="F111" s="39">
        <f t="shared" si="7"/>
        <v>12000</v>
      </c>
      <c r="G111" s="37" t="s">
        <v>190</v>
      </c>
    </row>
    <row r="112" spans="1:7" ht="28">
      <c r="A112" s="36">
        <v>14</v>
      </c>
      <c r="B112" s="37" t="s">
        <v>191</v>
      </c>
      <c r="C112" s="36">
        <v>8</v>
      </c>
      <c r="D112" s="36">
        <v>2</v>
      </c>
      <c r="E112" s="38">
        <v>800</v>
      </c>
      <c r="F112" s="39">
        <f t="shared" si="7"/>
        <v>12800</v>
      </c>
      <c r="G112" s="37" t="s">
        <v>192</v>
      </c>
    </row>
    <row r="113" spans="1:7" ht="42">
      <c r="A113" s="36">
        <v>15</v>
      </c>
      <c r="B113" s="37" t="s">
        <v>193</v>
      </c>
      <c r="C113" s="36">
        <v>5</v>
      </c>
      <c r="D113" s="36">
        <v>2</v>
      </c>
      <c r="E113" s="38">
        <v>30</v>
      </c>
      <c r="F113" s="39">
        <f t="shared" si="7"/>
        <v>300</v>
      </c>
      <c r="G113" s="37" t="s">
        <v>194</v>
      </c>
    </row>
    <row r="114" spans="1:7" ht="28">
      <c r="A114" s="36">
        <v>16</v>
      </c>
      <c r="B114" s="37" t="s">
        <v>195</v>
      </c>
      <c r="C114" s="36">
        <v>1</v>
      </c>
      <c r="D114" s="36">
        <v>2</v>
      </c>
      <c r="E114" s="38">
        <v>1000</v>
      </c>
      <c r="F114" s="39">
        <f t="shared" si="7"/>
        <v>2000</v>
      </c>
      <c r="G114" s="37" t="s">
        <v>196</v>
      </c>
    </row>
    <row r="115" spans="1:7" ht="28">
      <c r="A115" s="36">
        <v>17</v>
      </c>
      <c r="B115" s="37" t="s">
        <v>197</v>
      </c>
      <c r="C115" s="36" t="e">
        <f>SUM([1]各人群统表!C2:C18)</f>
        <v>#REF!</v>
      </c>
      <c r="D115" s="36">
        <v>14</v>
      </c>
      <c r="E115" s="38">
        <v>5</v>
      </c>
      <c r="F115" s="39" t="e">
        <f t="shared" si="7"/>
        <v>#REF!</v>
      </c>
      <c r="G115" s="60" t="s">
        <v>198</v>
      </c>
    </row>
    <row r="116" spans="1:7">
      <c r="A116" s="36">
        <v>18</v>
      </c>
      <c r="B116" s="37" t="s">
        <v>199</v>
      </c>
      <c r="C116" s="36" t="e">
        <f>SUM([1]各人群统表!C2:C18)</f>
        <v>#REF!</v>
      </c>
      <c r="D116" s="36">
        <v>1</v>
      </c>
      <c r="E116" s="38">
        <v>10</v>
      </c>
      <c r="F116" s="39" t="e">
        <f t="shared" si="7"/>
        <v>#REF!</v>
      </c>
      <c r="G116" s="60"/>
    </row>
    <row r="117" spans="1:7">
      <c r="A117" s="36">
        <v>19</v>
      </c>
      <c r="B117" s="37" t="s">
        <v>200</v>
      </c>
      <c r="C117" s="36" t="e">
        <f>SUM([1]各人群统表!C2:C18)</f>
        <v>#REF!</v>
      </c>
      <c r="D117" s="36">
        <v>1</v>
      </c>
      <c r="E117" s="38">
        <v>10</v>
      </c>
      <c r="F117" s="39" t="e">
        <f t="shared" si="7"/>
        <v>#REF!</v>
      </c>
      <c r="G117" s="60"/>
    </row>
    <row r="118" spans="1:7">
      <c r="A118" s="36">
        <v>20</v>
      </c>
      <c r="B118" s="37" t="s">
        <v>201</v>
      </c>
      <c r="C118" s="36" t="e">
        <f>[1]各人群统表!C2+[1]各人群统表!C3+[1]各人群统表!C4+[1]各人群统表!C5+[1]各人群统表!C6+[1]各人群统表!C8+[1]各人群统表!C12+[1]各人群统表!C13+[1]各人群统表!C14+[1]各人群统表!C15+[1]各人群统表!C16+[1]各人群统表!C17+[1]各人群统表!C18</f>
        <v>#REF!</v>
      </c>
      <c r="D118" s="36">
        <v>1</v>
      </c>
      <c r="E118" s="38">
        <v>10</v>
      </c>
      <c r="F118" s="39" t="e">
        <f t="shared" si="7"/>
        <v>#REF!</v>
      </c>
      <c r="G118" s="60"/>
    </row>
    <row r="119" spans="1:7">
      <c r="A119" s="36">
        <v>21</v>
      </c>
      <c r="B119" s="37" t="s">
        <v>202</v>
      </c>
      <c r="C119" s="36" t="e">
        <f>SUM([1]各人群统表!C2:C18)</f>
        <v>#REF!</v>
      </c>
      <c r="D119" s="36">
        <v>1</v>
      </c>
      <c r="E119" s="38">
        <v>20</v>
      </c>
      <c r="F119" s="39" t="e">
        <f t="shared" si="7"/>
        <v>#REF!</v>
      </c>
      <c r="G119" s="60"/>
    </row>
    <row r="120" spans="1:7">
      <c r="A120" s="36">
        <v>22</v>
      </c>
      <c r="B120" s="37" t="s">
        <v>203</v>
      </c>
      <c r="C120" s="36" t="e">
        <f>[1]各人群统表!C2+[1]各人群统表!C3+[1]各人群统表!C4+[1]各人群统表!C5+[1]各人群统表!C6+[1]各人群统表!C8+[1]各人群统表!C12+[1]各人群统表!C13+[1]各人群统表!C14+[1]各人群统表!C15+[1]各人群统表!C16+[1]各人群统表!C17+[1]各人群统表!C18</f>
        <v>#REF!</v>
      </c>
      <c r="D120" s="36">
        <v>1</v>
      </c>
      <c r="E120" s="38">
        <v>10</v>
      </c>
      <c r="F120" s="39" t="e">
        <f t="shared" si="7"/>
        <v>#REF!</v>
      </c>
      <c r="G120" s="60"/>
    </row>
    <row r="121" spans="1:7">
      <c r="A121" s="36">
        <v>23</v>
      </c>
      <c r="B121" s="37" t="s">
        <v>204</v>
      </c>
      <c r="C121" s="36" t="e">
        <f>[1]各人群统表!C2+[1]各人群统表!C3+[1]各人群统表!C4+[1]各人群统表!C5+[1]各人群统表!C6+[1]各人群统表!C8+[1]各人群统表!C12+[1]各人群统表!C13+[1]各人群统表!C14+[1]各人群统表!C15+[1]各人群统表!C16+[1]各人群统表!C17+[1]各人群统表!C18</f>
        <v>#REF!</v>
      </c>
      <c r="D121" s="36">
        <v>1</v>
      </c>
      <c r="E121" s="38">
        <v>300</v>
      </c>
      <c r="F121" s="39" t="e">
        <f t="shared" si="7"/>
        <v>#REF!</v>
      </c>
      <c r="G121" s="60"/>
    </row>
    <row r="122" spans="1:7">
      <c r="A122" s="36">
        <v>24</v>
      </c>
      <c r="B122" s="37" t="s">
        <v>205</v>
      </c>
      <c r="C122" s="36" t="e">
        <f>[1]各人群统表!C2+[1]各人群统表!C3+[1]各人群统表!C4+[1]各人群统表!C5+[1]各人群统表!C6+[1]各人群统表!C8+[1]各人群统表!C12+[1]各人群统表!C13+[1]各人群统表!C14+[1]各人群统表!C15+[1]各人群统表!C16+[1]各人群统表!C17+[1]各人群统表!C18</f>
        <v>#REF!</v>
      </c>
      <c r="D122" s="36">
        <v>1</v>
      </c>
      <c r="E122" s="38">
        <v>100</v>
      </c>
      <c r="F122" s="39" t="e">
        <f t="shared" si="7"/>
        <v>#REF!</v>
      </c>
      <c r="G122" s="60"/>
    </row>
    <row r="123" spans="1:7">
      <c r="A123" s="36">
        <v>25</v>
      </c>
      <c r="B123" s="37" t="s">
        <v>206</v>
      </c>
      <c r="C123" s="36" t="e">
        <f>[1]各人群统表!C2+[1]各人群统表!C3+[1]各人群统表!C4+[1]各人群统表!C5+[1]各人群统表!C6+[1]各人群统表!C8+[1]各人群统表!C12+[1]各人群统表!C13+[1]各人群统表!C14+[1]各人群统表!C15+[1]各人群统表!C16+[1]各人群统表!C17+[1]各人群统表!C18</f>
        <v>#REF!</v>
      </c>
      <c r="D123" s="36">
        <v>1</v>
      </c>
      <c r="E123" s="38">
        <v>150</v>
      </c>
      <c r="F123" s="39" t="e">
        <f t="shared" si="7"/>
        <v>#REF!</v>
      </c>
      <c r="G123" s="60"/>
    </row>
    <row r="124" spans="1:7">
      <c r="A124" s="36">
        <v>26</v>
      </c>
      <c r="B124" s="37" t="s">
        <v>207</v>
      </c>
      <c r="C124" s="36">
        <v>0</v>
      </c>
      <c r="D124" s="36">
        <v>1</v>
      </c>
      <c r="E124" s="38">
        <v>5000</v>
      </c>
      <c r="F124" s="39">
        <f t="shared" si="7"/>
        <v>0</v>
      </c>
      <c r="G124" s="60"/>
    </row>
    <row r="125" spans="1:7" ht="28">
      <c r="A125" s="36">
        <v>27</v>
      </c>
      <c r="B125" s="37" t="s">
        <v>208</v>
      </c>
      <c r="C125" s="36">
        <v>1000</v>
      </c>
      <c r="D125" s="36">
        <v>5</v>
      </c>
      <c r="E125" s="38">
        <v>5</v>
      </c>
      <c r="F125" s="39">
        <f t="shared" si="7"/>
        <v>25000</v>
      </c>
      <c r="G125" s="37" t="s">
        <v>209</v>
      </c>
    </row>
    <row r="126" spans="1:7">
      <c r="A126" s="36">
        <v>28</v>
      </c>
      <c r="B126" s="37" t="s">
        <v>210</v>
      </c>
      <c r="C126" s="36">
        <v>200</v>
      </c>
      <c r="D126" s="36">
        <v>1</v>
      </c>
      <c r="E126" s="38">
        <v>150</v>
      </c>
      <c r="F126" s="39">
        <f t="shared" si="7"/>
        <v>30000</v>
      </c>
      <c r="G126" s="37" t="s">
        <v>211</v>
      </c>
    </row>
    <row r="127" spans="1:7">
      <c r="A127" s="36">
        <v>29</v>
      </c>
      <c r="B127" s="37" t="s">
        <v>212</v>
      </c>
      <c r="C127" s="36">
        <v>4</v>
      </c>
      <c r="D127" s="36">
        <v>1</v>
      </c>
      <c r="E127" s="38">
        <v>600</v>
      </c>
      <c r="F127" s="39">
        <f t="shared" si="7"/>
        <v>2400</v>
      </c>
      <c r="G127" s="37" t="s">
        <v>213</v>
      </c>
    </row>
    <row r="128" spans="1:7">
      <c r="A128" s="36">
        <v>30</v>
      </c>
      <c r="B128" s="37" t="s">
        <v>78</v>
      </c>
      <c r="C128" s="36">
        <v>1</v>
      </c>
      <c r="D128" s="36">
        <v>1</v>
      </c>
      <c r="E128" s="38">
        <v>10000</v>
      </c>
      <c r="F128" s="39">
        <f t="shared" si="7"/>
        <v>10000</v>
      </c>
      <c r="G128" s="60"/>
    </row>
    <row r="129" spans="1:7">
      <c r="A129" s="36">
        <v>31</v>
      </c>
      <c r="B129" s="37" t="s">
        <v>214</v>
      </c>
      <c r="C129" s="36">
        <v>1</v>
      </c>
      <c r="D129" s="36">
        <v>1</v>
      </c>
      <c r="E129" s="38">
        <v>5000</v>
      </c>
      <c r="F129" s="39">
        <f t="shared" si="7"/>
        <v>5000</v>
      </c>
      <c r="G129" s="60"/>
    </row>
    <row r="130" spans="1:7">
      <c r="A130" s="299" t="s">
        <v>17</v>
      </c>
      <c r="B130" s="299"/>
      <c r="C130" s="299"/>
      <c r="D130" s="299"/>
      <c r="E130" s="299"/>
      <c r="F130" s="42" t="e">
        <f>SUM(F99:F129)</f>
        <v>#REF!</v>
      </c>
      <c r="G130" s="43"/>
    </row>
    <row r="131" spans="1:7">
      <c r="A131" s="34"/>
      <c r="B131" s="33" t="s">
        <v>215</v>
      </c>
      <c r="C131" s="34"/>
      <c r="D131" s="34"/>
      <c r="E131" s="34"/>
      <c r="F131" s="34"/>
      <c r="G131" s="35"/>
    </row>
    <row r="132" spans="1:7">
      <c r="A132" s="36">
        <v>1</v>
      </c>
      <c r="B132" s="37" t="s">
        <v>216</v>
      </c>
      <c r="C132" s="36">
        <v>20</v>
      </c>
      <c r="D132" s="36">
        <v>1</v>
      </c>
      <c r="E132" s="38">
        <v>800</v>
      </c>
      <c r="F132" s="39">
        <f t="shared" si="7"/>
        <v>16000</v>
      </c>
      <c r="G132" s="37"/>
    </row>
    <row r="133" spans="1:7">
      <c r="A133" s="36">
        <v>3</v>
      </c>
      <c r="B133" s="37" t="s">
        <v>217</v>
      </c>
      <c r="C133" s="36">
        <v>1</v>
      </c>
      <c r="D133" s="36">
        <v>1</v>
      </c>
      <c r="E133" s="38">
        <v>38000</v>
      </c>
      <c r="F133" s="39">
        <f t="shared" si="7"/>
        <v>38000</v>
      </c>
      <c r="G133" s="37"/>
    </row>
    <row r="134" spans="1:7">
      <c r="A134" s="36">
        <v>4</v>
      </c>
      <c r="B134" s="37" t="s">
        <v>218</v>
      </c>
      <c r="C134" s="36">
        <v>1</v>
      </c>
      <c r="D134" s="36">
        <v>1</v>
      </c>
      <c r="E134" s="38">
        <v>26000</v>
      </c>
      <c r="F134" s="39">
        <f t="shared" si="7"/>
        <v>26000</v>
      </c>
      <c r="G134" s="37"/>
    </row>
    <row r="135" spans="1:7">
      <c r="A135" s="36">
        <v>6</v>
      </c>
      <c r="B135" s="37" t="s">
        <v>219</v>
      </c>
      <c r="C135" s="36">
        <v>1</v>
      </c>
      <c r="D135" s="36">
        <v>1</v>
      </c>
      <c r="E135" s="38">
        <v>20000</v>
      </c>
      <c r="F135" s="39">
        <f t="shared" si="7"/>
        <v>20000</v>
      </c>
      <c r="G135" s="37"/>
    </row>
    <row r="136" spans="1:7">
      <c r="A136" s="36">
        <v>7</v>
      </c>
      <c r="B136" s="37" t="s">
        <v>220</v>
      </c>
      <c r="C136" s="36">
        <v>1</v>
      </c>
      <c r="D136" s="36">
        <v>1</v>
      </c>
      <c r="E136" s="38">
        <v>26000</v>
      </c>
      <c r="F136" s="39">
        <f t="shared" si="7"/>
        <v>26000</v>
      </c>
      <c r="G136" s="37" t="s">
        <v>221</v>
      </c>
    </row>
    <row r="137" spans="1:7">
      <c r="A137" s="36">
        <v>8</v>
      </c>
      <c r="B137" s="37" t="s">
        <v>222</v>
      </c>
      <c r="C137" s="36">
        <v>1</v>
      </c>
      <c r="D137" s="36">
        <v>1</v>
      </c>
      <c r="E137" s="38">
        <v>20000</v>
      </c>
      <c r="F137" s="39">
        <f t="shared" si="7"/>
        <v>20000</v>
      </c>
      <c r="G137" s="37" t="s">
        <v>223</v>
      </c>
    </row>
    <row r="138" spans="1:7">
      <c r="A138" s="36">
        <v>11</v>
      </c>
      <c r="B138" s="37" t="s">
        <v>224</v>
      </c>
      <c r="C138" s="36">
        <v>1</v>
      </c>
      <c r="D138" s="36">
        <v>1</v>
      </c>
      <c r="E138" s="38">
        <v>24000</v>
      </c>
      <c r="F138" s="39">
        <f t="shared" si="7"/>
        <v>24000</v>
      </c>
      <c r="G138" s="37"/>
    </row>
    <row r="139" spans="1:7">
      <c r="A139" s="299" t="s">
        <v>17</v>
      </c>
      <c r="B139" s="299"/>
      <c r="C139" s="299"/>
      <c r="D139" s="299"/>
      <c r="E139" s="299"/>
      <c r="F139" s="42">
        <f>SUM(F132:F138)</f>
        <v>170000</v>
      </c>
      <c r="G139" s="43"/>
    </row>
    <row r="140" spans="1:7">
      <c r="A140" s="34"/>
      <c r="B140" s="33" t="s">
        <v>79</v>
      </c>
      <c r="C140" s="34"/>
      <c r="D140" s="34"/>
      <c r="E140" s="34"/>
      <c r="F140" s="34"/>
      <c r="G140" s="35"/>
    </row>
    <row r="141" spans="1:7">
      <c r="A141" s="36">
        <v>1</v>
      </c>
      <c r="B141" s="37" t="s">
        <v>225</v>
      </c>
      <c r="C141" s="36">
        <v>2</v>
      </c>
      <c r="D141" s="36">
        <v>10</v>
      </c>
      <c r="E141" s="38">
        <v>5000</v>
      </c>
      <c r="F141" s="39">
        <f t="shared" ref="F141:F146" si="8">C141*D141*E141</f>
        <v>100000</v>
      </c>
      <c r="G141" s="60" t="s">
        <v>83</v>
      </c>
    </row>
    <row r="142" spans="1:7">
      <c r="A142" s="36">
        <v>2</v>
      </c>
      <c r="B142" s="37" t="s">
        <v>226</v>
      </c>
      <c r="C142" s="36">
        <v>1</v>
      </c>
      <c r="D142" s="36">
        <v>1</v>
      </c>
      <c r="E142" s="38">
        <v>5000</v>
      </c>
      <c r="F142" s="39">
        <f t="shared" si="8"/>
        <v>5000</v>
      </c>
      <c r="G142" s="60" t="s">
        <v>83</v>
      </c>
    </row>
    <row r="143" spans="1:7">
      <c r="A143" s="36">
        <v>3</v>
      </c>
      <c r="B143" s="37" t="s">
        <v>227</v>
      </c>
      <c r="C143" s="36">
        <v>1</v>
      </c>
      <c r="D143" s="36">
        <v>1</v>
      </c>
      <c r="E143" s="38">
        <v>30000</v>
      </c>
      <c r="F143" s="39">
        <f t="shared" si="8"/>
        <v>30000</v>
      </c>
      <c r="G143" s="60"/>
    </row>
    <row r="144" spans="1:7">
      <c r="A144" s="36">
        <v>4</v>
      </c>
      <c r="B144" s="37" t="s">
        <v>228</v>
      </c>
      <c r="C144" s="36">
        <v>1</v>
      </c>
      <c r="D144" s="36">
        <v>1</v>
      </c>
      <c r="E144" s="38">
        <v>25000</v>
      </c>
      <c r="F144" s="39">
        <f t="shared" si="8"/>
        <v>25000</v>
      </c>
      <c r="G144" s="60"/>
    </row>
    <row r="145" spans="1:7">
      <c r="A145" s="36">
        <v>5</v>
      </c>
      <c r="B145" s="37" t="s">
        <v>80</v>
      </c>
      <c r="C145" s="36">
        <v>1</v>
      </c>
      <c r="D145" s="36">
        <v>1</v>
      </c>
      <c r="E145" s="38">
        <v>2000</v>
      </c>
      <c r="F145" s="39">
        <f t="shared" si="8"/>
        <v>2000</v>
      </c>
      <c r="G145" s="60"/>
    </row>
    <row r="146" spans="1:7">
      <c r="A146" s="36">
        <v>6</v>
      </c>
      <c r="B146" s="37" t="s">
        <v>229</v>
      </c>
      <c r="C146" s="36">
        <v>1</v>
      </c>
      <c r="D146" s="36">
        <v>1</v>
      </c>
      <c r="E146" s="38">
        <v>2000</v>
      </c>
      <c r="F146" s="39">
        <f t="shared" si="8"/>
        <v>2000</v>
      </c>
      <c r="G146" s="60" t="s">
        <v>83</v>
      </c>
    </row>
    <row r="147" spans="1:7">
      <c r="A147" s="299" t="s">
        <v>17</v>
      </c>
      <c r="B147" s="299"/>
      <c r="C147" s="299"/>
      <c r="D147" s="299"/>
      <c r="E147" s="299"/>
      <c r="F147" s="42">
        <f>SUM(F141:F146)</f>
        <v>164000</v>
      </c>
      <c r="G147" s="43"/>
    </row>
    <row r="148" spans="1:7">
      <c r="A148" s="34"/>
      <c r="B148" s="33" t="s">
        <v>84</v>
      </c>
      <c r="C148" s="34"/>
      <c r="D148" s="34"/>
      <c r="E148" s="34"/>
      <c r="F148" s="34"/>
      <c r="G148" s="35"/>
    </row>
    <row r="149" spans="1:7">
      <c r="A149" s="36">
        <v>1</v>
      </c>
      <c r="B149" s="37" t="s">
        <v>230</v>
      </c>
      <c r="C149" s="36">
        <v>1</v>
      </c>
      <c r="D149" s="36">
        <v>1</v>
      </c>
      <c r="E149" s="38">
        <v>10000</v>
      </c>
      <c r="F149" s="39">
        <f>C149*D149*E149</f>
        <v>10000</v>
      </c>
      <c r="G149" s="37"/>
    </row>
    <row r="150" spans="1:7">
      <c r="A150" s="36">
        <v>2</v>
      </c>
      <c r="B150" s="37" t="s">
        <v>231</v>
      </c>
      <c r="C150" s="36">
        <v>1</v>
      </c>
      <c r="D150" s="36">
        <v>1</v>
      </c>
      <c r="E150" s="38">
        <v>10000</v>
      </c>
      <c r="F150" s="39">
        <f>C150*D150*E150</f>
        <v>10000</v>
      </c>
      <c r="G150" s="40"/>
    </row>
    <row r="151" spans="1:7">
      <c r="A151" s="299" t="s">
        <v>17</v>
      </c>
      <c r="B151" s="299"/>
      <c r="C151" s="299"/>
      <c r="D151" s="299"/>
      <c r="E151" s="299"/>
      <c r="F151" s="42">
        <f>SUM(F149:F150)</f>
        <v>20000</v>
      </c>
      <c r="G151" s="43"/>
    </row>
    <row r="152" spans="1:7">
      <c r="A152" s="303" t="s">
        <v>86</v>
      </c>
      <c r="B152" s="304"/>
      <c r="C152" s="305"/>
      <c r="D152" s="305"/>
      <c r="E152" s="305"/>
      <c r="F152" s="62" t="e">
        <f>SUM(F151,F147,F130,F97,F75,F64,F57,F43,F28,F11,F139)</f>
        <v>#REF!</v>
      </c>
      <c r="G152" s="63"/>
    </row>
    <row r="153" spans="1:7">
      <c r="A153" s="64"/>
      <c r="B153" s="65"/>
      <c r="C153" s="64"/>
      <c r="D153" s="64"/>
      <c r="E153" s="66" t="s">
        <v>87</v>
      </c>
      <c r="F153" s="67" t="e">
        <f>F152*4%</f>
        <v>#REF!</v>
      </c>
      <c r="G153" s="68"/>
    </row>
    <row r="154" spans="1:7">
      <c r="A154" s="36"/>
      <c r="B154" s="52"/>
      <c r="C154" s="36"/>
      <c r="D154" s="36"/>
      <c r="E154" s="66" t="s">
        <v>232</v>
      </c>
      <c r="F154" s="67" t="e">
        <f>(F152+F153)*6%</f>
        <v>#REF!</v>
      </c>
      <c r="G154" s="68"/>
    </row>
    <row r="155" spans="1:7">
      <c r="A155" s="69"/>
      <c r="B155" s="16"/>
      <c r="C155" s="70"/>
      <c r="D155" s="70"/>
      <c r="E155" s="71" t="s">
        <v>89</v>
      </c>
      <c r="F155" s="72" t="e">
        <f>SUM(F152:F154)</f>
        <v>#REF!</v>
      </c>
      <c r="G155" s="73"/>
    </row>
  </sheetData>
  <autoFilter ref="A2:G155" xr:uid="{E8EA73F0-AADD-3F4E-8404-3D137007FFF9}"/>
  <mergeCells count="13">
    <mergeCell ref="A152:E152"/>
    <mergeCell ref="A75:E75"/>
    <mergeCell ref="A97:E97"/>
    <mergeCell ref="A130:E130"/>
    <mergeCell ref="A139:E139"/>
    <mergeCell ref="A147:E147"/>
    <mergeCell ref="A151:E151"/>
    <mergeCell ref="A64:E64"/>
    <mergeCell ref="A1:G1"/>
    <mergeCell ref="A11:E11"/>
    <mergeCell ref="A28:E28"/>
    <mergeCell ref="A43:E43"/>
    <mergeCell ref="A57:E57"/>
  </mergeCells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汇总</vt:lpstr>
      <vt:lpstr>报价单拟制</vt:lpstr>
      <vt:lpstr>需求分类占比分析</vt:lpstr>
      <vt:lpstr>常用条目</vt:lpstr>
      <vt:lpstr>非常用条目</vt:lpstr>
      <vt:lpstr>地面交通-数量预估</vt:lpstr>
      <vt:lpstr>人员费用-数量预估</vt:lpstr>
      <vt:lpstr>物料-数量预估</vt:lpstr>
      <vt:lpstr>年度</vt:lpstr>
      <vt:lpstr>100万以上</vt:lpstr>
      <vt:lpstr>100万以下项目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fhx823</dc:creator>
  <cp:lastModifiedBy>34833</cp:lastModifiedBy>
  <dcterms:created xsi:type="dcterms:W3CDTF">2023-08-15T04:51:34Z</dcterms:created>
  <dcterms:modified xsi:type="dcterms:W3CDTF">2024-07-12T08:50:35Z</dcterms:modified>
</cp:coreProperties>
</file>