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<sst xmlns="http://schemas.openxmlformats.org/spreadsheetml/2006/main" count="90" uniqueCount="66">
  <si>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*报价模块</t>
  </si>
  <si>
    <t>*一级区域</t>
  </si>
  <si>
    <t>*二级区域</t>
  </si>
  <si>
    <t>*具体内容</t>
  </si>
  <si>
    <t>*条目来源</t>
  </si>
  <si>
    <t>索引基础价格
「Ratecard序号」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</si>
  <si>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</si>
  <si>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</si>
  <si>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</si>
  <si>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</si>
  <si>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</si>
  <si>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</si>
  <si>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</si>
  <si>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</si>
  <si>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</si>
  <si>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</si>
  <si>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结算金额(元）</t>
  </si>
  <si>
    <t>差异金额</t>
  </si>
  <si>
    <t>*已包含税率</t>
  </si>
  <si>
    <t>*已包含服务费率</t>
  </si>
  <si>
    <t>备注（如尺寸、型号）或其他说明</t>
  </si>
  <si>
    <t>结案报告第几页</t>
  </si>
  <si>
    <t>第三方人员类</t>
  </si>
  <si>
    <t>康辉工作人员</t>
  </si>
  <si>
    <t>全陪人员</t>
  </si>
  <si>
    <t>19-23日，5天预估，1人</t>
  </si>
  <si>
    <t>框架内</t>
  </si>
  <si>
    <t>D#003</t>
  </si>
  <si>
    <t>第三方人员单项合计</t>
  </si>
  <si>
    <t>差旅接待类</t>
  </si>
  <si>
    <t>嘉宾机票</t>
  </si>
  <si>
    <t>各地前往杭州</t>
  </si>
  <si>
    <t>经济舱，往返预估</t>
  </si>
  <si>
    <t>据实结算</t>
  </si>
  <si>
    <t>人/次</t>
  </si>
  <si>
    <t>嘉宾住宿</t>
  </si>
  <si>
    <t>酒店待定</t>
  </si>
  <si>
    <t>20日入住-23日退房，3晚，大床预估</t>
  </si>
  <si>
    <t>间/晚</t>
  </si>
  <si>
    <t>小交通</t>
  </si>
  <si>
    <t>接活动期间接驳</t>
  </si>
  <si>
    <t>9.20-23日，4天，自行报销，按天预估</t>
  </si>
  <si>
    <t>人/天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</si>
  <si>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</si>
  <si>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</si>
  <si>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</si>
  <si>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</si>
  <si>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</si>
  <si>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</si>
  <si>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差旅接待单项合计</t>
  </si>
  <si>
    <t>d</t>
  </si>
  <si>
    <t>服务费</t>
  </si>
  <si>
    <t>M#004</t>
  </si>
  <si>
    <t>税费</t>
  </si>
  <si>
    <t>M#010</t>
  </si>
  <si>
    <t>服务费小计</t>
  </si>
  <si>
    <t/>
  </si>
  <si>
    <t>汇总（含服务费）</t>
  </si>
  <si>
    <t>整体优惠</t>
  </si>
  <si>
    <t>整体优惠为必填，有优惠时填具体优惠金额（负值），如无优惠也必须填0！！</t>
  </si>
  <si>
    <t>项</t>
  </si>
  <si>
    <t>0</t>
  </si>
  <si>
    <t>合计（含服务费&amp;优惠金额）</t>
  </si>
  <si>
    <t>框架内物料占比</t>
  </si>
  <si>
    <t>框架外物料占比（原则不超过30%）</t>
  </si>
  <si>
    <t>据实结算占比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</si>
</sst>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\¥#,##0.00_);[Red]\(\¥#,##0.00\)"/>
    <numFmt numFmtId="179" formatCode="_ \¥* #,##0.00_ ;_ \¥* \-#,##0.00_ ;_ \¥* &quot;-&quot;??_ ;_ @_ "/>
  </numFmts>
  <fonts count="32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49" fontId="2" fillId="0" borderId="0" xfId="2" applyNumberFormat="1" applyFont="1" applyBorder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3" fillId="0" borderId="0" xfId="2" applyNumberFormat="1" applyFont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9" fontId="3" fillId="0" borderId="0" xfId="3" applyFont="1" applyAlignment="1" applyProtection="1">
      <alignment horizontal="center" vertical="center"/>
      <protection locked="0"/>
    </xf>
    <xf numFmtId="0" fontId="4" fillId="3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2" fillId="6" borderId="4" xfId="49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4" fillId="3" borderId="1" xfId="49" applyFont="1" applyFill="1" applyBorder="1" applyAlignment="1">
      <alignment horizontal="center" vertical="center" wrapText="1"/>
    </xf>
    <xf numFmtId="0" fontId="4" fillId="8" borderId="1" xfId="49" applyFont="1" applyFill="1" applyBorder="1" applyAlignment="1" applyProtection="1">
      <alignment horizontal="center" vertical="center" wrapText="1"/>
      <protection locked="0"/>
    </xf>
    <xf numFmtId="0" fontId="4" fillId="9" borderId="1" xfId="49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horizontal="left" vertical="center" wrapText="1"/>
      <protection locked="0"/>
    </xf>
    <xf numFmtId="177" fontId="2" fillId="2" borderId="5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left" vertical="center" wrapText="1"/>
      <protection locked="0"/>
    </xf>
    <xf numFmtId="177" fontId="2" fillId="6" borderId="4" xfId="50" applyNumberFormat="1" applyFont="1" applyFill="1" applyBorder="1" applyAlignment="1" applyProtection="1">
      <alignment horizontal="center" vertical="center" wrapText="1"/>
      <protection locked="0"/>
    </xf>
    <xf numFmtId="0" fontId="2" fillId="6" borderId="4" xfId="49" applyFont="1" applyFill="1" applyBorder="1" applyAlignment="1" applyProtection="1">
      <alignment horizontal="left" vertical="top" wrapText="1"/>
      <protection locked="0"/>
    </xf>
    <xf numFmtId="0" fontId="5" fillId="7" borderId="7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49" fontId="5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1" xfId="49" applyNumberFormat="1" applyFont="1" applyFill="1" applyBorder="1" applyAlignment="1" applyProtection="1">
      <alignment horizontal="center" vertical="center" wrapText="1"/>
      <protection locked="0"/>
    </xf>
    <xf numFmtId="176" fontId="4" fillId="10" borderId="1" xfId="49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 applyProtection="1">
      <alignment vertical="center"/>
      <protection locked="0"/>
    </xf>
    <xf numFmtId="49" fontId="3" fillId="5" borderId="4" xfId="0" applyNumberFormat="1" applyFont="1" applyFill="1" applyBorder="1" applyAlignment="1" applyProtection="1">
      <alignment vertical="center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Border="1" applyAlignment="1" applyProtection="1">
      <alignment horizontal="center" vertical="center" wrapText="1"/>
      <protection locked="0"/>
    </xf>
    <xf numFmtId="176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6" borderId="4" xfId="2" applyNumberFormat="1" applyFont="1" applyFill="1" applyBorder="1" applyAlignment="1" applyProtection="1">
      <alignment horizontal="center" vertical="center" wrapText="1"/>
      <protection locked="0"/>
    </xf>
    <xf numFmtId="49" fontId="2" fillId="6" borderId="4" xfId="49" applyNumberFormat="1" applyFont="1" applyFill="1" applyBorder="1" applyAlignment="1" applyProtection="1">
      <alignment horizontal="center" vertical="center" wrapText="1"/>
      <protection locked="0"/>
    </xf>
    <xf numFmtId="176" fontId="2" fillId="6" borderId="4" xfId="49" applyNumberFormat="1" applyFont="1" applyFill="1" applyBorder="1" applyAlignment="1" applyProtection="1">
      <alignment horizontal="center" vertical="center" wrapText="1"/>
      <protection locked="0"/>
    </xf>
    <xf numFmtId="49" fontId="5" fillId="7" borderId="7" xfId="0" applyNumberFormat="1" applyFont="1" applyFill="1" applyBorder="1" applyAlignment="1" applyProtection="1">
      <alignment vertical="center" wrapText="1"/>
      <protection locked="0"/>
    </xf>
    <xf numFmtId="49" fontId="2" fillId="11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6" fontId="9" fillId="6" borderId="1" xfId="49" applyNumberFormat="1" applyFont="1" applyFill="1" applyBorder="1" applyAlignment="1" applyProtection="1">
      <alignment horizontal="center" vertical="center" wrapText="1"/>
      <protection locked="0"/>
    </xf>
    <xf numFmtId="176" fontId="4" fillId="10" borderId="1" xfId="2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176" fontId="10" fillId="4" borderId="3" xfId="1" applyNumberFormat="1" applyFont="1" applyFill="1" applyBorder="1" applyAlignment="1" applyProtection="1">
      <alignment horizontal="center" vertical="center"/>
    </xf>
    <xf numFmtId="176" fontId="10" fillId="5" borderId="1" xfId="1" applyNumberFormat="1" applyFont="1" applyFill="1" applyBorder="1" applyAlignment="1" applyProtection="1">
      <alignment horizontal="center" vertical="center"/>
    </xf>
    <xf numFmtId="176" fontId="2" fillId="2" borderId="1" xfId="1" applyNumberFormat="1" applyFont="1" applyFill="1" applyBorder="1" applyAlignment="1" applyProtection="1">
      <alignment horizontal="center" vertical="center" wrapText="1"/>
    </xf>
    <xf numFmtId="176" fontId="10" fillId="6" borderId="4" xfId="2" applyNumberFormat="1" applyFont="1" applyFill="1" applyBorder="1" applyAlignment="1" applyProtection="1">
      <alignment horizontal="center" vertical="center" wrapText="1"/>
    </xf>
    <xf numFmtId="176" fontId="10" fillId="7" borderId="1" xfId="2" applyNumberFormat="1" applyFont="1" applyFill="1" applyBorder="1" applyAlignment="1" applyProtection="1">
      <alignment horizontal="center" vertical="center" wrapText="1"/>
    </xf>
    <xf numFmtId="176" fontId="7" fillId="0" borderId="1" xfId="3" applyNumberFormat="1" applyFont="1" applyBorder="1" applyAlignment="1" applyProtection="1">
      <alignment horizontal="center" vertical="center"/>
    </xf>
    <xf numFmtId="176" fontId="9" fillId="6" borderId="1" xfId="49" applyNumberFormat="1" applyFont="1" applyFill="1" applyBorder="1" applyAlignment="1">
      <alignment horizontal="center" vertical="center" wrapText="1"/>
    </xf>
    <xf numFmtId="176" fontId="4" fillId="3" borderId="1" xfId="2" applyNumberFormat="1" applyFont="1" applyFill="1" applyBorder="1" applyAlignment="1" applyProtection="1">
      <alignment horizontal="center" vertical="center" wrapText="1"/>
    </xf>
    <xf numFmtId="9" fontId="4" fillId="8" borderId="1" xfId="3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9" fontId="11" fillId="0" borderId="2" xfId="3" applyFont="1" applyFill="1" applyBorder="1" applyAlignment="1" applyProtection="1">
      <alignment horizontal="center" vertical="center" wrapText="1"/>
      <protection locked="0"/>
    </xf>
    <xf numFmtId="176" fontId="10" fillId="4" borderId="4" xfId="1" applyNumberFormat="1" applyFont="1" applyFill="1" applyBorder="1" applyAlignment="1" applyProtection="1">
      <alignment horizontal="center" vertical="center"/>
    </xf>
    <xf numFmtId="176" fontId="10" fillId="4" borderId="9" xfId="1" applyNumberFormat="1" applyFont="1" applyFill="1" applyBorder="1" applyAlignment="1" applyProtection="1">
      <alignment horizontal="center" vertical="center"/>
    </xf>
    <xf numFmtId="9" fontId="3" fillId="4" borderId="10" xfId="3" applyFont="1" applyFill="1" applyBorder="1" applyAlignment="1" applyProtection="1">
      <alignment vertical="center"/>
      <protection locked="0"/>
    </xf>
    <xf numFmtId="9" fontId="3" fillId="5" borderId="3" xfId="3" applyFont="1" applyFill="1" applyBorder="1" applyAlignment="1" applyProtection="1">
      <alignment vertical="center"/>
      <protection locked="0"/>
    </xf>
    <xf numFmtId="9" fontId="3" fillId="5" borderId="4" xfId="3" applyFont="1" applyFill="1" applyBorder="1" applyAlignment="1" applyProtection="1">
      <alignment vertical="center"/>
      <protection locked="0"/>
    </xf>
    <xf numFmtId="176" fontId="2" fillId="2" borderId="1" xfId="1" applyNumberFormat="1" applyFont="1" applyFill="1" applyBorder="1" applyAlignment="1" applyProtection="1">
      <alignment horizontal="center" vertical="center"/>
    </xf>
    <xf numFmtId="9" fontId="11" fillId="2" borderId="1" xfId="3" applyFont="1" applyFill="1" applyBorder="1" applyAlignment="1" applyProtection="1">
      <alignment horizontal="center" vertical="center" wrapText="1"/>
      <protection locked="0"/>
    </xf>
    <xf numFmtId="9" fontId="11" fillId="2" borderId="2" xfId="3" applyFont="1" applyFill="1" applyBorder="1" applyAlignment="1" applyProtection="1">
      <alignment horizontal="center" vertical="center" wrapText="1"/>
      <protection locked="0"/>
    </xf>
    <xf numFmtId="176" fontId="2" fillId="2" borderId="5" xfId="1" applyNumberFormat="1" applyFont="1" applyFill="1" applyBorder="1" applyAlignment="1" applyProtection="1">
      <alignment horizontal="center" vertical="center"/>
    </xf>
    <xf numFmtId="176" fontId="10" fillId="6" borderId="9" xfId="2" applyNumberFormat="1" applyFont="1" applyFill="1" applyBorder="1" applyAlignment="1" applyProtection="1">
      <alignment horizontal="center" vertical="center" wrapText="1"/>
    </xf>
    <xf numFmtId="9" fontId="2" fillId="6" borderId="10" xfId="3" applyFont="1" applyFill="1" applyBorder="1" applyAlignment="1" applyProtection="1">
      <alignment horizontal="center" vertical="center"/>
      <protection locked="0"/>
    </xf>
    <xf numFmtId="9" fontId="2" fillId="7" borderId="3" xfId="3" applyFont="1" applyFill="1" applyBorder="1" applyAlignment="1" applyProtection="1">
      <alignment vertical="center" wrapText="1"/>
      <protection locked="0"/>
    </xf>
    <xf numFmtId="9" fontId="2" fillId="7" borderId="4" xfId="3" applyFont="1" applyFill="1" applyBorder="1" applyAlignment="1" applyProtection="1">
      <alignment vertical="center" wrapText="1"/>
      <protection locked="0"/>
    </xf>
    <xf numFmtId="176" fontId="11" fillId="0" borderId="1" xfId="0" applyNumberFormat="1" applyFont="1" applyFill="1" applyBorder="1" applyAlignment="1">
      <alignment horizontal="left" vertical="center" wrapText="1"/>
    </xf>
    <xf numFmtId="9" fontId="3" fillId="0" borderId="0" xfId="3" applyFont="1" applyAlignment="1" applyProtection="1">
      <alignment vertical="center"/>
      <protection locked="0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178" fontId="2" fillId="6" borderId="10" xfId="1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5" fillId="7" borderId="9" xfId="0" applyFont="1" applyFill="1" applyBorder="1" applyAlignment="1" applyProtection="1">
      <alignment vertical="center" wrapText="1"/>
      <protection locked="0"/>
    </xf>
    <xf numFmtId="179" fontId="2" fillId="0" borderId="0" xfId="0" applyNumberFormat="1" applyFont="1" applyFill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zoomScale="64" zoomScaleNormal="64" topLeftCell="C1" workbookViewId="0">
      <selection activeCell="I14" sqref="I14"/>
    </sheetView>
  </sheetViews>
  <sheetFormatPr defaultColWidth="9.69230769230769" defaultRowHeight="15.2"/>
  <cols>
    <col min="1" max="1" width="13.5961538461538" style="5" customWidth="1"/>
    <col min="2" max="2" width="23.1634615384615" style="6" customWidth="1"/>
    <col min="3" max="3" width="31.3653846153846" style="6" customWidth="1"/>
    <col min="4" max="4" width="39.9326923076923" style="6" customWidth="1"/>
    <col min="5" max="5" width="22.6153846153846" style="6" customWidth="1"/>
    <col min="6" max="6" width="17.7788461538462" style="5" customWidth="1"/>
    <col min="7" max="7" width="46.7115384615385" style="5" customWidth="1"/>
    <col min="8" max="8" width="78.9326923076923" style="7" customWidth="1"/>
    <col min="9" max="9" width="9.28846153846154" style="5" customWidth="1"/>
    <col min="10" max="10" width="12.9230769230769" style="8" customWidth="1"/>
    <col min="11" max="11" width="12.9230769230769" style="9" hidden="1" customWidth="1" outlineLevel="1"/>
    <col min="12" max="12" width="13.7307692307692" style="10" customWidth="1" collapsed="1"/>
    <col min="13" max="13" width="9.28846153846154" style="10" hidden="1" customWidth="1" outlineLevel="1"/>
    <col min="14" max="14" width="9.28846153846154" style="10" customWidth="1" collapsed="1"/>
    <col min="15" max="15" width="8.65384615384615" style="10" hidden="1" customWidth="1" outlineLevel="1"/>
    <col min="16" max="16" width="32.8557692307692" style="11" customWidth="1" collapsed="1"/>
    <col min="17" max="17" width="13.2692307692308" style="11" hidden="1" customWidth="1" outlineLevel="1"/>
    <col min="18" max="18" width="32.8557692307692" style="12" customWidth="1" collapsed="1"/>
    <col min="19" max="20" width="11.1730769230769" style="13" customWidth="1"/>
    <col min="21" max="21" width="31.3653846153846" style="5" customWidth="1"/>
    <col min="22" max="22" width="15.4807692307692" style="5" customWidth="1"/>
    <col min="23" max="24" width="9.69230769230769" style="5"/>
    <col min="25" max="25" width="10.6346153846154" style="5" customWidth="1"/>
    <col min="26" max="16384" width="9.69230769230769" style="5"/>
  </cols>
  <sheetData>
    <row r="1" s="1" customFormat="1" ht="31" spans="1:22">
      <c r="A1" s="14" t="s">
        <v>0</v>
      </c>
      <c r="B1" s="14" t="s">
        <v>1</v>
      </c>
      <c r="C1" s="14" t="s">
        <v>2</v>
      </c>
      <c r="D1" s="14" t="s">
        <v>3</v>
      </c>
      <c r="E1" s="34" t="s">
        <v>4</v>
      </c>
      <c r="F1" s="35" t="s">
        <v>5</v>
      </c>
      <c r="G1" s="36" t="s">
        <v>6</v>
      </c>
      <c r="H1" s="14" t="s">
        <v>7</v>
      </c>
      <c r="I1" s="14" t="s">
        <v>8</v>
      </c>
      <c r="J1" s="50" t="s">
        <v>9</v>
      </c>
      <c r="K1" s="51" t="s">
        <v>10</v>
      </c>
      <c r="L1" s="52" t="s">
        <v>11</v>
      </c>
      <c r="M1" s="71" t="s">
        <v>12</v>
      </c>
      <c r="N1" s="52" t="s">
        <v>13</v>
      </c>
      <c r="O1" s="71" t="s">
        <v>14</v>
      </c>
      <c r="P1" s="72" t="s">
        <v>15</v>
      </c>
      <c r="Q1" s="80" t="s">
        <v>16</v>
      </c>
      <c r="R1" s="81" t="s">
        <v>17</v>
      </c>
      <c r="S1" s="82" t="s">
        <v>18</v>
      </c>
      <c r="T1" s="82" t="s">
        <v>19</v>
      </c>
      <c r="U1" s="101" t="s">
        <v>20</v>
      </c>
      <c r="V1" s="102" t="s">
        <v>21</v>
      </c>
    </row>
    <row r="2" s="2" customFormat="1" ht="38" customHeight="1" spans="1:22">
      <c r="A2" s="15" t="s">
        <v>22</v>
      </c>
      <c r="B2" s="16" t="s">
        <v>23</v>
      </c>
      <c r="C2" s="16" t="s">
        <v>24</v>
      </c>
      <c r="D2" s="17" t="s">
        <v>25</v>
      </c>
      <c r="E2" s="16" t="s">
        <v>26</v>
      </c>
      <c r="F2" s="37" t="s">
        <v>27</v>
      </c>
      <c r="G2" s="16" t="str">
        <f>_xlfn.IFNA(IF(VLOOKUP($F2,'[1]3.框架内物料'!$A:$E,2,0)=0,"请勿填写",VLOOKUP($F2,'[1]3.框架内物料'!$A:$E,2,0)),"")</f>
        <v>M939882641945305089</v>
      </c>
      <c r="H2" s="38" t="str">
        <f>_xlfn.IFNA(VLOOKUP($F2,'[1]3.框架内物料'!$A:$E,4,0),"")</f>
        <v>Onsite 人员-服务人员-项目助理-人员劳务费。不含住宿、交通、补贴等费用，每天不超过8小时</v>
      </c>
      <c r="I2" s="16" t="str">
        <f>_xlfn.IFNA(VLOOKUP($F2,'[1]3.框架内物料'!$A:$E,5,0),"")</f>
        <v>人/天</v>
      </c>
      <c r="J2" s="53">
        <f>_xlfn.IFNA(VLOOKUP($F2,'[1]3.框架内物料'!$A:$F,6,0),"")</f>
        <v>530</v>
      </c>
      <c r="K2" s="54">
        <f>_xlfn.IFNA(VLOOKUP($F2,'[1]3.框架内物料'!$A:$F,6,0),"")</f>
        <v>530</v>
      </c>
      <c r="L2" s="55">
        <v>1</v>
      </c>
      <c r="M2" s="55"/>
      <c r="N2" s="55">
        <v>5</v>
      </c>
      <c r="O2" s="55"/>
      <c r="P2" s="73">
        <f t="shared" ref="P2:P9" si="0">IFERROR(N2*L2*J2,0)</f>
        <v>2650</v>
      </c>
      <c r="Q2" s="73">
        <f t="shared" ref="Q2:Q9" si="1">IFERROR(O2*M2*K2,0)</f>
        <v>0</v>
      </c>
      <c r="R2" s="83">
        <f t="shared" ref="R2:R9" si="2">Q2-P2</f>
        <v>-2650</v>
      </c>
      <c r="S2" s="84">
        <v>0.06</v>
      </c>
      <c r="T2" s="85">
        <v>0</v>
      </c>
      <c r="U2" s="103"/>
      <c r="V2" s="24"/>
    </row>
    <row r="3" s="3" customFormat="1" ht="17.6" spans="1:22">
      <c r="A3" s="18"/>
      <c r="B3" s="19"/>
      <c r="C3" s="19"/>
      <c r="D3" s="19"/>
      <c r="E3" s="19"/>
      <c r="F3" s="39"/>
      <c r="G3" s="39"/>
      <c r="H3" s="39"/>
      <c r="I3" s="39"/>
      <c r="J3" s="56"/>
      <c r="K3" s="56"/>
      <c r="L3" s="39"/>
      <c r="M3" s="39"/>
      <c r="N3" s="39"/>
      <c r="O3" s="39"/>
      <c r="P3" s="74" t="s">
        <v>28</v>
      </c>
      <c r="Q3" s="86"/>
      <c r="R3" s="87"/>
      <c r="S3" s="88"/>
      <c r="T3" s="88"/>
      <c r="U3" s="104"/>
      <c r="V3" s="104"/>
    </row>
    <row r="4" s="3" customFormat="1" ht="17.6" spans="1:22">
      <c r="A4" s="20"/>
      <c r="B4" s="21"/>
      <c r="C4" s="21"/>
      <c r="D4" s="21"/>
      <c r="E4" s="21"/>
      <c r="F4" s="40"/>
      <c r="G4" s="40"/>
      <c r="H4" s="40"/>
      <c r="I4" s="40"/>
      <c r="J4" s="57"/>
      <c r="K4" s="57"/>
      <c r="L4" s="40"/>
      <c r="M4" s="40"/>
      <c r="N4" s="40"/>
      <c r="O4" s="40"/>
      <c r="P4" s="75">
        <f>SUM(P2:P2)</f>
        <v>2650</v>
      </c>
      <c r="Q4" s="75">
        <f>SUM(Q2:Q2)</f>
        <v>0</v>
      </c>
      <c r="R4" s="75">
        <f t="shared" si="2"/>
        <v>-2650</v>
      </c>
      <c r="S4" s="89"/>
      <c r="T4" s="90"/>
      <c r="U4" s="40"/>
      <c r="V4" s="105"/>
    </row>
    <row r="5" s="4" customFormat="1" ht="38" customHeight="1" spans="1:22">
      <c r="A5" s="22" t="s">
        <v>29</v>
      </c>
      <c r="B5" s="23" t="s">
        <v>30</v>
      </c>
      <c r="C5" s="24" t="s">
        <v>31</v>
      </c>
      <c r="D5" s="23" t="s">
        <v>32</v>
      </c>
      <c r="E5" s="23" t="s">
        <v>33</v>
      </c>
      <c r="F5" s="41"/>
      <c r="G5" s="42"/>
      <c r="H5" s="42" t="s">
        <v>32</v>
      </c>
      <c r="I5" s="16" t="s">
        <v>34</v>
      </c>
      <c r="J5" s="53">
        <f>2650*1.06</f>
        <v>2809</v>
      </c>
      <c r="K5" s="58" t="str">
        <f>_xlfn.IFNA(VLOOKUP($F5,'[1]3.框架内物料'!$A:$F,6,0),"")</f>
        <v/>
      </c>
      <c r="L5" s="59">
        <v>17</v>
      </c>
      <c r="M5" s="60"/>
      <c r="N5" s="59">
        <v>1</v>
      </c>
      <c r="O5" s="60"/>
      <c r="P5" s="76">
        <f t="shared" si="0"/>
        <v>47753</v>
      </c>
      <c r="Q5" s="76">
        <f t="shared" si="1"/>
        <v>0</v>
      </c>
      <c r="R5" s="91">
        <f t="shared" si="2"/>
        <v>-47753</v>
      </c>
      <c r="S5" s="92">
        <v>0.06</v>
      </c>
      <c r="T5" s="93">
        <v>0</v>
      </c>
      <c r="U5" s="106"/>
      <c r="V5" s="107"/>
    </row>
    <row r="6" s="2" customFormat="1" ht="38" customHeight="1" spans="1:25">
      <c r="A6" s="15" t="s">
        <v>29</v>
      </c>
      <c r="B6" s="24" t="s">
        <v>35</v>
      </c>
      <c r="C6" s="24" t="s">
        <v>36</v>
      </c>
      <c r="D6" s="16" t="s">
        <v>37</v>
      </c>
      <c r="E6" s="16" t="s">
        <v>33</v>
      </c>
      <c r="F6" s="37"/>
      <c r="G6" s="38"/>
      <c r="H6" s="38" t="s">
        <v>37</v>
      </c>
      <c r="I6" s="16" t="s">
        <v>38</v>
      </c>
      <c r="J6" s="53">
        <v>380</v>
      </c>
      <c r="K6" s="54" t="str">
        <f>_xlfn.IFNA(VLOOKUP($F6,'[1]3.框架内物料'!$A:$F,6,0),"")</f>
        <v/>
      </c>
      <c r="L6" s="55">
        <v>17</v>
      </c>
      <c r="M6" s="55"/>
      <c r="N6" s="55">
        <v>3</v>
      </c>
      <c r="O6" s="55"/>
      <c r="P6" s="73">
        <f t="shared" si="0"/>
        <v>19380</v>
      </c>
      <c r="Q6" s="73">
        <f t="shared" si="1"/>
        <v>0</v>
      </c>
      <c r="R6" s="83">
        <f t="shared" si="2"/>
        <v>-19380</v>
      </c>
      <c r="S6" s="84">
        <v>0.06</v>
      </c>
      <c r="T6" s="85">
        <v>0</v>
      </c>
      <c r="U6" s="103"/>
      <c r="V6" s="24"/>
      <c r="Y6" s="112"/>
    </row>
    <row r="7" s="3" customFormat="1" ht="38" customHeight="1" spans="1:22">
      <c r="A7" s="15" t="s">
        <v>29</v>
      </c>
      <c r="B7" s="16" t="s">
        <v>39</v>
      </c>
      <c r="C7" s="24" t="s">
        <v>40</v>
      </c>
      <c r="D7" s="16" t="s">
        <v>41</v>
      </c>
      <c r="E7" s="16" t="s">
        <v>33</v>
      </c>
      <c r="F7" s="37"/>
      <c r="G7" s="38"/>
      <c r="H7" s="38" t="s">
        <v>41</v>
      </c>
      <c r="I7" s="16" t="s">
        <v>42</v>
      </c>
      <c r="J7" s="53">
        <f>300*1.06</f>
        <v>318</v>
      </c>
      <c r="K7" s="54" t="str">
        <f>_xlfn.IFNA(VLOOKUP($F7,'[1]3.框架内物料'!$A:$F,6,0),"")</f>
        <v/>
      </c>
      <c r="L7" s="55">
        <v>17</v>
      </c>
      <c r="M7" s="55"/>
      <c r="N7" s="55">
        <v>4</v>
      </c>
      <c r="O7" s="55"/>
      <c r="P7" s="73">
        <f t="shared" si="0"/>
        <v>21624</v>
      </c>
      <c r="Q7" s="73">
        <f t="shared" si="1"/>
        <v>0</v>
      </c>
      <c r="R7" s="83">
        <f t="shared" si="2"/>
        <v>-21624</v>
      </c>
      <c r="S7" s="84">
        <v>0.06</v>
      </c>
      <c r="T7" s="85">
        <v>0</v>
      </c>
      <c r="U7" s="24"/>
      <c r="V7" s="24"/>
    </row>
    <row r="8" s="3" customFormat="1" ht="38" customHeight="1" spans="1:22">
      <c r="A8" s="15" t="s">
        <v>29</v>
      </c>
      <c r="B8" s="24" t="s">
        <v>43</v>
      </c>
      <c r="C8" s="3" t="s">
        <v>44</v>
      </c>
      <c r="D8" s="16" t="s">
        <v>45</v>
      </c>
      <c r="E8" s="16" t="s">
        <v>33</v>
      </c>
      <c r="F8" s="37"/>
      <c r="G8" s="38"/>
      <c r="H8" s="38" t="s">
        <v>45</v>
      </c>
      <c r="I8" s="16" t="s">
        <v>38</v>
      </c>
      <c r="J8" s="53">
        <v>380</v>
      </c>
      <c r="K8" s="54" t="str">
        <f>_xlfn.IFNA(VLOOKUP($F8,'[1]3.框架内物料'!$A:$F,6,0),"")</f>
        <v/>
      </c>
      <c r="L8" s="55">
        <v>1</v>
      </c>
      <c r="M8" s="55"/>
      <c r="N8" s="55">
        <v>4</v>
      </c>
      <c r="O8" s="55"/>
      <c r="P8" s="73">
        <f t="shared" si="0"/>
        <v>1520</v>
      </c>
      <c r="Q8" s="73">
        <f t="shared" si="1"/>
        <v>0</v>
      </c>
      <c r="R8" s="83">
        <f t="shared" si="2"/>
        <v>-1520</v>
      </c>
      <c r="S8" s="84">
        <v>0.06</v>
      </c>
      <c r="T8" s="85">
        <v>0</v>
      </c>
      <c r="U8" s="24"/>
      <c r="V8" s="24"/>
    </row>
    <row r="9" s="2" customFormat="1" ht="38" customHeight="1" spans="1:22">
      <c r="A9" s="15" t="s">
        <v>29</v>
      </c>
      <c r="B9" s="16" t="s">
        <v>46</v>
      </c>
      <c r="C9" s="16" t="s">
        <v>47</v>
      </c>
      <c r="D9" s="16" t="s">
        <v>48</v>
      </c>
      <c r="E9" s="16" t="s">
        <v>33</v>
      </c>
      <c r="F9" s="37"/>
      <c r="G9" s="38"/>
      <c r="H9" s="38" t="s">
        <v>48</v>
      </c>
      <c r="I9" s="16" t="s">
        <v>34</v>
      </c>
      <c r="J9" s="53">
        <f>200*1.06</f>
        <v>212</v>
      </c>
      <c r="K9" s="54" t="str">
        <f>_xlfn.IFNA(VLOOKUP($F9,'[1]3.框架内物料'!$A:$F,6,0),"")</f>
        <v/>
      </c>
      <c r="L9" s="55">
        <v>1</v>
      </c>
      <c r="M9" s="55"/>
      <c r="N9" s="55">
        <v>5</v>
      </c>
      <c r="O9" s="55"/>
      <c r="P9" s="73">
        <f t="shared" si="0"/>
        <v>1060</v>
      </c>
      <c r="Q9" s="73">
        <f t="shared" si="1"/>
        <v>0</v>
      </c>
      <c r="R9" s="83">
        <f t="shared" si="2"/>
        <v>-1060</v>
      </c>
      <c r="S9" s="84">
        <v>0.06</v>
      </c>
      <c r="T9" s="85">
        <v>0</v>
      </c>
      <c r="U9" s="103"/>
      <c r="V9" s="24"/>
    </row>
    <row r="10" s="2" customFormat="1" ht="17.6" spans="1:22">
      <c r="A10" s="18"/>
      <c r="B10" s="19"/>
      <c r="C10" s="19"/>
      <c r="D10" s="19"/>
      <c r="E10" s="19"/>
      <c r="F10" s="39"/>
      <c r="G10" s="39"/>
      <c r="H10" s="39"/>
      <c r="I10" s="39"/>
      <c r="J10" s="56"/>
      <c r="K10" s="56"/>
      <c r="L10" s="39"/>
      <c r="M10" s="39"/>
      <c r="N10" s="39"/>
      <c r="O10" s="39"/>
      <c r="P10" s="74" t="s">
        <v>49</v>
      </c>
      <c r="Q10" s="86"/>
      <c r="R10" s="87"/>
      <c r="S10" s="88"/>
      <c r="T10" s="88"/>
      <c r="U10" s="104"/>
      <c r="V10" s="104"/>
    </row>
    <row r="11" s="2" customFormat="1" ht="17.6" spans="1:22">
      <c r="A11" s="20"/>
      <c r="B11" s="21"/>
      <c r="C11" s="21"/>
      <c r="D11" s="21"/>
      <c r="E11" s="21"/>
      <c r="F11" s="40" t="s">
        <v>50</v>
      </c>
      <c r="G11" s="40"/>
      <c r="H11" s="40"/>
      <c r="I11" s="40"/>
      <c r="J11" s="57"/>
      <c r="K11" s="57"/>
      <c r="L11" s="40"/>
      <c r="M11" s="40"/>
      <c r="N11" s="40"/>
      <c r="O11" s="40"/>
      <c r="P11" s="75">
        <f>SUM(P5:P9)</f>
        <v>91337</v>
      </c>
      <c r="Q11" s="75">
        <f>SUM(Q5:Q9)</f>
        <v>0</v>
      </c>
      <c r="R11" s="75">
        <f t="shared" ref="R11:R13" si="3">Q11-P11</f>
        <v>-91337</v>
      </c>
      <c r="S11" s="89"/>
      <c r="T11" s="90"/>
      <c r="U11" s="40"/>
      <c r="V11" s="105"/>
    </row>
    <row r="12" s="4" customFormat="1" ht="38" customHeight="1" spans="1:22">
      <c r="A12" s="25" t="s">
        <v>51</v>
      </c>
      <c r="B12" s="25" t="s">
        <v>51</v>
      </c>
      <c r="C12" s="25" t="s">
        <v>51</v>
      </c>
      <c r="D12" s="25" t="s">
        <v>51</v>
      </c>
      <c r="E12" s="26" t="s">
        <v>26</v>
      </c>
      <c r="F12" s="43" t="s">
        <v>52</v>
      </c>
      <c r="G12" s="44" t="str">
        <f>_xlfn.IFNA(IF(VLOOKUP($F12,'[1]3.框架内物料'!$A:$E,2,0)=0,"请勿填写",VLOOKUP($F12,'[1]3.框架内物料'!$A:$E,2,0)),"")</f>
        <v>M939882699754164225</v>
      </c>
      <c r="H12" s="45" t="str">
        <f>_xlfn.IFNA(VLOOKUP($F12,'[1]3.框架内物料'!$A:$E,4,0),"")</f>
        <v>服务费税费-项目服务费-项目服务费-场地采买、酒店用房服务费-服务费比例</v>
      </c>
      <c r="I12" s="44" t="str">
        <f>_xlfn.IFNA(VLOOKUP($F12,'[1]3.框架内物料'!$A:$E,5,0),"")</f>
        <v>项</v>
      </c>
      <c r="J12" s="58">
        <f>_xlfn.IFNA(VLOOKUP($F12,'[1]3.框架内物料'!$A:$F,6,0),"")</f>
        <v>0.06</v>
      </c>
      <c r="K12" s="58">
        <f>_xlfn.IFNA(VLOOKUP($F12,'[1]3.框架内物料'!$A:$F,6,0),"")</f>
        <v>0.06</v>
      </c>
      <c r="L12" s="60">
        <f>SUM(P11)</f>
        <v>91337</v>
      </c>
      <c r="M12" s="60" t="e">
        <f>SUM(#REF!,#REF!,Q11,Q4,)</f>
        <v>#REF!</v>
      </c>
      <c r="N12" s="60">
        <v>1</v>
      </c>
      <c r="O12" s="60">
        <v>1</v>
      </c>
      <c r="P12" s="76">
        <f>IFERROR(N12*L12*J12,0)</f>
        <v>5480.22</v>
      </c>
      <c r="Q12" s="76">
        <f>IFERROR(O12*M12*K12,0)</f>
        <v>0</v>
      </c>
      <c r="R12" s="94">
        <f t="shared" si="3"/>
        <v>-5480.22</v>
      </c>
      <c r="S12" s="92">
        <v>0.06</v>
      </c>
      <c r="T12" s="92"/>
      <c r="U12" s="106"/>
      <c r="V12" s="107"/>
    </row>
    <row r="13" s="4" customFormat="1" ht="38" customHeight="1" spans="1:22">
      <c r="A13" s="25" t="s">
        <v>53</v>
      </c>
      <c r="B13" s="25" t="s">
        <v>53</v>
      </c>
      <c r="C13" s="25" t="s">
        <v>53</v>
      </c>
      <c r="D13" s="25" t="s">
        <v>53</v>
      </c>
      <c r="E13" s="26" t="s">
        <v>26</v>
      </c>
      <c r="F13" s="43" t="s">
        <v>54</v>
      </c>
      <c r="G13" s="44" t="str">
        <f>_xlfn.IFNA(IF(VLOOKUP($F13,'[1]3.框架内物料'!$A:$E,2,0)=0,"请勿填写",VLOOKUP($F13,'[1]3.框架内物料'!$A:$E,2,0)),"")</f>
        <v>M939882723582132226</v>
      </c>
      <c r="H13" s="45" t="str">
        <f>_xlfn.IFNA(VLOOKUP($F13,'[1]3.框架内物料'!$A:$E,4,0),"")</f>
        <v>服务费税费-项目税费-项目税费-机票、用车、用餐等第三方资源-增值税比例</v>
      </c>
      <c r="I13" s="44" t="str">
        <f>_xlfn.IFNA(VLOOKUP($F13,'[1]3.框架内物料'!$A:$E,5,0),"")</f>
        <v>项</v>
      </c>
      <c r="J13" s="58">
        <f>_xlfn.IFNA(VLOOKUP($F13,'[1]3.框架内物料'!$A:$F,6,0),"")</f>
        <v>0.06</v>
      </c>
      <c r="K13" s="58">
        <f>_xlfn.IFNA(VLOOKUP($F13,'[1]3.框架内物料'!$A:$F,6,0),"")</f>
        <v>0.06</v>
      </c>
      <c r="L13" s="60">
        <f>SUM(P12)</f>
        <v>5480.22</v>
      </c>
      <c r="M13" s="60" t="e">
        <f>SUM(Q12,#REF!,#REF!,Q5,Q2)</f>
        <v>#REF!</v>
      </c>
      <c r="N13" s="60">
        <v>1</v>
      </c>
      <c r="O13" s="60">
        <v>1</v>
      </c>
      <c r="P13" s="76">
        <f>IFERROR(N13*L13*J13,0)</f>
        <v>328.8132</v>
      </c>
      <c r="Q13" s="76">
        <f>IFERROR(O13*M13*K13,0)</f>
        <v>0</v>
      </c>
      <c r="R13" s="94">
        <f t="shared" si="3"/>
        <v>-328.8132</v>
      </c>
      <c r="S13" s="92">
        <v>0.06</v>
      </c>
      <c r="T13" s="92"/>
      <c r="U13" s="106"/>
      <c r="V13" s="107"/>
    </row>
    <row r="14" s="2" customFormat="1" ht="17.6" spans="1:22">
      <c r="A14" s="22"/>
      <c r="B14" s="26"/>
      <c r="C14" s="26"/>
      <c r="D14" s="19"/>
      <c r="E14" s="19"/>
      <c r="F14" s="39"/>
      <c r="G14" s="39"/>
      <c r="H14" s="39"/>
      <c r="I14" s="39"/>
      <c r="J14" s="56"/>
      <c r="K14" s="56"/>
      <c r="L14" s="39"/>
      <c r="M14" s="39"/>
      <c r="N14" s="39"/>
      <c r="O14" s="39"/>
      <c r="P14" s="74" t="s">
        <v>55</v>
      </c>
      <c r="Q14" s="86"/>
      <c r="R14" s="87"/>
      <c r="S14" s="88"/>
      <c r="T14" s="88"/>
      <c r="U14" s="104"/>
      <c r="V14" s="108" t="s">
        <v>56</v>
      </c>
    </row>
    <row r="15" s="2" customFormat="1" ht="17.6" spans="1:22">
      <c r="A15" s="20"/>
      <c r="B15" s="21"/>
      <c r="C15" s="21"/>
      <c r="D15" s="21"/>
      <c r="E15" s="21"/>
      <c r="F15" s="40"/>
      <c r="G15" s="40"/>
      <c r="H15" s="40"/>
      <c r="I15" s="40"/>
      <c r="J15" s="57"/>
      <c r="K15" s="57"/>
      <c r="L15" s="40"/>
      <c r="M15" s="40"/>
      <c r="N15" s="40"/>
      <c r="O15" s="40"/>
      <c r="P15" s="75">
        <f>SUM(P12:P13)</f>
        <v>5809.0332</v>
      </c>
      <c r="Q15" s="75">
        <f>SUM(Q12:Q12)</f>
        <v>0</v>
      </c>
      <c r="R15" s="75">
        <f t="shared" ref="R15:R18" si="4">Q15-P15</f>
        <v>-5809.0332</v>
      </c>
      <c r="S15" s="89"/>
      <c r="T15" s="90"/>
      <c r="U15" s="40"/>
      <c r="V15" s="105"/>
    </row>
    <row r="16" s="2" customFormat="1" ht="17.6" spans="1:22">
      <c r="A16" s="27"/>
      <c r="B16" s="28"/>
      <c r="C16" s="28"/>
      <c r="D16" s="28"/>
      <c r="E16" s="28"/>
      <c r="F16" s="46"/>
      <c r="G16" s="28"/>
      <c r="H16" s="47"/>
      <c r="I16" s="28"/>
      <c r="J16" s="61"/>
      <c r="K16" s="62"/>
      <c r="L16" s="63"/>
      <c r="M16" s="63"/>
      <c r="N16" s="63"/>
      <c r="O16" s="63"/>
      <c r="P16" s="77" t="s">
        <v>57</v>
      </c>
      <c r="Q16" s="77"/>
      <c r="R16" s="95"/>
      <c r="S16" s="96"/>
      <c r="T16" s="96"/>
      <c r="U16" s="109"/>
      <c r="V16" s="109"/>
    </row>
    <row r="17" s="5" customFormat="1" ht="17.6" spans="1:22">
      <c r="A17" s="29"/>
      <c r="B17" s="30"/>
      <c r="C17" s="30"/>
      <c r="D17" s="30"/>
      <c r="E17" s="30"/>
      <c r="F17" s="48"/>
      <c r="G17" s="48"/>
      <c r="H17" s="48"/>
      <c r="I17" s="48"/>
      <c r="J17" s="64"/>
      <c r="K17" s="64"/>
      <c r="L17" s="48"/>
      <c r="M17" s="48"/>
      <c r="N17" s="48"/>
      <c r="O17" s="48"/>
      <c r="P17" s="78">
        <f>SUM(P15,P11,P4)</f>
        <v>99796.0332</v>
      </c>
      <c r="Q17" s="78">
        <f>SUM(Q15,Q11,Q4)</f>
        <v>0</v>
      </c>
      <c r="R17" s="78">
        <f t="shared" si="4"/>
        <v>-99796.0332</v>
      </c>
      <c r="S17" s="97"/>
      <c r="T17" s="98"/>
      <c r="U17" s="110"/>
      <c r="V17" s="111"/>
    </row>
    <row r="18" s="4" customFormat="1" ht="74.45" customHeight="1" spans="1:22">
      <c r="A18" s="22" t="s">
        <v>58</v>
      </c>
      <c r="B18" s="31"/>
      <c r="C18" s="31"/>
      <c r="D18" s="31"/>
      <c r="E18" s="22" t="s">
        <v>58</v>
      </c>
      <c r="F18" s="31"/>
      <c r="G18" s="31"/>
      <c r="H18" s="49" t="s">
        <v>59</v>
      </c>
      <c r="I18" s="26" t="s">
        <v>60</v>
      </c>
      <c r="J18" s="65" t="s">
        <v>61</v>
      </c>
      <c r="K18" s="65"/>
      <c r="L18" s="66">
        <v>1</v>
      </c>
      <c r="M18" s="66">
        <v>1</v>
      </c>
      <c r="N18" s="66">
        <v>1</v>
      </c>
      <c r="O18" s="66">
        <v>1</v>
      </c>
      <c r="P18" s="76">
        <f>J18*L18*N18</f>
        <v>0</v>
      </c>
      <c r="Q18" s="91">
        <f>K18*M18*O18</f>
        <v>0</v>
      </c>
      <c r="R18" s="91">
        <f t="shared" si="4"/>
        <v>0</v>
      </c>
      <c r="S18" s="92">
        <v>0.06</v>
      </c>
      <c r="T18" s="92"/>
      <c r="U18" s="106"/>
      <c r="V18" s="106"/>
    </row>
    <row r="19" s="2" customFormat="1" ht="17.6" spans="1:22">
      <c r="A19" s="27"/>
      <c r="B19" s="28"/>
      <c r="C19" s="28"/>
      <c r="D19" s="28"/>
      <c r="E19" s="28"/>
      <c r="F19" s="46"/>
      <c r="G19" s="28"/>
      <c r="H19" s="47"/>
      <c r="I19" s="28"/>
      <c r="J19" s="61"/>
      <c r="K19" s="62"/>
      <c r="L19" s="63"/>
      <c r="M19" s="63"/>
      <c r="N19" s="63"/>
      <c r="O19" s="63"/>
      <c r="P19" s="77" t="s">
        <v>62</v>
      </c>
      <c r="Q19" s="77"/>
      <c r="R19" s="95"/>
      <c r="S19" s="96"/>
      <c r="T19" s="96"/>
      <c r="U19" s="109"/>
      <c r="V19" s="109"/>
    </row>
    <row r="20" s="5" customFormat="1" ht="17.6" spans="1:22">
      <c r="A20" s="29"/>
      <c r="B20" s="30"/>
      <c r="C20" s="30"/>
      <c r="D20" s="30"/>
      <c r="E20" s="30"/>
      <c r="F20" s="48"/>
      <c r="G20" s="48"/>
      <c r="H20" s="48"/>
      <c r="I20" s="48"/>
      <c r="J20" s="64"/>
      <c r="K20" s="64"/>
      <c r="L20" s="48"/>
      <c r="M20" s="48"/>
      <c r="N20" s="48"/>
      <c r="O20" s="48"/>
      <c r="P20" s="78">
        <f>SUM(P17,P18)</f>
        <v>99796.0332</v>
      </c>
      <c r="Q20" s="78">
        <f>SUM(Q17,Q18)</f>
        <v>0</v>
      </c>
      <c r="R20" s="78">
        <f>Q20-P20</f>
        <v>-99796.0332</v>
      </c>
      <c r="S20" s="97"/>
      <c r="T20" s="98"/>
      <c r="U20" s="110"/>
      <c r="V20" s="111"/>
    </row>
    <row r="21" s="5" customFormat="1" ht="54" customHeight="1" spans="1:20">
      <c r="A21" s="32"/>
      <c r="B21" s="6"/>
      <c r="C21" s="33"/>
      <c r="D21" s="33"/>
      <c r="E21" s="33"/>
      <c r="F21" s="32"/>
      <c r="G21" s="32"/>
      <c r="H21" s="32"/>
      <c r="I21" s="32"/>
      <c r="J21" s="67"/>
      <c r="K21" s="68"/>
      <c r="L21" s="68"/>
      <c r="M21" s="68"/>
      <c r="N21" s="68"/>
      <c r="O21" s="10"/>
      <c r="P21" s="79">
        <f>SUMIF(E1:E17,"框架内",P1:P17)/(P20-P18)</f>
        <v>0.0847632208291021</v>
      </c>
      <c r="Q21" s="79" t="e">
        <f>SUMIF(E1:E17,"框架内",Q1:Q17)/(Q20-Q18)</f>
        <v>#DIV/0!</v>
      </c>
      <c r="R21" s="99" t="s">
        <v>63</v>
      </c>
      <c r="S21" s="100"/>
      <c r="T21" s="100"/>
    </row>
    <row r="22" s="5" customFormat="1" ht="54" customHeight="1" spans="1:20">
      <c r="A22" s="32"/>
      <c r="B22" s="6"/>
      <c r="C22" s="33"/>
      <c r="D22" s="33"/>
      <c r="E22" s="33"/>
      <c r="F22" s="32"/>
      <c r="G22" s="32"/>
      <c r="H22" s="32"/>
      <c r="I22" s="32"/>
      <c r="J22" s="67"/>
      <c r="K22" s="68"/>
      <c r="L22" s="68"/>
      <c r="M22" s="68"/>
      <c r="N22" s="68"/>
      <c r="O22" s="10"/>
      <c r="P22" s="79">
        <f ca="1">SUMIF(E1:E18,"框架外",P1:P17)/(P20-P18)</f>
        <v>0</v>
      </c>
      <c r="Q22" s="79" t="e">
        <f ca="1">SUMIF(E1:E18,"框架外",Q1:Q17)/(Q20-Q18)</f>
        <v>#DIV/0!</v>
      </c>
      <c r="R22" s="99" t="s">
        <v>64</v>
      </c>
      <c r="S22" s="100"/>
      <c r="T22" s="100"/>
    </row>
    <row r="23" s="5" customFormat="1" ht="54" customHeight="1" spans="1:20">
      <c r="A23" s="32"/>
      <c r="B23" s="6"/>
      <c r="C23" s="33"/>
      <c r="D23" s="33"/>
      <c r="E23" s="33"/>
      <c r="F23" s="32"/>
      <c r="G23" s="32"/>
      <c r="H23" s="32"/>
      <c r="I23" s="32"/>
      <c r="J23" s="67"/>
      <c r="K23" s="9"/>
      <c r="L23" s="10"/>
      <c r="M23" s="10"/>
      <c r="N23" s="10"/>
      <c r="O23" s="10"/>
      <c r="P23" s="79">
        <f ca="1">SUMIF(E1:E18,"据实结算",P1:P17)/(P20-P18)</f>
        <v>0.915236779170898</v>
      </c>
      <c r="Q23" s="79" t="e">
        <f ca="1">SUMIF(E1:E18,"据实结算",Q1:Q17)/(Q20-Q18)</f>
        <v>#DIV/0!</v>
      </c>
      <c r="R23" s="99" t="s">
        <v>65</v>
      </c>
      <c r="S23" s="100"/>
      <c r="T23" s="100"/>
    </row>
    <row r="24" s="5" customFormat="1" spans="2:20">
      <c r="B24" s="6"/>
      <c r="C24" s="6"/>
      <c r="D24" s="6"/>
      <c r="E24" s="6"/>
      <c r="H24" s="7"/>
      <c r="J24" s="8"/>
      <c r="K24" s="69"/>
      <c r="L24" s="70"/>
      <c r="M24" s="70"/>
      <c r="N24" s="70"/>
      <c r="O24" s="10"/>
      <c r="P24" s="11"/>
      <c r="Q24" s="11"/>
      <c r="R24" s="12"/>
      <c r="S24" s="13"/>
      <c r="T24" s="13"/>
    </row>
    <row r="25" s="5" customFormat="1" spans="2:20">
      <c r="B25" s="6"/>
      <c r="C25" s="6"/>
      <c r="D25" s="6"/>
      <c r="E25" s="6"/>
      <c r="H25" s="7"/>
      <c r="J25" s="8"/>
      <c r="K25" s="9"/>
      <c r="L25" s="10"/>
      <c r="M25" s="10"/>
      <c r="N25" s="10"/>
      <c r="O25" s="10"/>
      <c r="P25" s="11"/>
      <c r="Q25" s="11"/>
      <c r="R25" s="12"/>
      <c r="S25" s="13"/>
      <c r="T25" s="13"/>
    </row>
    <row r="26" s="5" customFormat="1" spans="2:20">
      <c r="B26" s="6"/>
      <c r="C26" s="6"/>
      <c r="D26" s="6"/>
      <c r="E26" s="6"/>
      <c r="H26" s="7"/>
      <c r="J26" s="8"/>
      <c r="K26" s="9"/>
      <c r="L26" s="10"/>
      <c r="M26" s="10"/>
      <c r="N26" s="10"/>
      <c r="O26" s="10"/>
      <c r="P26" s="11"/>
      <c r="Q26" s="11"/>
      <c r="R26" s="12"/>
      <c r="S26" s="13"/>
      <c r="T26" s="13"/>
    </row>
    <row r="27" s="5" customFormat="1" spans="2:20">
      <c r="B27" s="6"/>
      <c r="C27" s="6"/>
      <c r="D27" s="6"/>
      <c r="E27" s="6"/>
      <c r="H27" s="7"/>
      <c r="J27" s="8"/>
      <c r="K27" s="9"/>
      <c r="L27" s="10"/>
      <c r="M27" s="10"/>
      <c r="N27" s="10"/>
      <c r="O27" s="10"/>
      <c r="P27" s="11"/>
      <c r="Q27" s="11"/>
      <c r="R27" s="12"/>
      <c r="S27" s="13"/>
      <c r="T27" s="13"/>
    </row>
    <row r="28" s="5" customFormat="1" spans="2:20">
      <c r="B28" s="6"/>
      <c r="C28" s="6"/>
      <c r="D28" s="6"/>
      <c r="E28" s="6"/>
      <c r="H28" s="7"/>
      <c r="J28" s="8"/>
      <c r="K28" s="9"/>
      <c r="L28" s="10"/>
      <c r="M28" s="10"/>
      <c r="N28" s="10"/>
      <c r="O28" s="10"/>
      <c r="P28" s="11"/>
      <c r="Q28" s="11"/>
      <c r="R28" s="12"/>
      <c r="S28" s="13"/>
      <c r="T28" s="13"/>
    </row>
    <row r="29" s="5" customFormat="1" spans="2:20">
      <c r="B29" s="6"/>
      <c r="C29" s="6"/>
      <c r="D29" s="6"/>
      <c r="E29" s="6"/>
      <c r="H29" s="7"/>
      <c r="J29" s="8"/>
      <c r="K29" s="9"/>
      <c r="L29" s="10"/>
      <c r="M29" s="10"/>
      <c r="N29" s="10"/>
      <c r="O29" s="10"/>
      <c r="P29" s="11"/>
      <c r="Q29" s="11"/>
      <c r="R29" s="12"/>
      <c r="S29" s="13"/>
      <c r="T29" s="13"/>
    </row>
    <row r="30" s="5" customFormat="1" spans="2:20">
      <c r="B30" s="6"/>
      <c r="C30" s="6"/>
      <c r="D30" s="6"/>
      <c r="E30" s="6"/>
      <c r="H30" s="7"/>
      <c r="J30" s="8"/>
      <c r="K30" s="9"/>
      <c r="L30" s="10"/>
      <c r="M30" s="10"/>
      <c r="N30" s="10"/>
      <c r="O30" s="10"/>
      <c r="P30" s="11"/>
      <c r="Q30" s="11"/>
      <c r="R30" s="12"/>
      <c r="S30" s="13"/>
      <c r="T30" s="13"/>
    </row>
    <row r="32" s="5" customFormat="1" spans="2:20">
      <c r="B32" s="6"/>
      <c r="C32" s="6"/>
      <c r="D32" s="6"/>
      <c r="E32" s="6"/>
      <c r="H32" s="7"/>
      <c r="J32" s="8"/>
      <c r="K32" s="9"/>
      <c r="L32" s="10"/>
      <c r="M32" s="10"/>
      <c r="N32" s="10"/>
      <c r="O32" s="10"/>
      <c r="P32" s="11"/>
      <c r="Q32" s="11"/>
      <c r="R32" s="12"/>
      <c r="S32" s="13"/>
      <c r="T32" s="13"/>
    </row>
    <row r="33" s="5" customFormat="1" spans="2:20">
      <c r="B33" s="6"/>
      <c r="C33" s="6"/>
      <c r="D33" s="6"/>
      <c r="E33" s="6"/>
      <c r="H33" s="7"/>
      <c r="J33" s="8"/>
      <c r="K33" s="9"/>
      <c r="L33" s="10"/>
      <c r="M33" s="10"/>
      <c r="N33" s="10"/>
      <c r="O33" s="10"/>
      <c r="P33" s="11"/>
      <c r="Q33" s="11"/>
      <c r="R33" s="12"/>
      <c r="S33" s="13"/>
      <c r="T33" s="13"/>
    </row>
  </sheetData>
  <mergeCells count="7">
    <mergeCell ref="P3:R3"/>
    <mergeCell ref="P10:R10"/>
    <mergeCell ref="P14:R14"/>
    <mergeCell ref="P16:R16"/>
    <mergeCell ref="P19:R19"/>
    <mergeCell ref="K21:N21"/>
    <mergeCell ref="K22:N22"/>
  </mergeCells>
  <conditionalFormatting sqref="B12">
    <cfRule type="containsText" dxfId="0" priority="6" operator="between" text="填写">
      <formula>NOT(ISERROR(SEARCH("填写",B12)))</formula>
    </cfRule>
  </conditionalFormatting>
  <conditionalFormatting sqref="C12">
    <cfRule type="containsText" dxfId="0" priority="5" operator="between" text="填写">
      <formula>NOT(ISERROR(SEARCH("填写",C12)))</formula>
    </cfRule>
  </conditionalFormatting>
  <conditionalFormatting sqref="D12">
    <cfRule type="containsText" dxfId="0" priority="4" operator="between" text="填写">
      <formula>NOT(ISERROR(SEARCH("填写",D12)))</formula>
    </cfRule>
  </conditionalFormatting>
  <conditionalFormatting sqref="A13">
    <cfRule type="containsText" dxfId="0" priority="7" operator="between" text="填写">
      <formula>NOT(ISERROR(SEARCH("填写",A13)))</formula>
    </cfRule>
  </conditionalFormatting>
  <conditionalFormatting sqref="B13">
    <cfRule type="containsText" dxfId="0" priority="3" operator="between" text="填写">
      <formula>NOT(ISERROR(SEARCH("填写",B13)))</formula>
    </cfRule>
  </conditionalFormatting>
  <conditionalFormatting sqref="C13">
    <cfRule type="containsText" dxfId="0" priority="2" operator="between" text="填写">
      <formula>NOT(ISERROR(SEARCH("填写",C13)))</formula>
    </cfRule>
  </conditionalFormatting>
  <conditionalFormatting sqref="D13">
    <cfRule type="containsText" dxfId="0" priority="1" operator="between" text="填写">
      <formula>NOT(ISERROR(SEARCH("填写",D13)))</formula>
    </cfRule>
  </conditionalFormatting>
  <conditionalFormatting sqref="A14">
    <cfRule type="containsText" dxfId="0" priority="8" operator="between" text="填写">
      <formula>NOT(ISERROR(SEARCH("填写",A14)))</formula>
    </cfRule>
  </conditionalFormatting>
  <conditionalFormatting sqref="A18">
    <cfRule type="containsText" dxfId="0" priority="9" operator="between" text="填写">
      <formula>NOT(ISERROR(SEARCH("填写",A18)))</formula>
    </cfRule>
  </conditionalFormatting>
  <conditionalFormatting sqref="E18">
    <cfRule type="containsText" dxfId="0" priority="10" operator="between" text="填写">
      <formula>NOT(ISERROR(SEARCH("填写",E18)))</formula>
    </cfRule>
  </conditionalFormatting>
  <conditionalFormatting sqref="A2:A12 A19 A15:A16">
    <cfRule type="containsText" dxfId="0" priority="11" operator="between" text="填写">
      <formula>NOT(ISERROR(SEARCH("填写",A2)))</formula>
    </cfRule>
  </conditionalFormatting>
  <dataValidations count="7">
    <dataValidation type="list" allowBlank="1" showInputMessage="1" showErrorMessage="1" sqref="S2 S18 S5:S9 S12:S13">
      <formula1>"0%,1%,3%,6%,9%"</formula1>
    </dataValidation>
    <dataValidation type="list" allowBlank="1" showInputMessage="1" showErrorMessage="1" sqref="A18 E2:E1048576">
      <formula1>"框架内,框架外,据实结算"</formula1>
    </dataValidation>
    <dataValidation type="list" allowBlank="1" showInputMessage="1" showErrorMessage="1" sqref="D20">
      <formula1>"CNY, USD, JPY , HKD"</formula1>
    </dataValidation>
    <dataValidation type="list" allowBlank="1" showInputMessage="1" showErrorMessage="1" sqref="H20">
      <formula1>"是,否"</formula1>
    </dataValidation>
    <dataValidation type="list" allowBlank="1" showInputMessage="1" showErrorMessage="1" sqref="K20">
      <formula1>"0%,1%,3%,6%,13%"</formula1>
    </dataValidation>
    <dataValidation type="list" allowBlank="1" showInputMessage="1" showErrorMessage="1" sqref="A2:A17 A19:A1048576 B12:D13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2024-08-19T21:49:56Z</dcterms:created>
  <dcterms:modified xsi:type="dcterms:W3CDTF">2024-08-19T21:50:23Z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72A17D65B39E61FC844DC36674A0C6A0_41</vt:lpwstr>
  </property>
  <property fmtid="{D5CDD505-2E9C-101B-9397-08002B2CF9AE}" pid="3" name="KSOProductBuildVer">
    <vt:lpwstr>2052-6.10.1.8873</vt:lpwstr>
  </property>
</Properties>
</file>