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windowWidth="22552" windowHeight="11655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</externalReferences>
  <definedNames>
    <definedName name="_xlnm._FilterDatabase" localSheetId="4" hidden="1">非常用条目!$A$1:$D$41</definedName>
    <definedName name="_xlnm._FilterDatabase" localSheetId="5" hidden="1">'地面交通-数量预估'!$A$2:$I$31</definedName>
    <definedName name="_xlnm._FilterDatabase" localSheetId="8" hidden="1">年度!$A$2:$G$155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<sst xmlns="http://schemas.openxmlformats.org/spreadsheetml/2006/main" count="998" uniqueCount="468">
  <si>
    <r>
      <rPr>
        <b/>
        <sz val="9"/>
        <color rgb="FF000000"/>
        <rFont val="微软雅黑"/>
        <charset val="134"/>
      </rPr>
      <t>报价注意事项</t>
    </r>
    <r>
      <rPr>
        <sz val="9"/>
        <color rgb="FF000000"/>
        <rFont val="微软雅黑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</si>
  <si>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</si>
  <si>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</si>
  <si>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</si>
  <si>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</si>
  <si>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</si>
  <si>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</si>
  <si>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</si>
  <si>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模块4</t>
  </si>
  <si>
    <t>门票</t>
  </si>
  <si>
    <t>项</t>
  </si>
  <si>
    <t>模块5</t>
  </si>
  <si>
    <t>餐饮</t>
  </si>
  <si>
    <t>模块8</t>
  </si>
  <si>
    <t>运营费用</t>
  </si>
  <si>
    <t>模块9</t>
  </si>
  <si>
    <t>服务费</t>
  </si>
  <si>
    <t>模块10</t>
  </si>
  <si>
    <t>税费</t>
  </si>
  <si>
    <t>合计</t>
  </si>
  <si>
    <t>客户名称</t>
  </si>
  <si>
    <t>业务联系人</t>
  </si>
  <si>
    <t>联系方式</t>
  </si>
  <si>
    <t>项目名称</t>
  </si>
  <si>
    <t>2024快手光合创作者大会-分会场晚宴接待</t>
  </si>
  <si>
    <t>采购联系人</t>
  </si>
  <si>
    <t>徐岩</t>
  </si>
  <si>
    <t>项目日期</t>
  </si>
  <si>
    <t>8月底</t>
  </si>
  <si>
    <t>接待人数</t>
  </si>
  <si>
    <r>
      <rPr>
        <u/>
        <sz val="10"/>
        <color rgb="FF0000FF"/>
        <rFont val="微软雅黑"/>
        <charset val="134"/>
      </rPr>
      <t>300</t>
    </r>
    <r>
      <rPr>
        <sz val="10"/>
        <color rgb="FF0000FF"/>
        <rFont val="微软雅黑"/>
        <charset val="134"/>
      </rPr>
      <t>人拟定</t>
    </r>
  </si>
  <si>
    <t>目的地</t>
  </si>
  <si>
    <t>无锡</t>
  </si>
  <si>
    <t>报价时间</t>
  </si>
  <si>
    <t>项目经理</t>
  </si>
  <si>
    <t>杨燕</t>
  </si>
  <si>
    <t>邮箱地址</t>
  </si>
  <si>
    <t>yangyan@cct.cn</t>
  </si>
  <si>
    <t>收入明细</t>
  </si>
  <si>
    <t>项目</t>
  </si>
  <si>
    <t>需求类型</t>
  </si>
  <si>
    <t>单位</t>
  </si>
  <si>
    <t>单价</t>
  </si>
  <si>
    <t>预估采购金额</t>
  </si>
  <si>
    <t>分会场晚宴</t>
  </si>
  <si>
    <t>围桌晚餐</t>
  </si>
  <si>
    <t>人/桌</t>
  </si>
  <si>
    <t>元</t>
  </si>
  <si>
    <t>每桌10人</t>
  </si>
  <si>
    <t>奔富·寇兰山</t>
  </si>
  <si>
    <t>酒水</t>
  </si>
  <si>
    <t>瓶</t>
  </si>
  <si>
    <t>每桌4瓶</t>
  </si>
  <si>
    <t>五粮液</t>
  </si>
  <si>
    <t>每桌2瓶</t>
  </si>
  <si>
    <t>单项小计:</t>
  </si>
  <si>
    <t>费用合计</t>
  </si>
  <si>
    <t>景区门票</t>
  </si>
  <si>
    <t>其他</t>
  </si>
  <si>
    <t>人</t>
  </si>
  <si>
    <t>活动现场执行人员-第三方</t>
  </si>
  <si>
    <t>工作人员</t>
  </si>
  <si>
    <t>人/次</t>
  </si>
  <si>
    <t>工作时长8小时（北门2名，分会场2名）</t>
  </si>
  <si>
    <t>工作人员餐费</t>
  </si>
  <si>
    <t>餐费</t>
  </si>
  <si>
    <t>人/天</t>
  </si>
  <si>
    <t>超时费</t>
  </si>
  <si>
    <t>合计（货币单位）</t>
  </si>
  <si>
    <t>服务费（人民币：元）</t>
  </si>
  <si>
    <t>增值税专用发票税6%（人民币：元）</t>
  </si>
  <si>
    <t>费用总计（人民币）</t>
  </si>
  <si>
    <t>项目数量</t>
  </si>
  <si>
    <t>年度</t>
  </si>
  <si>
    <t>大于100w</t>
  </si>
  <si>
    <t>10-100w</t>
  </si>
  <si>
    <t>小于10w</t>
  </si>
  <si>
    <t>占比</t>
  </si>
  <si>
    <t>机票/高铁</t>
  </si>
  <si>
    <t>酒店</t>
  </si>
  <si>
    <t>市内交通</t>
  </si>
  <si>
    <t>参会人员保险</t>
  </si>
  <si>
    <t>同程人员</t>
  </si>
  <si>
    <t>第三方人员</t>
  </si>
  <si>
    <t>物料制作</t>
  </si>
  <si>
    <t>活动期间运营费用</t>
  </si>
  <si>
    <t>会议及场地费用</t>
  </si>
  <si>
    <t>单项目总价</t>
  </si>
  <si>
    <t>所有项目总价</t>
  </si>
  <si>
    <t>黄色</t>
  </si>
  <si>
    <t>垫付总计
（实报实销，仅报价服务费率）</t>
  </si>
  <si>
    <t>绿色</t>
  </si>
  <si>
    <t>单独报价总计
（按单项报价）</t>
  </si>
  <si>
    <t>人员</t>
  </si>
  <si>
    <t>车辆等级</t>
  </si>
  <si>
    <t>多数活动均会涉及的条目</t>
  </si>
  <si>
    <t>地面交通</t>
  </si>
  <si>
    <t>单次使用</t>
  </si>
  <si>
    <t>4座普通小车</t>
  </si>
  <si>
    <t>车*次</t>
  </si>
  <si>
    <t>4座豪华小车</t>
  </si>
  <si>
    <t>车次</t>
  </si>
  <si>
    <t>7座普通商务车</t>
  </si>
  <si>
    <t>7座豪华商务车</t>
  </si>
  <si>
    <t>19-22座普通小巴</t>
  </si>
  <si>
    <t>19-22座豪华小巴</t>
  </si>
  <si>
    <t>15座普通商务车</t>
  </si>
  <si>
    <t>15座豪华商务车</t>
  </si>
  <si>
    <t>33座中巴</t>
  </si>
  <si>
    <t>37座中巴</t>
  </si>
  <si>
    <t>45座大巴</t>
  </si>
  <si>
    <t>53座大巴</t>
  </si>
  <si>
    <t>57座大巴</t>
  </si>
  <si>
    <t>包车</t>
  </si>
  <si>
    <t>车次*天</t>
  </si>
  <si>
    <t>其他车辆费用</t>
  </si>
  <si>
    <t>车辆超时费</t>
  </si>
  <si>
    <t>pcs</t>
  </si>
  <si>
    <t>活动现场前期运营</t>
  </si>
  <si>
    <t>中台核心工作组</t>
  </si>
  <si>
    <t>活动现场执行人员</t>
  </si>
  <si>
    <t>VIP管家</t>
  </si>
  <si>
    <t>第三方统筹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</si>
  <si>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</si>
  <si>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</si>
  <si>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</si>
  <si>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</si>
  <si>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</si>
  <si>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</si>
  <si>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</si>
  <si>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</si>
  <si>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</si>
  <si>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</si>
  <si>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</si>
  <si>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</si>
  <si>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</si>
  <si>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</si>
  <si>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</si>
  <si>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差旅补助</t>
  </si>
  <si>
    <t>住宿补助</t>
  </si>
  <si>
    <t>交通补助</t>
  </si>
  <si>
    <t>培训费用</t>
  </si>
  <si>
    <t>条目明细</t>
  </si>
  <si>
    <t>天</t>
  </si>
  <si>
    <t>仅大型活动涉及的搭建、设计、物料类条目</t>
  </si>
  <si>
    <t>机场/火车站：接机牌+引领，KT板+手柄</t>
  </si>
  <si>
    <t>机场/火车站：迎宾鲜花</t>
  </si>
  <si>
    <t>机场/火车站：防疫物资（备用口罩+消毒湿巾+免洗消毒液）</t>
  </si>
  <si>
    <t>车上物品：车头牌，A3塑封</t>
  </si>
  <si>
    <t>车上物品：冠军主播：埃尔法，4天，每天补充</t>
  </si>
  <si>
    <t>车贴：埃尔法磁吸车贴，含车贴制作+人工工时+车辆工时+清洁费</t>
  </si>
  <si>
    <t>车上物品：其他主播，GL8，&amp;包车期间，每天补充</t>
  </si>
  <si>
    <t>车贴：GL8车贴，含车贴制作+人工工时+车辆工时+清洁费</t>
  </si>
  <si>
    <t>车上物品：GL8，接送机&amp;包车期间，3天，每天补充</t>
  </si>
  <si>
    <t>车上物品：考斯特，包车期间，3天，每天补充</t>
  </si>
  <si>
    <t>车贴：考斯特车贴，含车贴制作+人工工时+车辆工时+清洁费</t>
  </si>
  <si>
    <t>签到台：鲜花</t>
  </si>
  <si>
    <t>签到台：指引牌</t>
  </si>
  <si>
    <t>签到台：A4立牌，亚克力</t>
  </si>
  <si>
    <t>签到台：防疫物品</t>
  </si>
  <si>
    <t>房间物料：餐券</t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</si>
  <si>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</si>
  <si>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</si>
  <si>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</si>
  <si>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</si>
  <si>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</si>
  <si>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</si>
  <si>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</si>
  <si>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</si>
  <si>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</si>
  <si>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</si>
  <si>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t>定制工作服</t>
  </si>
  <si>
    <t>会场发光手举牌</t>
  </si>
  <si>
    <t>物料打样费用预估</t>
  </si>
  <si>
    <t>运输及快递费用预估</t>
  </si>
  <si>
    <t>3D设计费</t>
  </si>
  <si>
    <t>平面设计费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</si>
  <si>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</si>
  <si>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</si>
  <si>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</si>
  <si>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</si>
  <si>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</si>
  <si>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签到台：签到桌</t>
  </si>
  <si>
    <t>四星酒店签到背板+签到桌</t>
  </si>
  <si>
    <t>项目类型</t>
  </si>
  <si>
    <t>车辆类型</t>
  </si>
  <si>
    <t>总计</t>
  </si>
  <si>
    <t>圆整</t>
  </si>
  <si>
    <t>GL8（多少KM内一口价，每多1KM，X元）</t>
  </si>
  <si>
    <t>埃尔法</t>
  </si>
  <si>
    <t>考斯特</t>
  </si>
  <si>
    <t>GL8</t>
  </si>
  <si>
    <t>机场VIP通道费用、交通杂费（停车费/过路费）</t>
  </si>
  <si>
    <t>KT板</t>
  </si>
  <si>
    <t>m2</t>
  </si>
  <si>
    <t>发光KT板</t>
  </si>
  <si>
    <t>防疫物品</t>
  </si>
  <si>
    <t>套</t>
  </si>
  <si>
    <t>车头牌</t>
  </si>
  <si>
    <t>车上用品</t>
  </si>
  <si>
    <t>磁吸车贴</t>
  </si>
  <si>
    <t>花束（非节假日）</t>
  </si>
  <si>
    <t>束</t>
  </si>
  <si>
    <t>花束（节假日）</t>
  </si>
  <si>
    <t>鲜花（单只）</t>
  </si>
  <si>
    <t>只</t>
  </si>
  <si>
    <t>水牌</t>
  </si>
  <si>
    <t>个</t>
  </si>
  <si>
    <t>房间物料集合</t>
  </si>
  <si>
    <t>客房欢迎礼物</t>
  </si>
  <si>
    <t>件</t>
  </si>
  <si>
    <t>道旗</t>
  </si>
  <si>
    <t>发光字</t>
  </si>
  <si>
    <t>延米</t>
  </si>
  <si>
    <t>亚克力字</t>
  </si>
  <si>
    <t>亚克力板</t>
  </si>
  <si>
    <t>签到桌</t>
  </si>
  <si>
    <t>木质搭建</t>
  </si>
  <si>
    <t>打样费用</t>
  </si>
  <si>
    <t>主播侧：接待部分报价</t>
  </si>
  <si>
    <t>编号</t>
  </si>
  <si>
    <t>次数/天数</t>
  </si>
  <si>
    <t>大交通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</si>
  <si>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</si>
  <si>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</si>
  <si>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</si>
  <si>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</si>
  <si>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</si>
  <si>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</si>
  <si>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charset val="134"/>
      </rPr>
      <t>飞机经济舱，以北京为例报价</t>
    </r>
    <r>
      <rPr>
        <sz val="9"/>
        <rFont val="Times New Roman"/>
        <charset val="134"/>
      </rPr>
      <t>,5</t>
    </r>
    <r>
      <rPr>
        <sz val="9"/>
        <rFont val="SimSun"/>
        <charset val="134"/>
      </rPr>
      <t>折预估，以实际出票为准</t>
    </r>
  </si>
  <si>
    <t>高铁二等座：第三+四+五梯度人群</t>
  </si>
  <si>
    <t>高铁二等座，以北京为例报价，以实际出票为准</t>
  </si>
  <si>
    <t>火车票出票费</t>
  </si>
  <si>
    <t>退改签费用预估</t>
  </si>
  <si>
    <t>仅为预估，据实结算</t>
  </si>
  <si>
    <t>费用小计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</si>
  <si>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</si>
  <si>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</si>
  <si>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</si>
  <si>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</si>
  <si>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</si>
  <si>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</si>
  <si>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</si>
  <si>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</si>
  <si>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</si>
  <si>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charset val="134"/>
      </rPr>
      <t>第五梯度：</t>
    </r>
    <r>
      <rPr>
        <sz val="9"/>
        <color rgb="FFFF0000"/>
        <rFont val="宋体"/>
        <charset val="134"/>
      </rPr>
      <t>四星酒店</t>
    </r>
    <r>
      <rPr>
        <sz val="9"/>
        <rFont val="宋体"/>
        <charset val="134"/>
      </rPr>
      <t>-高/豪大床房/双床房</t>
    </r>
  </si>
  <si>
    <t>酒店mini bar</t>
  </si>
  <si>
    <t>当地交通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</si>
  <si>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</si>
  <si>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</si>
  <si>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</si>
  <si>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</si>
  <si>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</si>
  <si>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rPr>
        <sz val="9"/>
        <rFont val="宋体"/>
        <charset val="134"/>
      </rPr>
      <t>接送机/接送站：GL8包车，</t>
    </r>
    <r>
      <rPr>
        <sz val="9"/>
        <color rgb="FFFF0000"/>
        <rFont val="宋体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</si>
  <si>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</si>
  <si>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</si>
  <si>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rPr>
        <sz val="9"/>
        <rFont val="宋体"/>
        <charset val="134"/>
      </rPr>
      <t>考斯特包车5辆；8小时，100公里；活动期间酒店-场馆摆渡车，</t>
    </r>
    <r>
      <rPr>
        <sz val="9"/>
        <color rgb="FFFF0000"/>
        <rFont val="宋体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</si>
  <si>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</si>
  <si>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</si>
  <si>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</si>
  <si>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</si>
  <si>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</si>
  <si>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</si>
  <si>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</si>
  <si>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交通杂费（停车&amp;过路费）</t>
  </si>
  <si>
    <t>停车费、高速费等其他费用预估，以实际发生为准</t>
  </si>
  <si>
    <t>车辆超时费预估：20辆车*5天*4小时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</si>
  <si>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</si>
  <si>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</si>
  <si>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</si>
  <si>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</si>
  <si>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</si>
  <si>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</si>
  <si>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</si>
  <si>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</si>
  <si>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</si>
  <si>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</si>
  <si>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</si>
  <si>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保险及核酸</t>
  </si>
  <si>
    <t>人员保险</t>
  </si>
  <si>
    <r>
      <rPr>
        <sz val="9"/>
        <rFont val="Arial"/>
        <charset val="134"/>
      </rPr>
      <t>50</t>
    </r>
    <r>
      <rPr>
        <sz val="9"/>
        <rFont val="宋体"/>
        <charset val="134"/>
      </rPr>
      <t>万意外伤亡险，</t>
    </r>
    <r>
      <rPr>
        <sz val="9"/>
        <rFont val="Arial"/>
        <charset val="134"/>
      </rPr>
      <t>5</t>
    </r>
    <r>
      <rPr>
        <sz val="9"/>
        <rFont val="宋体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</si>
  <si>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</si>
  <si>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charset val="134"/>
      </rPr>
      <t>8</t>
    </r>
    <r>
      <rPr>
        <sz val="9"/>
        <rFont val="宋体"/>
        <charset val="134"/>
      </rPr>
      <t>小时工作制；超时</t>
    </r>
    <r>
      <rPr>
        <sz val="9"/>
        <rFont val="Arial"/>
        <charset val="134"/>
      </rPr>
      <t>200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</si>
  <si>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</si>
  <si>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</si>
  <si>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charset val="134"/>
      </rPr>
      <t>混检，单检</t>
    </r>
    <r>
      <rPr>
        <sz val="9"/>
        <rFont val="Arial"/>
        <charset val="134"/>
      </rPr>
      <t>16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人</t>
    </r>
  </si>
  <si>
    <t>核酸检测场地租金（2个地点*6次）</t>
  </si>
  <si>
    <t>同程工作人员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</si>
  <si>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</si>
  <si>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</si>
  <si>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</si>
  <si>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charset val="134"/>
      </rPr>
      <t>工作时间</t>
    </r>
    <r>
      <rPr>
        <sz val="9"/>
        <rFont val="Arial"/>
        <charset val="134"/>
      </rPr>
      <t>8</t>
    </r>
    <r>
      <rPr>
        <sz val="9"/>
        <rFont val="宋体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</si>
  <si>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</si>
  <si>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</si>
  <si>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</si>
  <si>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</si>
  <si>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</si>
  <si>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</si>
  <si>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</si>
  <si>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</si>
  <si>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</si>
  <si>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</si>
  <si>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</si>
  <si>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</si>
  <si>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</si>
  <si>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</si>
  <si>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</si>
  <si>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</si>
  <si>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</si>
  <si>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</si>
  <si>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</si>
  <si>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</si>
  <si>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</si>
  <si>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</si>
  <si>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</si>
  <si>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</si>
  <si>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</si>
  <si>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</si>
  <si>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</si>
  <si>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</si>
  <si>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</si>
  <si>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</si>
  <si>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</si>
  <si>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</si>
  <si>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</si>
  <si>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上述工作人员：交通补助</t>
  </si>
  <si>
    <t>场馆工作人员：餐饮预估</t>
  </si>
  <si>
    <t>上述工作人员：核酸费用</t>
  </si>
  <si>
    <t>当地工作人员培训费：核心人员+组长+司机等</t>
  </si>
  <si>
    <t>当地工作人员超时费：预估每天2小时</t>
  </si>
  <si>
    <t>延展及物料</t>
  </si>
  <si>
    <t>备用防疫物资</t>
  </si>
  <si>
    <t>第一梯度：车上物品：冠军主播：埃尔法，4天，每天补充</t>
  </si>
  <si>
    <t>车内有水，纸巾，小食，防疫物资等备品</t>
  </si>
  <si>
    <t>第一梯度：车贴：埃尔法磁吸车贴，含车贴制作+人工工时+车辆工时+清洁费</t>
  </si>
  <si>
    <t>第二梯度：车上物品：其他主播，GL8，&amp;包车期间，每天补充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</si>
  <si>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</si>
  <si>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</si>
  <si>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</si>
  <si>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</si>
  <si>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</si>
  <si>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</si>
  <si>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</si>
  <si>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2家酒店，每家2套,2天换一次，一共换5次,12月23日-1月1日</t>
  </si>
  <si>
    <t>2家酒店，每家4套，木质T字板，华邑8个，金鹰G酒店2个</t>
  </si>
  <si>
    <t>2家酒店，每家5套，亚克力+打印（1个核酸、2个云摄影、2个健康防疫二维码）</t>
  </si>
  <si>
    <t>2家酒店，每家1套，含口罩、消毒湿纸巾、免洗洗手液</t>
  </si>
  <si>
    <r>
      <rPr>
        <sz val="9"/>
        <rFont val="Arial"/>
        <charset val="134"/>
      </rPr>
      <t>12</t>
    </r>
    <r>
      <rPr>
        <sz val="9"/>
        <rFont val="宋体"/>
        <charset val="134"/>
      </rPr>
      <t>月</t>
    </r>
    <r>
      <rPr>
        <sz val="9"/>
        <rFont val="Arial"/>
        <charset val="134"/>
      </rPr>
      <t>23</t>
    </r>
    <r>
      <rPr>
        <sz val="9"/>
        <rFont val="宋体"/>
        <charset val="134"/>
      </rPr>
      <t>日</t>
    </r>
    <r>
      <rPr>
        <sz val="9"/>
        <rFont val="Arial"/>
        <charset val="134"/>
      </rPr>
      <t>-12</t>
    </r>
    <r>
      <rPr>
        <sz val="9"/>
        <rFont val="宋体"/>
        <charset val="134"/>
      </rPr>
      <t>月</t>
    </r>
    <r>
      <rPr>
        <sz val="9"/>
        <rFont val="Arial"/>
        <charset val="134"/>
      </rPr>
      <t>31</t>
    </r>
    <r>
      <rPr>
        <sz val="9"/>
        <rFont val="宋体"/>
        <charset val="134"/>
      </rPr>
      <t>日，</t>
    </r>
    <r>
      <rPr>
        <sz val="9"/>
        <rFont val="Arial"/>
        <charset val="134"/>
      </rPr>
      <t>7</t>
    </r>
    <r>
      <rPr>
        <sz val="9"/>
        <rFont val="宋体"/>
        <charset val="134"/>
      </rPr>
      <t>天，每人每天</t>
    </r>
    <r>
      <rPr>
        <sz val="9"/>
        <rFont val="Arial"/>
        <charset val="134"/>
      </rPr>
      <t>2</t>
    </r>
    <r>
      <rPr>
        <sz val="9"/>
        <rFont val="宋体"/>
        <charset val="134"/>
      </rPr>
      <t>张，一共</t>
    </r>
    <r>
      <rPr>
        <sz val="9"/>
        <rFont val="Arial"/>
        <charset val="134"/>
      </rPr>
      <t>14</t>
    </r>
    <r>
      <rPr>
        <sz val="9"/>
        <rFont val="宋体"/>
        <charset val="134"/>
      </rPr>
      <t>张</t>
    </r>
  </si>
  <si>
    <r>
      <rPr>
        <sz val="9"/>
        <rFont val="宋体"/>
        <charset val="134"/>
      </rPr>
      <t>定制</t>
    </r>
    <r>
      <rPr>
        <sz val="9"/>
        <rFont val="Arial"/>
        <charset val="134"/>
      </rPr>
      <t>logo</t>
    </r>
    <r>
      <rPr>
        <sz val="9"/>
        <rFont val="宋体"/>
        <charset val="134"/>
      </rPr>
      <t>百岁山，签到台、车辆、房间</t>
    </r>
  </si>
  <si>
    <t>定制logo冲锋衣</t>
  </si>
  <si>
    <r>
      <rPr>
        <sz val="9"/>
        <rFont val="宋体"/>
        <charset val="134"/>
      </rPr>
      <t>奥体</t>
    </r>
    <r>
      <rPr>
        <sz val="9"/>
        <rFont val="Arial"/>
        <charset val="134"/>
      </rPr>
      <t>10</t>
    </r>
    <r>
      <rPr>
        <sz val="9"/>
        <rFont val="宋体"/>
        <charset val="134"/>
      </rPr>
      <t>个，国博15个</t>
    </r>
  </si>
  <si>
    <t>搭建</t>
  </si>
  <si>
    <t>4*7.异形</t>
  </si>
  <si>
    <t>长度5m，木质烤漆，异形结构</t>
  </si>
  <si>
    <t>工作间：酒店内会议室租金</t>
  </si>
  <si>
    <t>以实际发生为准，仅为预估</t>
  </si>
  <si>
    <t>工作间：办公用品预估</t>
  </si>
  <si>
    <t>短信平台使用：出票信息、出行提醒、活动提醒等</t>
  </si>
  <si>
    <t>物资快递费</t>
  </si>
  <si>
    <t>不可预见</t>
  </si>
  <si>
    <t>酒店内破损等</t>
  </si>
  <si>
    <t>其他不可预见</t>
  </si>
  <si>
    <t>以上合计</t>
  </si>
  <si>
    <t>同程服务费4%</t>
  </si>
  <si>
    <r>
      <rPr>
        <b/>
        <sz val="11"/>
        <rFont val="宋体"/>
        <charset val="134"/>
      </rPr>
      <t>专票税费</t>
    </r>
    <r>
      <rPr>
        <sz val="9"/>
        <rFont val="Arial"/>
        <charset val="134"/>
      </rPr>
      <t>6%</t>
    </r>
  </si>
  <si>
    <t>创作者侧：接待部分报价</t>
  </si>
  <si>
    <t>飞机经济舱：创作者</t>
  </si>
  <si>
    <t>飞机经济舱，以北京为例报价,8.5折预估，以实际出票为准</t>
  </si>
  <si>
    <t>高铁二等座：创作者</t>
  </si>
  <si>
    <t>12306身份免核验，代订火车票出票手续费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</si>
  <si>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</si>
  <si>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</si>
  <si>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</si>
  <si>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</si>
  <si>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</si>
  <si>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</si>
  <si>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</si>
  <si>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接送机/接送站：GL8单趟，8月8日</t>
  </si>
  <si>
    <t>接送机/接送站：大巴车摆渡车，8月9日/8月11日</t>
  </si>
  <si>
    <t>按照实际出票情况及入住酒店分配车辆</t>
  </si>
  <si>
    <t>？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</si>
  <si>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</si>
  <si>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</si>
  <si>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charset val="134"/>
      </rPr>
      <t>VIP用车</t>
    </r>
    <r>
      <rPr>
        <sz val="9"/>
        <color rgb="FF3F3F3F"/>
        <rFont val="微软雅黑"/>
        <charset val="134"/>
      </rPr>
      <t>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全天包车8月8日-11日</t>
    </r>
  </si>
  <si>
    <r>
      <rPr>
        <b/>
        <sz val="9"/>
        <color rgb="FF3F3F3F"/>
        <rFont val="微软雅黑"/>
        <charset val="134"/>
      </rPr>
      <t>GL8包车</t>
    </r>
    <r>
      <rPr>
        <sz val="9"/>
        <color rgb="FF3F3F3F"/>
        <rFont val="微软雅黑"/>
        <charset val="134"/>
      </rPr>
      <t>；8小时，100公里；活动期间酒店-场馆摆渡车，</t>
    </r>
    <r>
      <rPr>
        <sz val="9"/>
        <color rgb="FFFF0000"/>
        <rFont val="微软雅黑"/>
        <charset val="134"/>
      </rPr>
      <t>最终以实际使用结算.超时按照100元/小时，超公里按照10元/公里</t>
    </r>
  </si>
  <si>
    <r>
      <rPr>
        <b/>
        <sz val="9"/>
        <color rgb="FFFF0000"/>
        <rFont val="微软雅黑"/>
        <charset val="134"/>
      </rPr>
      <t>活动日用车</t>
    </r>
    <r>
      <rPr>
        <sz val="9"/>
        <color rgb="FFFF0000"/>
        <rFont val="微软雅黑"/>
        <charset val="134"/>
      </rPr>
      <t>：大巴车全天包车，8月10日</t>
    </r>
  </si>
  <si>
    <r>
      <rPr>
        <b/>
        <sz val="9"/>
        <color rgb="FFFF0000"/>
        <rFont val="微软雅黑"/>
        <charset val="134"/>
      </rPr>
      <t>大巴车</t>
    </r>
    <r>
      <rPr>
        <sz val="9"/>
        <color rgb="FFFF0000"/>
        <rFont val="微软雅黑"/>
        <charset val="134"/>
      </rPr>
      <t>包车2辆；8小时，150公里；活动期间酒店-场馆摆渡车，最终以实际使用结算，超时按照150元/小时，超公里按照15元/公里</t>
    </r>
  </si>
  <si>
    <r>
      <rPr>
        <b/>
        <sz val="9"/>
        <color rgb="FF3F3F3F"/>
        <rFont val="微软雅黑"/>
        <charset val="134"/>
      </rPr>
      <t>活动日用车：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全天包车，备用车辆，预估每个酒店2辆</t>
    </r>
  </si>
  <si>
    <r>
      <rPr>
        <b/>
        <sz val="9"/>
        <color rgb="FF3F3F3F"/>
        <rFont val="微软雅黑"/>
        <charset val="134"/>
      </rPr>
      <t>VIP</t>
    </r>
    <r>
      <rPr>
        <sz val="9"/>
        <color rgb="FF3F3F3F"/>
        <rFont val="微软雅黑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</si>
  <si>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</si>
  <si>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charset val="134"/>
      </rPr>
      <t>VIP：</t>
    </r>
    <r>
      <rPr>
        <sz val="9"/>
        <color rgb="FF3F3F3F"/>
        <rFont val="微软雅黑"/>
        <charset val="134"/>
      </rPr>
      <t>社会餐厅用餐（午餐/晚餐），1天*2餐，每次500元，8月10日</t>
    </r>
  </si>
  <si>
    <t>社会餐饮</t>
  </si>
  <si>
    <t>50万意外伤亡险，7天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</si>
  <si>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</si>
  <si>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</si>
  <si>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</si>
  <si>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</si>
  <si>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</si>
  <si>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</si>
  <si>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</si>
  <si>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</si>
  <si>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</si>
  <si>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</si>
  <si>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</si>
  <si>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</si>
  <si>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</si>
  <si>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</si>
  <si>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上述工作人员：餐饮预估</t>
  </si>
  <si>
    <t>当地工作人员超时费：预估每天2小时*100元*3天</t>
  </si>
  <si>
    <t>机场/火车站：接机牌，KT板+手柄</t>
  </si>
  <si>
    <t>车上物品：大巴车+GL8车内矿泉水</t>
  </si>
  <si>
    <t>车上物品：大巴车+GL8车内纸巾</t>
  </si>
  <si>
    <t>考察费用</t>
  </si>
  <si>
    <t>物资运输+物资前后期快递费</t>
  </si>
  <si>
    <t>酒店内破损，房间吸烟赔偿等</t>
  </si>
  <si>
    <r>
      <rPr>
        <b/>
        <sz val="11"/>
        <rFont val="微软雅黑"/>
        <charset val="134"/>
      </rPr>
      <t>专票税费</t>
    </r>
    <r>
      <rPr>
        <sz val="9"/>
        <color rgb="FF3F3F3F"/>
        <rFont val="微软雅黑"/>
        <charset val="134"/>
      </rPr>
      <t>6%</t>
    </r>
  </si>
  <si>
    <t>客户单位</t>
  </si>
  <si>
    <t>快手-娱乐暑期计划发布会</t>
  </si>
  <si>
    <t>联系人</t>
  </si>
  <si>
    <t>孙晓达</t>
  </si>
  <si>
    <t>6月28日-6月29日</t>
  </si>
  <si>
    <t>人数</t>
  </si>
  <si>
    <r>
      <rPr>
        <u/>
        <sz val="10"/>
        <color rgb="FF0000FF"/>
        <rFont val="微软雅黑"/>
        <charset val="134"/>
      </rPr>
      <t>20</t>
    </r>
    <r>
      <rPr>
        <sz val="10"/>
        <color indexed="12"/>
        <rFont val="微软雅黑"/>
        <charset val="134"/>
      </rPr>
      <t>人</t>
    </r>
  </si>
  <si>
    <t>北京</t>
  </si>
  <si>
    <t>王璐露</t>
  </si>
  <si>
    <t>频次</t>
  </si>
  <si>
    <t>青岛-北京</t>
  </si>
  <si>
    <t>火车票</t>
  </si>
  <si>
    <t>单程</t>
  </si>
  <si>
    <t>重庆-北京</t>
  </si>
  <si>
    <t>经济舱（境内）</t>
  </si>
  <si>
    <t>预估价格，最终按照实际出票为准</t>
  </si>
  <si>
    <t>长沙-北京</t>
  </si>
  <si>
    <t>厦门-北京</t>
  </si>
  <si>
    <t>广州-北京</t>
  </si>
  <si>
    <t>接机/接站-首都机场</t>
  </si>
  <si>
    <t>辆/趟</t>
  </si>
  <si>
    <t>100元／小时，10元／公里</t>
  </si>
  <si>
    <t>送机/送站-大兴机场</t>
  </si>
  <si>
    <t>全程包车</t>
  </si>
  <si>
    <t>辆</t>
  </si>
  <si>
    <t>全程</t>
  </si>
  <si>
    <t>150元／小时，15元／公里</t>
  </si>
  <si>
    <t>酒店住宿</t>
  </si>
  <si>
    <t>首钢香格里拉酒店</t>
  </si>
  <si>
    <t>高级大床</t>
  </si>
  <si>
    <t>间</t>
  </si>
  <si>
    <t>晚</t>
  </si>
  <si>
    <t>双早</t>
  </si>
  <si>
    <t>首钢智选假日酒店</t>
  </si>
  <si>
    <t>会议</t>
  </si>
  <si>
    <t>首钢香格里拉酒店-群明生辉宴会1+2厅</t>
  </si>
  <si>
    <t>进场费</t>
  </si>
  <si>
    <t>全天</t>
  </si>
  <si>
    <t>首钢香格里拉酒店-群明生辉宴会</t>
  </si>
  <si>
    <t>半日场租</t>
  </si>
  <si>
    <t>半日</t>
  </si>
  <si>
    <t>茶歇</t>
  </si>
  <si>
    <t>次</t>
  </si>
  <si>
    <t>自助午餐</t>
  </si>
  <si>
    <t>保险</t>
  </si>
  <si>
    <t>制作物料</t>
  </si>
  <si>
    <t>接机牌</t>
  </si>
  <si>
    <t>赠送</t>
  </si>
  <si>
    <t>活动现场工作人员</t>
  </si>
  <si>
    <t>工作时长8小时</t>
  </si>
  <si>
    <t>备用金</t>
  </si>
  <si>
    <t>服务费4%（人民币：元）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</si>
</sst>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_(\¥* #,##0.00_);_(\¥* \(#,##0.00\);_(\¥* &quot;-&quot;??_);_(@_)"/>
    <numFmt numFmtId="178" formatCode="_-* #,##0.00\ [$€-1]_-;\-* #,##0.00\ [$€-1]_-;_-* &quot;-&quot;??\ [$€-1]_-"/>
    <numFmt numFmtId="179" formatCode="_-* #,##0\ _F_-;\-* #,##0\ _F_-;_-* &quot;-&quot;??\ _F_-;_-@_-"/>
    <numFmt numFmtId="180" formatCode="\¥#,##0.00_);[Red]\(\¥#,##0.00\)"/>
    <numFmt numFmtId="181" formatCode="0.00_);[Red]\(0.00\)"/>
    <numFmt numFmtId="182" formatCode="\¥###,##0"/>
    <numFmt numFmtId="183" formatCode="\¥##,##0"/>
    <numFmt numFmtId="184" formatCode="0_ "/>
  </numFmts>
  <fonts count="82">
    <font>
      <sz val="12"/>
      <color theme="1"/>
      <name val="等线"/>
      <charset val="134"/>
      <scheme val="minor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u/>
      <sz val="10"/>
      <color indexed="12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indexed="17"/>
      <name val="微软雅黑"/>
      <charset val="134"/>
    </font>
    <font>
      <sz val="9"/>
      <color indexed="17"/>
      <name val="微软雅黑"/>
      <charset val="134"/>
    </font>
    <font>
      <sz val="10"/>
      <color indexed="17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sz val="9"/>
      <color indexed="10"/>
      <name val="微软雅黑"/>
      <charset val="134"/>
    </font>
    <font>
      <b/>
      <i/>
      <sz val="9"/>
      <color indexed="10"/>
      <name val="微软雅黑"/>
      <charset val="134"/>
    </font>
    <font>
      <sz val="10"/>
      <color indexed="10"/>
      <name val="微软雅黑"/>
      <charset val="134"/>
    </font>
    <font>
      <b/>
      <sz val="9"/>
      <color indexed="1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b/>
      <sz val="14"/>
      <color rgb="FFFFFFFF"/>
      <name val="微软雅黑"/>
      <charset val="134"/>
    </font>
    <font>
      <b/>
      <sz val="10"/>
      <color rgb="FF1E5ECF"/>
      <name val="微软雅黑"/>
      <charset val="134"/>
    </font>
    <font>
      <b/>
      <sz val="9"/>
      <color theme="1"/>
      <name val="微软雅黑"/>
      <charset val="134"/>
    </font>
    <font>
      <sz val="9"/>
      <color rgb="FF0C0C0C"/>
      <name val="微软雅黑"/>
      <charset val="134"/>
    </font>
    <font>
      <sz val="9"/>
      <color rgb="FF3F3F3F"/>
      <name val="微软雅黑"/>
      <charset val="134"/>
    </font>
    <font>
      <sz val="9"/>
      <color rgb="FFFF0000"/>
      <name val="微软雅黑"/>
      <charset val="134"/>
    </font>
    <font>
      <b/>
      <sz val="9"/>
      <color rgb="FF0C0C0C"/>
      <name val="微软雅黑"/>
      <charset val="134"/>
    </font>
    <font>
      <b/>
      <sz val="9"/>
      <color rgb="FF3F3F3F"/>
      <name val="微软雅黑"/>
      <charset val="134"/>
    </font>
    <font>
      <b/>
      <sz val="9"/>
      <color rgb="FFFF0000"/>
      <name val="微软雅黑"/>
      <charset val="134"/>
    </font>
    <font>
      <sz val="9"/>
      <color rgb="FF3F3F3F"/>
      <name val="宋体"/>
      <charset val="134"/>
    </font>
    <font>
      <sz val="9"/>
      <color rgb="FF3F3F3F"/>
      <name val="Arial"/>
      <charset val="134"/>
    </font>
    <font>
      <b/>
      <sz val="11"/>
      <name val="微软雅黑"/>
      <charset val="134"/>
    </font>
    <font>
      <b/>
      <sz val="10"/>
      <color rgb="FF3F3F3F"/>
      <name val="微软雅黑"/>
      <charset val="134"/>
    </font>
    <font>
      <sz val="10"/>
      <name val="微软雅黑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charset val="134"/>
    </font>
    <font>
      <b/>
      <sz val="10"/>
      <color rgb="FF1E5ECF"/>
      <name val="Arial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name val="方正书宋_GBK"/>
      <charset val="134"/>
    </font>
    <font>
      <sz val="9"/>
      <name val="SimSun"/>
      <charset val="134"/>
    </font>
    <font>
      <sz val="10"/>
      <color theme="1"/>
      <name val="Arial"/>
      <charset val="134"/>
    </font>
    <font>
      <sz val="9"/>
      <color rgb="FFFF0000"/>
      <name val="Arial"/>
      <charset val="134"/>
    </font>
    <font>
      <sz val="9"/>
      <color rgb="FFFF000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1"/>
      <name val="SimSun"/>
      <charset val="134"/>
    </font>
    <font>
      <b/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0"/>
      <color rgb="FF0000FF"/>
      <name val="Arial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9"/>
      <color rgb="FF000000"/>
      <name val="微软雅黑"/>
      <charset val="134"/>
    </font>
    <font>
      <b/>
      <sz val="9"/>
      <color theme="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Times New Roman"/>
      <charset val="134"/>
    </font>
    <font>
      <sz val="10"/>
      <color rgb="FF0000FF"/>
      <name val="微软雅黑"/>
      <charset val="134"/>
    </font>
    <font>
      <sz val="10"/>
      <color indexed="12"/>
      <name val="微软雅黑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49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2" fontId="5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center"/>
    </xf>
    <xf numFmtId="0" fontId="59" fillId="18" borderId="36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6" fillId="0" borderId="37" applyNumberFormat="0" applyFill="0" applyAlignment="0" applyProtection="0">
      <alignment vertical="center"/>
    </xf>
    <xf numFmtId="0" fontId="67" fillId="0" borderId="38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19" borderId="39" applyNumberFormat="0" applyAlignment="0" applyProtection="0">
      <alignment vertical="center"/>
    </xf>
    <xf numFmtId="0" fontId="69" fillId="20" borderId="40" applyNumberFormat="0" applyAlignment="0" applyProtection="0">
      <alignment vertical="center"/>
    </xf>
    <xf numFmtId="0" fontId="70" fillId="20" borderId="39" applyNumberFormat="0" applyAlignment="0" applyProtection="0">
      <alignment vertical="center"/>
    </xf>
    <xf numFmtId="0" fontId="71" fillId="21" borderId="41" applyNumberFormat="0" applyAlignment="0" applyProtection="0">
      <alignment vertical="center"/>
    </xf>
    <xf numFmtId="0" fontId="72" fillId="0" borderId="42" applyNumberFormat="0" applyFill="0" applyAlignment="0" applyProtection="0">
      <alignment vertical="center"/>
    </xf>
    <xf numFmtId="0" fontId="73" fillId="0" borderId="43" applyNumberFormat="0" applyFill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77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8" fillId="33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7" fillId="35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8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178" fontId="48" fillId="0" borderId="0" applyFont="0" applyFill="0" applyBorder="0" applyAlignment="0" applyProtection="0"/>
    <xf numFmtId="0" fontId="48" fillId="0" borderId="0"/>
  </cellStyleXfs>
  <cellXfs count="26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9" fontId="3" fillId="0" borderId="3" xfId="1" applyNumberFormat="1" applyFont="1" applyBorder="1" applyAlignment="1">
      <alignment horizontal="center" vertical="center"/>
    </xf>
    <xf numFmtId="14" fontId="4" fillId="0" borderId="2" xfId="6" applyNumberFormat="1" applyFont="1" applyFill="1" applyBorder="1" applyAlignment="1" applyProtection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1" applyNumberFormat="1" applyFont="1" applyFill="1" applyBorder="1" applyAlignment="1">
      <alignment horizontal="center" vertical="center"/>
    </xf>
    <xf numFmtId="180" fontId="6" fillId="3" borderId="5" xfId="1" applyNumberFormat="1" applyFont="1" applyFill="1" applyBorder="1" applyAlignment="1">
      <alignment horizontal="center" vertical="center"/>
    </xf>
    <xf numFmtId="181" fontId="6" fillId="3" borderId="5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9" fontId="3" fillId="0" borderId="9" xfId="1" applyNumberFormat="1" applyFont="1" applyFill="1" applyBorder="1" applyAlignment="1">
      <alignment horizontal="center" vertical="center"/>
    </xf>
    <xf numFmtId="179" fontId="3" fillId="0" borderId="5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179" fontId="3" fillId="0" borderId="11" xfId="1" applyNumberFormat="1" applyFont="1" applyFill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/>
    </xf>
    <xf numFmtId="179" fontId="3" fillId="0" borderId="11" xfId="1" applyNumberFormat="1" applyFont="1" applyBorder="1" applyAlignment="1">
      <alignment horizontal="center" vertical="center" wrapText="1"/>
    </xf>
    <xf numFmtId="181" fontId="3" fillId="0" borderId="11" xfId="1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80" fontId="7" fillId="4" borderId="1" xfId="1" applyNumberFormat="1" applyFont="1" applyFill="1" applyBorder="1" applyAlignment="1">
      <alignment horizontal="right" vertical="center"/>
    </xf>
    <xf numFmtId="180" fontId="7" fillId="4" borderId="3" xfId="1" applyNumberFormat="1" applyFont="1" applyFill="1" applyBorder="1" applyAlignment="1">
      <alignment horizontal="right" vertical="center"/>
    </xf>
    <xf numFmtId="180" fontId="7" fillId="4" borderId="14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181" fontId="3" fillId="0" borderId="11" xfId="1" applyNumberFormat="1" applyFont="1" applyFill="1" applyBorder="1" applyAlignment="1">
      <alignment horizontal="right" vertical="center"/>
    </xf>
    <xf numFmtId="0" fontId="3" fillId="0" borderId="11" xfId="1" applyNumberFormat="1" applyFont="1" applyFill="1" applyBorder="1" applyAlignment="1">
      <alignment horizontal="center" vertical="center"/>
    </xf>
    <xf numFmtId="181" fontId="3" fillId="0" borderId="5" xfId="1" applyNumberFormat="1" applyFont="1" applyFill="1" applyBorder="1" applyAlignment="1">
      <alignment horizontal="right" vertical="center"/>
    </xf>
    <xf numFmtId="38" fontId="3" fillId="0" borderId="5" xfId="1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181" fontId="3" fillId="0" borderId="5" xfId="1" applyNumberFormat="1" applyFont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 wrapText="1"/>
    </xf>
    <xf numFmtId="180" fontId="6" fillId="3" borderId="5" xfId="1" applyNumberFormat="1" applyFont="1" applyFill="1" applyBorder="1" applyAlignment="1">
      <alignment horizontal="right" vertical="center"/>
    </xf>
    <xf numFmtId="181" fontId="6" fillId="3" borderId="5" xfId="1" applyNumberFormat="1" applyFont="1" applyFill="1" applyBorder="1" applyAlignment="1">
      <alignment vertical="center"/>
    </xf>
    <xf numFmtId="179" fontId="6" fillId="3" borderId="17" xfId="1" applyNumberFormat="1" applyFont="1" applyFill="1" applyBorder="1" applyAlignment="1">
      <alignment horizontal="center" vertical="center"/>
    </xf>
    <xf numFmtId="40" fontId="3" fillId="0" borderId="11" xfId="1" applyNumberFormat="1" applyFont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left" vertical="center" wrapText="1"/>
    </xf>
    <xf numFmtId="180" fontId="7" fillId="4" borderId="4" xfId="1" applyNumberFormat="1" applyFont="1" applyFill="1" applyBorder="1" applyAlignment="1">
      <alignment horizontal="right" vertical="center"/>
    </xf>
    <xf numFmtId="181" fontId="7" fillId="4" borderId="2" xfId="49" applyNumberFormat="1" applyFont="1" applyFill="1" applyBorder="1" applyAlignment="1">
      <alignment horizontal="right" vertical="center"/>
    </xf>
    <xf numFmtId="179" fontId="14" fillId="4" borderId="17" xfId="1" applyNumberFormat="1" applyFont="1" applyFill="1" applyBorder="1" applyAlignment="1">
      <alignment horizontal="left" vertical="center" wrapText="1"/>
    </xf>
    <xf numFmtId="58" fontId="13" fillId="0" borderId="19" xfId="1" applyNumberFormat="1" applyFont="1" applyFill="1" applyBorder="1" applyAlignment="1">
      <alignment horizontal="left" vertical="center" wrapText="1"/>
    </xf>
    <xf numFmtId="0" fontId="13" fillId="0" borderId="17" xfId="1" applyNumberFormat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0" fontId="5" fillId="2" borderId="4" xfId="0" applyFont="1" applyFill="1" applyBorder="1" applyAlignment="1">
      <alignment horizontal="right" vertical="center"/>
    </xf>
    <xf numFmtId="181" fontId="5" fillId="2" borderId="5" xfId="49" applyNumberFormat="1" applyFont="1" applyFill="1" applyBorder="1" applyAlignment="1">
      <alignment horizontal="right" vertical="center"/>
    </xf>
    <xf numFmtId="180" fontId="16" fillId="2" borderId="17" xfId="49" applyNumberFormat="1" applyFont="1" applyFill="1" applyBorder="1" applyAlignment="1">
      <alignment horizontal="left" vertical="center" wrapText="1"/>
    </xf>
    <xf numFmtId="0" fontId="12" fillId="0" borderId="3" xfId="0" applyFont="1" applyBorder="1">
      <alignment vertical="center"/>
    </xf>
    <xf numFmtId="181" fontId="17" fillId="6" borderId="5" xfId="49" applyNumberFormat="1" applyFont="1" applyFill="1" applyBorder="1" applyAlignment="1">
      <alignment horizontal="right" vertical="center"/>
    </xf>
    <xf numFmtId="0" fontId="18" fillId="0" borderId="20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81" fontId="7" fillId="0" borderId="5" xfId="49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center" vertical="center"/>
    </xf>
    <xf numFmtId="181" fontId="11" fillId="5" borderId="22" xfId="49" applyNumberFormat="1" applyFont="1" applyFill="1" applyBorder="1" applyAlignment="1">
      <alignment horizontal="right" vertical="center"/>
    </xf>
    <xf numFmtId="180" fontId="11" fillId="5" borderId="23" xfId="49" applyNumberFormat="1" applyFont="1" applyFill="1" applyBorder="1" applyAlignment="1">
      <alignment horizontal="left" vertical="center" wrapText="1"/>
    </xf>
    <xf numFmtId="0" fontId="19" fillId="7" borderId="0" xfId="50" applyFont="1" applyFill="1" applyAlignment="1">
      <alignment horizontal="center" vertical="center"/>
    </xf>
    <xf numFmtId="0" fontId="19" fillId="7" borderId="0" xfId="50" applyFont="1" applyFill="1" applyAlignment="1">
      <alignment vertical="center"/>
    </xf>
    <xf numFmtId="0" fontId="20" fillId="0" borderId="0" xfId="50" applyFont="1" applyAlignment="1">
      <alignment horizontal="center" vertical="center" wrapText="1"/>
    </xf>
    <xf numFmtId="0" fontId="20" fillId="0" borderId="0" xfId="50" applyFont="1" applyAlignment="1">
      <alignment horizontal="left" vertical="center" wrapText="1"/>
    </xf>
    <xf numFmtId="0" fontId="21" fillId="8" borderId="0" xfId="50" applyFont="1" applyFill="1" applyAlignment="1">
      <alignment horizontal="center" vertical="center" wrapText="1"/>
    </xf>
    <xf numFmtId="0" fontId="21" fillId="8" borderId="0" xfId="50" applyFont="1" applyFill="1" applyAlignment="1">
      <alignment vertical="center" wrapText="1"/>
    </xf>
    <xf numFmtId="0" fontId="22" fillId="8" borderId="0" xfId="50" applyFont="1" applyFill="1" applyAlignment="1">
      <alignment horizontal="center" vertical="center" wrapText="1"/>
    </xf>
    <xf numFmtId="0" fontId="22" fillId="8" borderId="0" xfId="50" applyFont="1" applyFill="1" applyAlignment="1">
      <alignment vertical="center" wrapText="1"/>
    </xf>
    <xf numFmtId="0" fontId="23" fillId="0" borderId="0" xfId="50" applyFont="1" applyAlignment="1">
      <alignment horizontal="center" vertical="center" wrapText="1"/>
    </xf>
    <xf numFmtId="0" fontId="23" fillId="0" borderId="0" xfId="50" applyFont="1" applyAlignment="1">
      <alignment horizontal="left" vertical="center" wrapText="1"/>
    </xf>
    <xf numFmtId="182" fontId="23" fillId="0" borderId="0" xfId="50" applyNumberFormat="1" applyFont="1" applyAlignment="1">
      <alignment horizontal="center" vertical="center" wrapText="1"/>
    </xf>
    <xf numFmtId="183" fontId="23" fillId="0" borderId="0" xfId="50" applyNumberFormat="1" applyFont="1" applyAlignment="1">
      <alignment horizontal="center" vertical="center" wrapText="1"/>
    </xf>
    <xf numFmtId="0" fontId="24" fillId="0" borderId="0" xfId="50" applyFont="1" applyAlignment="1">
      <alignment horizontal="left" vertical="center" wrapText="1"/>
    </xf>
    <xf numFmtId="0" fontId="23" fillId="9" borderId="0" xfId="50" applyFont="1" applyFill="1" applyAlignment="1">
      <alignment horizontal="right" vertical="center" wrapText="1"/>
    </xf>
    <xf numFmtId="183" fontId="23" fillId="9" borderId="0" xfId="50" applyNumberFormat="1" applyFont="1" applyFill="1" applyAlignment="1">
      <alignment horizontal="center" vertical="center" wrapText="1"/>
    </xf>
    <xf numFmtId="0" fontId="23" fillId="9" borderId="0" xfId="50" applyFont="1" applyFill="1" applyAlignment="1">
      <alignment horizontal="left" vertical="center" wrapText="1"/>
    </xf>
    <xf numFmtId="0" fontId="25" fillId="8" borderId="0" xfId="50" applyFont="1" applyFill="1" applyAlignment="1">
      <alignment vertical="center" wrapText="1"/>
    </xf>
    <xf numFmtId="0" fontId="23" fillId="0" borderId="0" xfId="50" applyFont="1" applyAlignment="1">
      <alignment vertical="center" wrapText="1"/>
    </xf>
    <xf numFmtId="0" fontId="24" fillId="5" borderId="0" xfId="50" applyFont="1" applyFill="1" applyAlignment="1">
      <alignment horizontal="center" vertical="center" wrapText="1"/>
    </xf>
    <xf numFmtId="0" fontId="24" fillId="5" borderId="0" xfId="50" applyFont="1" applyFill="1" applyAlignment="1">
      <alignment vertical="center" wrapText="1"/>
    </xf>
    <xf numFmtId="182" fontId="24" fillId="5" borderId="0" xfId="50" applyNumberFormat="1" applyFont="1" applyFill="1" applyAlignment="1">
      <alignment horizontal="center" vertical="center" wrapText="1"/>
    </xf>
    <xf numFmtId="183" fontId="24" fillId="5" borderId="0" xfId="50" applyNumberFormat="1" applyFont="1" applyFill="1" applyAlignment="1">
      <alignment horizontal="center" vertical="center" wrapText="1"/>
    </xf>
    <xf numFmtId="0" fontId="0" fillId="0" borderId="0" xfId="0" applyAlignment="1"/>
    <xf numFmtId="0" fontId="26" fillId="0" borderId="0" xfId="50" applyFont="1" applyAlignment="1">
      <alignment horizontal="left" vertical="center" wrapText="1"/>
    </xf>
    <xf numFmtId="0" fontId="27" fillId="5" borderId="0" xfId="50" applyFont="1" applyFill="1" applyAlignment="1">
      <alignment horizontal="left" vertical="center" wrapText="1"/>
    </xf>
    <xf numFmtId="0" fontId="28" fillId="9" borderId="0" xfId="50" applyFont="1" applyFill="1" applyAlignment="1">
      <alignment horizontal="right" vertical="center" wrapText="1"/>
    </xf>
    <xf numFmtId="183" fontId="29" fillId="9" borderId="0" xfId="50" applyNumberFormat="1" applyFont="1" applyFill="1" applyAlignment="1">
      <alignment horizontal="center" vertical="center" wrapText="1"/>
    </xf>
    <xf numFmtId="0" fontId="28" fillId="9" borderId="0" xfId="50" applyFont="1" applyFill="1" applyAlignment="1">
      <alignment horizontal="left" vertical="center" wrapText="1"/>
    </xf>
    <xf numFmtId="0" fontId="30" fillId="5" borderId="0" xfId="50" applyFont="1" applyFill="1" applyAlignment="1">
      <alignment horizontal="center" vertical="center"/>
    </xf>
    <xf numFmtId="0" fontId="30" fillId="5" borderId="0" xfId="50" applyFont="1" applyFill="1" applyAlignment="1">
      <alignment horizontal="right" vertical="center"/>
    </xf>
    <xf numFmtId="183" fontId="31" fillId="5" borderId="0" xfId="50" applyNumberFormat="1" applyFont="1" applyFill="1" applyAlignment="1">
      <alignment horizontal="center" vertical="center" wrapText="1"/>
    </xf>
    <xf numFmtId="0" fontId="23" fillId="5" borderId="0" xfId="50" applyFont="1" applyFill="1" applyAlignment="1">
      <alignment vertical="center" wrapText="1"/>
    </xf>
    <xf numFmtId="0" fontId="30" fillId="0" borderId="0" xfId="50" applyFont="1" applyAlignment="1">
      <alignment horizontal="center" vertical="center"/>
    </xf>
    <xf numFmtId="0" fontId="30" fillId="0" borderId="0" xfId="50" applyFont="1" applyAlignment="1">
      <alignment horizontal="right" vertical="center"/>
    </xf>
    <xf numFmtId="183" fontId="31" fillId="0" borderId="0" xfId="50" applyNumberFormat="1" applyFont="1" applyAlignment="1">
      <alignment horizontal="center" vertical="center" wrapText="1"/>
    </xf>
    <xf numFmtId="0" fontId="32" fillId="0" borderId="0" xfId="50" applyFont="1" applyAlignment="1">
      <alignment horizontal="center" vertical="center" wrapText="1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183" fontId="30" fillId="0" borderId="0" xfId="50" applyNumberFormat="1" applyFont="1" applyAlignment="1">
      <alignment horizontal="center" vertical="center" wrapText="1"/>
    </xf>
    <xf numFmtId="183" fontId="30" fillId="0" borderId="0" xfId="50" applyNumberFormat="1" applyFont="1" applyAlignment="1">
      <alignment horizontal="right" vertical="center"/>
    </xf>
    <xf numFmtId="0" fontId="33" fillId="7" borderId="0" xfId="50" applyFont="1" applyFill="1" applyAlignment="1">
      <alignment horizontal="center" vertical="center"/>
    </xf>
    <xf numFmtId="0" fontId="34" fillId="7" borderId="0" xfId="50" applyFont="1" applyFill="1" applyAlignment="1">
      <alignment vertical="center"/>
    </xf>
    <xf numFmtId="0" fontId="34" fillId="7" borderId="0" xfId="50" applyFont="1" applyFill="1" applyAlignment="1">
      <alignment horizontal="center" vertical="center"/>
    </xf>
    <xf numFmtId="0" fontId="35" fillId="0" borderId="0" xfId="50" applyFont="1" applyAlignment="1">
      <alignment horizontal="center" vertical="center" wrapText="1"/>
    </xf>
    <xf numFmtId="0" fontId="35" fillId="0" borderId="0" xfId="50" applyFont="1" applyAlignment="1">
      <alignment horizontal="left" vertical="center" wrapText="1"/>
    </xf>
    <xf numFmtId="0" fontId="36" fillId="8" borderId="0" xfId="50" applyFont="1" applyFill="1" applyAlignment="1">
      <alignment horizontal="center" vertical="center" wrapText="1"/>
    </xf>
    <xf numFmtId="0" fontId="37" fillId="8" borderId="0" xfId="50" applyFont="1" applyFill="1" applyAlignment="1">
      <alignment vertical="center" wrapText="1"/>
    </xf>
    <xf numFmtId="0" fontId="38" fillId="8" borderId="0" xfId="50" applyFont="1" applyFill="1" applyAlignment="1">
      <alignment horizontal="center" vertical="center" wrapText="1"/>
    </xf>
    <xf numFmtId="0" fontId="38" fillId="8" borderId="0" xfId="50" applyFont="1" applyFill="1" applyAlignment="1">
      <alignment vertical="center" wrapText="1"/>
    </xf>
    <xf numFmtId="0" fontId="38" fillId="0" borderId="0" xfId="50" applyFont="1" applyAlignment="1">
      <alignment horizontal="center" vertical="center" wrapText="1"/>
    </xf>
    <xf numFmtId="0" fontId="39" fillId="0" borderId="0" xfId="50" applyFont="1" applyAlignment="1">
      <alignment horizontal="left" vertical="center" wrapText="1"/>
    </xf>
    <xf numFmtId="182" fontId="38" fillId="0" borderId="0" xfId="50" applyNumberFormat="1" applyFont="1" applyAlignment="1">
      <alignment horizontal="center" vertical="center" wrapText="1"/>
    </xf>
    <xf numFmtId="183" fontId="38" fillId="0" borderId="0" xfId="50" applyNumberFormat="1" applyFont="1" applyAlignment="1">
      <alignment horizontal="center" vertical="center" wrapText="1"/>
    </xf>
    <xf numFmtId="0" fontId="40" fillId="0" borderId="0" xfId="50" applyFont="1" applyAlignment="1">
      <alignment horizontal="left" vertical="center" wrapText="1"/>
    </xf>
    <xf numFmtId="0" fontId="41" fillId="0" borderId="0" xfId="50" applyFont="1" applyAlignment="1">
      <alignment horizontal="left" vertical="center" wrapText="1"/>
    </xf>
    <xf numFmtId="0" fontId="39" fillId="10" borderId="0" xfId="50" applyFont="1" applyFill="1" applyAlignment="1">
      <alignment horizontal="right" vertical="center" wrapText="1"/>
    </xf>
    <xf numFmtId="183" fontId="38" fillId="10" borderId="0" xfId="50" applyNumberFormat="1" applyFont="1" applyFill="1" applyAlignment="1">
      <alignment horizontal="center" vertical="center" wrapText="1"/>
    </xf>
    <xf numFmtId="0" fontId="39" fillId="10" borderId="0" xfId="50" applyFont="1" applyFill="1" applyAlignment="1">
      <alignment horizontal="left" vertical="center" wrapText="1"/>
    </xf>
    <xf numFmtId="0" fontId="39" fillId="11" borderId="0" xfId="50" applyFont="1" applyFill="1" applyAlignment="1">
      <alignment horizontal="left" vertical="center" wrapText="1"/>
    </xf>
    <xf numFmtId="0" fontId="39" fillId="12" borderId="0" xfId="50" applyFont="1" applyFill="1" applyAlignment="1">
      <alignment horizontal="left" vertical="center" wrapText="1"/>
    </xf>
    <xf numFmtId="0" fontId="39" fillId="5" borderId="0" xfId="50" applyFont="1" applyFill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39" fillId="13" borderId="0" xfId="50" applyFont="1" applyFill="1" applyAlignment="1">
      <alignment horizontal="left" vertical="center" wrapText="1"/>
    </xf>
    <xf numFmtId="0" fontId="43" fillId="0" borderId="0" xfId="50" applyFont="1" applyAlignment="1">
      <alignment horizontal="center" vertical="center" wrapText="1"/>
    </xf>
    <xf numFmtId="182" fontId="43" fillId="0" borderId="0" xfId="50" applyNumberFormat="1" applyFont="1" applyAlignment="1">
      <alignment horizontal="center" vertical="center" wrapText="1"/>
    </xf>
    <xf numFmtId="183" fontId="43" fillId="0" borderId="0" xfId="50" applyNumberFormat="1" applyFont="1" applyAlignment="1">
      <alignment horizontal="center" vertical="center" wrapText="1"/>
    </xf>
    <xf numFmtId="0" fontId="39" fillId="0" borderId="0" xfId="50" applyFont="1" applyAlignment="1">
      <alignment vertical="center" wrapText="1"/>
    </xf>
    <xf numFmtId="184" fontId="38" fillId="0" borderId="0" xfId="50" applyNumberFormat="1" applyFont="1" applyAlignment="1">
      <alignment horizontal="center" vertical="center" wrapText="1"/>
    </xf>
    <xf numFmtId="0" fontId="39" fillId="14" borderId="0" xfId="50" applyFont="1" applyFill="1" applyAlignment="1">
      <alignment vertical="center" wrapText="1"/>
    </xf>
    <xf numFmtId="184" fontId="38" fillId="14" borderId="0" xfId="50" applyNumberFormat="1" applyFont="1" applyFill="1" applyAlignment="1">
      <alignment horizontal="center" vertical="center" wrapText="1"/>
    </xf>
    <xf numFmtId="0" fontId="38" fillId="14" borderId="0" xfId="50" applyFont="1" applyFill="1" applyAlignment="1">
      <alignment horizontal="center" vertical="center" wrapText="1"/>
    </xf>
    <xf numFmtId="182" fontId="38" fillId="14" borderId="0" xfId="50" applyNumberFormat="1" applyFont="1" applyFill="1" applyAlignment="1">
      <alignment horizontal="center" vertical="center" wrapText="1"/>
    </xf>
    <xf numFmtId="183" fontId="38" fillId="14" borderId="0" xfId="50" applyNumberFormat="1" applyFont="1" applyFill="1" applyAlignment="1">
      <alignment horizontal="center" vertical="center" wrapText="1"/>
    </xf>
    <xf numFmtId="0" fontId="44" fillId="0" borderId="0" xfId="50" applyFont="1" applyAlignment="1">
      <alignment horizontal="left" vertical="center" wrapText="1"/>
    </xf>
    <xf numFmtId="0" fontId="38" fillId="0" borderId="0" xfId="5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5" fillId="5" borderId="0" xfId="50" applyFont="1" applyFill="1" applyAlignment="1">
      <alignment horizontal="center" vertical="center"/>
    </xf>
    <xf numFmtId="0" fontId="46" fillId="5" borderId="0" xfId="50" applyFont="1" applyFill="1" applyAlignment="1">
      <alignment horizontal="right" vertical="center"/>
    </xf>
    <xf numFmtId="0" fontId="46" fillId="5" borderId="0" xfId="50" applyFont="1" applyFill="1" applyAlignment="1">
      <alignment horizontal="center" vertical="center"/>
    </xf>
    <xf numFmtId="183" fontId="47" fillId="5" borderId="0" xfId="50" applyNumberFormat="1" applyFont="1" applyFill="1" applyAlignment="1">
      <alignment horizontal="center" vertical="center" wrapText="1"/>
    </xf>
    <xf numFmtId="0" fontId="38" fillId="5" borderId="0" xfId="50" applyFont="1" applyFill="1" applyAlignment="1">
      <alignment vertical="center" wrapText="1"/>
    </xf>
    <xf numFmtId="0" fontId="46" fillId="0" borderId="0" xfId="50" applyFont="1" applyAlignment="1">
      <alignment horizontal="center" vertical="center"/>
    </xf>
    <xf numFmtId="0" fontId="45" fillId="0" borderId="0" xfId="50" applyFont="1" applyAlignment="1">
      <alignment horizontal="right" vertical="center"/>
    </xf>
    <xf numFmtId="0" fontId="45" fillId="0" borderId="0" xfId="50" applyFont="1" applyAlignment="1">
      <alignment horizontal="center" vertical="center"/>
    </xf>
    <xf numFmtId="183" fontId="47" fillId="0" borderId="0" xfId="50" applyNumberFormat="1" applyFont="1" applyAlignment="1">
      <alignment horizontal="center" vertical="center" wrapText="1"/>
    </xf>
    <xf numFmtId="0" fontId="38" fillId="0" borderId="0" xfId="50" applyFont="1" applyAlignment="1">
      <alignment vertical="center" wrapText="1"/>
    </xf>
    <xf numFmtId="0" fontId="48" fillId="0" borderId="0" xfId="50" applyAlignment="1">
      <alignment horizontal="center" vertical="center" wrapText="1"/>
    </xf>
    <xf numFmtId="0" fontId="0" fillId="0" borderId="0" xfId="0" applyAlignment="1">
      <alignment horizontal="center"/>
    </xf>
    <xf numFmtId="0" fontId="49" fillId="0" borderId="0" xfId="50" applyFont="1" applyAlignment="1">
      <alignment horizontal="center" vertical="center"/>
    </xf>
    <xf numFmtId="183" fontId="46" fillId="0" borderId="0" xfId="50" applyNumberFormat="1" applyFont="1" applyAlignment="1">
      <alignment horizontal="center" vertical="center" wrapText="1"/>
    </xf>
    <xf numFmtId="183" fontId="46" fillId="0" borderId="0" xfId="50" applyNumberFormat="1" applyFont="1" applyAlignment="1">
      <alignment horizontal="right" vertical="center"/>
    </xf>
    <xf numFmtId="0" fontId="50" fillId="0" borderId="5" xfId="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" fillId="0" borderId="24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6" fillId="15" borderId="24" xfId="1" applyNumberFormat="1" applyFont="1" applyFill="1" applyBorder="1" applyAlignment="1">
      <alignment horizontal="center" vertical="center"/>
    </xf>
    <xf numFmtId="0" fontId="1" fillId="0" borderId="5" xfId="50" applyFont="1" applyBorder="1" applyAlignment="1">
      <alignment horizontal="left" vertical="center" wrapText="1"/>
    </xf>
    <xf numFmtId="0" fontId="1" fillId="0" borderId="5" xfId="5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1" applyNumberFormat="1" applyFont="1" applyFill="1" applyBorder="1" applyAlignment="1">
      <alignment horizontal="center" vertical="center"/>
    </xf>
    <xf numFmtId="0" fontId="6" fillId="3" borderId="4" xfId="1" applyNumberFormat="1" applyFont="1" applyFill="1" applyBorder="1" applyAlignment="1">
      <alignment horizontal="center" vertical="center"/>
    </xf>
    <xf numFmtId="0" fontId="6" fillId="15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15" borderId="4" xfId="1" applyNumberFormat="1" applyFont="1" applyFill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0" borderId="5" xfId="0" applyFont="1" applyBorder="1">
      <alignment vertical="center"/>
    </xf>
    <xf numFmtId="0" fontId="52" fillId="0" borderId="0" xfId="0" applyFont="1">
      <alignment vertical="center"/>
    </xf>
    <xf numFmtId="0" fontId="52" fillId="0" borderId="5" xfId="0" applyFont="1" applyBorder="1" applyAlignment="1">
      <alignment horizontal="center" vertical="center"/>
    </xf>
    <xf numFmtId="10" fontId="52" fillId="5" borderId="5" xfId="0" applyNumberFormat="1" applyFont="1" applyFill="1" applyBorder="1" applyAlignment="1">
      <alignment horizontal="center" vertical="center"/>
    </xf>
    <xf numFmtId="10" fontId="52" fillId="3" borderId="5" xfId="0" applyNumberFormat="1" applyFont="1" applyFill="1" applyBorder="1" applyAlignment="1">
      <alignment horizontal="center" vertical="center"/>
    </xf>
    <xf numFmtId="10" fontId="52" fillId="15" borderId="5" xfId="0" applyNumberFormat="1" applyFont="1" applyFill="1" applyBorder="1" applyAlignment="1">
      <alignment horizontal="center" vertical="center"/>
    </xf>
    <xf numFmtId="10" fontId="52" fillId="0" borderId="5" xfId="0" applyNumberFormat="1" applyFont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 wrapText="1"/>
    </xf>
    <xf numFmtId="10" fontId="51" fillId="5" borderId="5" xfId="0" applyNumberFormat="1" applyFont="1" applyFill="1" applyBorder="1" applyAlignment="1">
      <alignment horizontal="center" vertical="center"/>
    </xf>
    <xf numFmtId="0" fontId="52" fillId="15" borderId="7" xfId="0" applyFont="1" applyFill="1" applyBorder="1" applyAlignment="1">
      <alignment horizontal="center" vertical="center"/>
    </xf>
    <xf numFmtId="0" fontId="52" fillId="15" borderId="24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 wrapText="1"/>
    </xf>
    <xf numFmtId="10" fontId="51" fillId="3" borderId="5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51" fillId="15" borderId="7" xfId="0" applyFont="1" applyFill="1" applyBorder="1" applyAlignment="1">
      <alignment horizontal="center" vertical="center"/>
    </xf>
    <xf numFmtId="0" fontId="51" fillId="15" borderId="24" xfId="0" applyFont="1" applyFill="1" applyBorder="1" applyAlignment="1">
      <alignment horizontal="center" vertical="center"/>
    </xf>
    <xf numFmtId="0" fontId="51" fillId="15" borderId="1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14" fontId="53" fillId="0" borderId="2" xfId="6" applyNumberFormat="1" applyFont="1" applyFill="1" applyBorder="1" applyAlignment="1" applyProtection="1">
      <alignment horizontal="left" vertical="center"/>
    </xf>
    <xf numFmtId="0" fontId="21" fillId="0" borderId="6" xfId="0" applyFont="1" applyBorder="1" applyAlignment="1">
      <alignment horizontal="center" vertical="center" wrapText="1"/>
    </xf>
    <xf numFmtId="181" fontId="54" fillId="0" borderId="5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181" fontId="3" fillId="15" borderId="5" xfId="1" applyNumberFormat="1" applyFont="1" applyFill="1" applyBorder="1" applyAlignment="1">
      <alignment vertical="center"/>
    </xf>
    <xf numFmtId="0" fontId="5" fillId="0" borderId="33" xfId="0" applyFont="1" applyBorder="1" applyAlignment="1">
      <alignment horizontal="center" vertical="center" wrapText="1"/>
    </xf>
    <xf numFmtId="0" fontId="27" fillId="15" borderId="6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11" fillId="15" borderId="34" xfId="0" applyFont="1" applyFill="1" applyBorder="1" applyAlignment="1">
      <alignment horizontal="center" vertical="center"/>
    </xf>
    <xf numFmtId="0" fontId="11" fillId="15" borderId="2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181" fontId="54" fillId="0" borderId="5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center" vertical="center" wrapText="1"/>
    </xf>
    <xf numFmtId="179" fontId="14" fillId="4" borderId="17" xfId="1" applyNumberFormat="1" applyFont="1" applyFill="1" applyBorder="1" applyAlignment="1">
      <alignment horizontal="center" vertical="center" wrapText="1"/>
    </xf>
    <xf numFmtId="40" fontId="3" fillId="0" borderId="5" xfId="1" applyNumberFormat="1" applyFont="1" applyBorder="1" applyAlignment="1">
      <alignment horizontal="right" vertical="center"/>
    </xf>
    <xf numFmtId="181" fontId="3" fillId="0" borderId="7" xfId="1" applyNumberFormat="1" applyFont="1" applyBorder="1" applyAlignment="1">
      <alignment vertical="center"/>
    </xf>
    <xf numFmtId="179" fontId="13" fillId="0" borderId="17" xfId="1" applyNumberFormat="1" applyFont="1" applyFill="1" applyBorder="1" applyAlignment="1">
      <alignment vertical="center" wrapText="1"/>
    </xf>
    <xf numFmtId="180" fontId="16" fillId="2" borderId="17" xfId="49" applyNumberFormat="1" applyFont="1" applyFill="1" applyBorder="1" applyAlignment="1">
      <alignment horizontal="center" vertical="center" wrapText="1"/>
    </xf>
    <xf numFmtId="9" fontId="55" fillId="5" borderId="5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8" fillId="15" borderId="4" xfId="0" applyFont="1" applyFill="1" applyBorder="1" applyAlignment="1">
      <alignment horizontal="center" vertical="center"/>
    </xf>
    <xf numFmtId="179" fontId="14" fillId="0" borderId="17" xfId="1" applyNumberFormat="1" applyFont="1" applyFill="1" applyBorder="1" applyAlignment="1">
      <alignment horizontal="center" vertical="center" wrapText="1"/>
    </xf>
    <xf numFmtId="181" fontId="11" fillId="15" borderId="22" xfId="49" applyNumberFormat="1" applyFont="1" applyFill="1" applyBorder="1" applyAlignment="1">
      <alignment horizontal="right" vertical="center"/>
    </xf>
    <xf numFmtId="180" fontId="11" fillId="15" borderId="23" xfId="49" applyNumberFormat="1" applyFont="1" applyFill="1" applyBorder="1" applyAlignment="1">
      <alignment horizontal="center" vertical="center" wrapText="1"/>
    </xf>
    <xf numFmtId="0" fontId="56" fillId="0" borderId="5" xfId="0" applyFont="1" applyBorder="1" applyAlignment="1">
      <alignment horizontal="left" vertical="center" wrapText="1"/>
    </xf>
    <xf numFmtId="177" fontId="57" fillId="16" borderId="5" xfId="2" applyFont="1" applyFill="1" applyBorder="1" applyAlignment="1" applyProtection="1">
      <alignment horizontal="center" vertical="center" wrapText="1"/>
    </xf>
    <xf numFmtId="177" fontId="57" fillId="16" borderId="5" xfId="2" applyFont="1" applyFill="1" applyBorder="1" applyAlignment="1" applyProtection="1">
      <alignment horizontal="center" vertical="center" wrapText="1"/>
      <protection locked="0"/>
    </xf>
    <xf numFmtId="0" fontId="56" fillId="0" borderId="5" xfId="0" applyFont="1" applyBorder="1" applyAlignment="1">
      <alignment horizontal="center" vertical="center"/>
    </xf>
    <xf numFmtId="176" fontId="56" fillId="0" borderId="5" xfId="1" applyFont="1" applyBorder="1" applyAlignment="1">
      <alignment horizontal="center" vertical="center"/>
    </xf>
    <xf numFmtId="0" fontId="56" fillId="17" borderId="5" xfId="0" applyFont="1" applyFill="1" applyBorder="1" applyAlignment="1">
      <alignment horizontal="center" vertical="center" wrapText="1"/>
    </xf>
    <xf numFmtId="0" fontId="56" fillId="0" borderId="24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176" fontId="58" fillId="0" borderId="5" xfId="1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fhx823\Desktop\100W&#39033;&#30446;&#25253;&#20215;&#21333;\&#24180;&#24230;&#30427;&#20856;-&#32858;&#20809;&#30427;&#20856;\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yang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="110" zoomScaleNormal="110" workbookViewId="0">
      <selection activeCell="D16" sqref="D16"/>
    </sheetView>
  </sheetViews>
  <sheetFormatPr defaultColWidth="11" defaultRowHeight="15" outlineLevelCol="6"/>
  <cols>
    <col min="1" max="1" width="43.1796875" customWidth="1"/>
    <col min="6" max="6" width="15.6484375" customWidth="1"/>
  </cols>
  <sheetData>
    <row r="1" ht="96" customHeight="1" spans="1:1">
      <c r="A1" s="258" t="s">
        <v>0</v>
      </c>
    </row>
    <row r="2" spans="1:1">
      <c r="A2" s="161"/>
    </row>
    <row r="3" spans="1:7">
      <c r="A3" s="259" t="s">
        <v>1</v>
      </c>
      <c r="B3" s="259" t="s">
        <v>2</v>
      </c>
      <c r="C3" s="260" t="s">
        <v>3</v>
      </c>
      <c r="D3" s="260" t="s">
        <v>4</v>
      </c>
      <c r="E3" s="260" t="s">
        <v>5</v>
      </c>
      <c r="F3" s="260" t="s">
        <v>6</v>
      </c>
      <c r="G3" s="259" t="s">
        <v>7</v>
      </c>
    </row>
    <row r="4" spans="1:7">
      <c r="A4" s="261" t="s">
        <v>8</v>
      </c>
      <c r="B4" s="261" t="s">
        <v>9</v>
      </c>
      <c r="C4" s="261" t="s">
        <v>10</v>
      </c>
      <c r="D4" s="262">
        <f>报价单拟制!J13</f>
        <v>23750</v>
      </c>
      <c r="E4" s="263">
        <v>1</v>
      </c>
      <c r="F4" s="262">
        <f>E4*D4</f>
        <v>23750</v>
      </c>
      <c r="G4" s="261"/>
    </row>
    <row r="5" spans="1:7">
      <c r="A5" s="261" t="s">
        <v>11</v>
      </c>
      <c r="B5" s="261" t="s">
        <v>12</v>
      </c>
      <c r="C5" s="261" t="s">
        <v>10</v>
      </c>
      <c r="D5" s="262">
        <f>报价单拟制!J10</f>
        <v>32400</v>
      </c>
      <c r="E5" s="263">
        <v>1</v>
      </c>
      <c r="F5" s="262">
        <f>E5*D5</f>
        <v>32400</v>
      </c>
      <c r="G5" s="261"/>
    </row>
    <row r="6" spans="1:7">
      <c r="A6" s="261" t="s">
        <v>13</v>
      </c>
      <c r="B6" s="264" t="s">
        <v>14</v>
      </c>
      <c r="C6" s="261" t="s">
        <v>10</v>
      </c>
      <c r="D6" s="262">
        <f>报价单拟制!J18</f>
        <v>2320</v>
      </c>
      <c r="E6" s="263">
        <v>1</v>
      </c>
      <c r="F6" s="262">
        <f>E6*D6</f>
        <v>2320</v>
      </c>
      <c r="G6" s="261"/>
    </row>
    <row r="7" spans="1:7">
      <c r="A7" s="261" t="s">
        <v>15</v>
      </c>
      <c r="B7" s="265" t="s">
        <v>16</v>
      </c>
      <c r="C7" s="261" t="s">
        <v>10</v>
      </c>
      <c r="D7" s="180">
        <f>报价单拟制!J20</f>
        <v>3508.2</v>
      </c>
      <c r="E7" s="263">
        <v>1</v>
      </c>
      <c r="F7" s="266">
        <f>SUM(F4:F6)</f>
        <v>58470</v>
      </c>
      <c r="G7" s="265"/>
    </row>
    <row r="8" spans="1:7">
      <c r="A8" s="261" t="s">
        <v>17</v>
      </c>
      <c r="B8" s="265" t="s">
        <v>18</v>
      </c>
      <c r="C8" s="261" t="s">
        <v>10</v>
      </c>
      <c r="D8" s="180">
        <f>报价单拟制!J21</f>
        <v>3718.692</v>
      </c>
      <c r="E8" s="263">
        <v>1</v>
      </c>
      <c r="F8" s="266">
        <f>D7+D8+F7</f>
        <v>65696.892</v>
      </c>
      <c r="G8" s="180"/>
    </row>
    <row r="9" spans="6:6">
      <c r="F9" s="267" t="s">
        <v>19</v>
      </c>
    </row>
    <row r="10" spans="6:6">
      <c r="F10" s="266">
        <f>F8</f>
        <v>65696.892</v>
      </c>
    </row>
    <row r="11" spans="6:6">
      <c r="F11" s="267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opLeftCell="A48" workbookViewId="0">
      <selection activeCell="A28" sqref="A28:H29"/>
    </sheetView>
  </sheetViews>
  <sheetFormatPr defaultColWidth="22.46875" defaultRowHeight="15" outlineLevelCol="7"/>
  <cols>
    <col min="2" max="2" width="22.46875" customWidth="1"/>
  </cols>
  <sheetData>
    <row r="1" ht="20.25" spans="1:7">
      <c r="A1" s="86" t="s">
        <v>365</v>
      </c>
      <c r="B1" s="87"/>
      <c r="C1" s="86"/>
      <c r="D1" s="86"/>
      <c r="E1" s="86"/>
      <c r="F1" s="86"/>
      <c r="G1" s="87"/>
    </row>
    <row r="2" spans="1:7">
      <c r="A2" s="88" t="s">
        <v>220</v>
      </c>
      <c r="B2" s="89" t="s">
        <v>39</v>
      </c>
      <c r="C2" s="88" t="s">
        <v>5</v>
      </c>
      <c r="D2" s="88" t="s">
        <v>221</v>
      </c>
      <c r="E2" s="88" t="s">
        <v>42</v>
      </c>
      <c r="F2" s="88" t="s">
        <v>6</v>
      </c>
      <c r="G2" s="89" t="s">
        <v>7</v>
      </c>
    </row>
    <row r="3" spans="1:7">
      <c r="A3" s="90"/>
      <c r="B3" s="91" t="s">
        <v>222</v>
      </c>
      <c r="C3" s="92"/>
      <c r="D3" s="92"/>
      <c r="E3" s="92"/>
      <c r="F3" s="92"/>
      <c r="G3" s="93"/>
    </row>
    <row r="4" ht="24.75" spans="1:7">
      <c r="A4" s="94">
        <v>1</v>
      </c>
      <c r="B4" s="95" t="s">
        <v>366</v>
      </c>
      <c r="C4" s="94">
        <v>300</v>
      </c>
      <c r="D4" s="94">
        <v>2</v>
      </c>
      <c r="E4" s="96">
        <f>2150*0.85+80</f>
        <v>1907.5</v>
      </c>
      <c r="F4" s="97">
        <f>C4*D4*E4</f>
        <v>1144500</v>
      </c>
      <c r="G4" s="98" t="s">
        <v>367</v>
      </c>
    </row>
    <row r="5" ht="24.75" spans="1:7">
      <c r="A5" s="94">
        <v>2</v>
      </c>
      <c r="B5" s="95" t="s">
        <v>368</v>
      </c>
      <c r="C5" s="94">
        <v>50</v>
      </c>
      <c r="D5" s="94">
        <v>2</v>
      </c>
      <c r="E5" s="96">
        <v>667</v>
      </c>
      <c r="F5" s="97">
        <f>C5*D5*E5</f>
        <v>66700</v>
      </c>
      <c r="G5" s="98" t="s">
        <v>231</v>
      </c>
    </row>
    <row r="6" ht="24.75" spans="1:7">
      <c r="A6" s="94">
        <v>5</v>
      </c>
      <c r="B6" s="95" t="s">
        <v>232</v>
      </c>
      <c r="C6" s="94">
        <v>50</v>
      </c>
      <c r="D6" s="94">
        <v>2</v>
      </c>
      <c r="E6" s="96">
        <v>30</v>
      </c>
      <c r="F6" s="97">
        <f>C6*D6*E6</f>
        <v>3000</v>
      </c>
      <c r="G6" s="98" t="s">
        <v>369</v>
      </c>
    </row>
    <row r="7" spans="1:7">
      <c r="A7" s="94">
        <v>6</v>
      </c>
      <c r="B7" s="95" t="s">
        <v>233</v>
      </c>
      <c r="C7" s="94">
        <v>1</v>
      </c>
      <c r="D7" s="94">
        <v>1</v>
      </c>
      <c r="E7" s="96">
        <v>10000</v>
      </c>
      <c r="F7" s="97">
        <f>C7*D7*E7</f>
        <v>10000</v>
      </c>
      <c r="G7" s="95" t="s">
        <v>234</v>
      </c>
    </row>
    <row r="8" spans="1:7">
      <c r="A8" s="99" t="s">
        <v>235</v>
      </c>
      <c r="B8" s="99"/>
      <c r="C8" s="99"/>
      <c r="D8" s="99"/>
      <c r="E8" s="99"/>
      <c r="F8" s="100">
        <f>SUM(F4:F7)</f>
        <v>1224200</v>
      </c>
      <c r="G8" s="101"/>
    </row>
    <row r="9" spans="1:7">
      <c r="A9" s="92"/>
      <c r="B9" s="102" t="s">
        <v>79</v>
      </c>
      <c r="C9" s="92"/>
      <c r="D9" s="92"/>
      <c r="E9" s="92"/>
      <c r="F9" s="92"/>
      <c r="G9" s="93"/>
    </row>
    <row r="10" ht="24.75" spans="1:7">
      <c r="A10" s="94">
        <v>1</v>
      </c>
      <c r="B10" s="95" t="s">
        <v>370</v>
      </c>
      <c r="C10" s="94">
        <v>10</v>
      </c>
      <c r="D10" s="94">
        <v>1</v>
      </c>
      <c r="E10" s="96">
        <v>1800</v>
      </c>
      <c r="F10" s="97">
        <f>C10*D10*E10</f>
        <v>18000</v>
      </c>
      <c r="G10" s="95"/>
    </row>
    <row r="11" ht="24.75" spans="1:7">
      <c r="A11" s="94">
        <v>2</v>
      </c>
      <c r="B11" s="95" t="s">
        <v>371</v>
      </c>
      <c r="C11" s="94">
        <v>90</v>
      </c>
      <c r="D11" s="94">
        <v>2</v>
      </c>
      <c r="E11" s="96">
        <v>1800</v>
      </c>
      <c r="F11" s="97">
        <f>C11*D11*E11</f>
        <v>324000</v>
      </c>
      <c r="G11" s="95" t="s">
        <v>372</v>
      </c>
    </row>
    <row r="12" spans="1:7">
      <c r="A12" s="94">
        <v>3</v>
      </c>
      <c r="B12" s="95" t="s">
        <v>373</v>
      </c>
      <c r="C12" s="94">
        <v>0</v>
      </c>
      <c r="D12" s="94">
        <v>2</v>
      </c>
      <c r="E12" s="96">
        <v>1900</v>
      </c>
      <c r="F12" s="97">
        <f>C12*D12*E12</f>
        <v>0</v>
      </c>
      <c r="G12" s="95" t="s">
        <v>374</v>
      </c>
    </row>
    <row r="13" ht="24.75" spans="1:7">
      <c r="A13" s="94">
        <v>4</v>
      </c>
      <c r="B13" s="95" t="s">
        <v>375</v>
      </c>
      <c r="C13" s="94">
        <v>230</v>
      </c>
      <c r="D13" s="94">
        <v>2</v>
      </c>
      <c r="E13" s="96">
        <v>1100</v>
      </c>
      <c r="F13" s="97">
        <f>C13*D13*E13</f>
        <v>506000</v>
      </c>
      <c r="G13" s="95" t="s">
        <v>372</v>
      </c>
    </row>
    <row r="14" ht="24.75" spans="1:7">
      <c r="A14" s="94">
        <v>5</v>
      </c>
      <c r="B14" s="95" t="s">
        <v>376</v>
      </c>
      <c r="C14" s="94">
        <v>1</v>
      </c>
      <c r="D14" s="94">
        <v>1</v>
      </c>
      <c r="E14" s="96">
        <v>20000</v>
      </c>
      <c r="F14" s="97">
        <f>C14*D14*E14</f>
        <v>20000</v>
      </c>
      <c r="G14" s="95"/>
    </row>
    <row r="15" spans="1:7">
      <c r="A15" s="99" t="s">
        <v>235</v>
      </c>
      <c r="B15" s="99"/>
      <c r="C15" s="99"/>
      <c r="D15" s="99"/>
      <c r="E15" s="99"/>
      <c r="F15" s="100">
        <f>SUM(F10:F14)</f>
        <v>868000</v>
      </c>
      <c r="G15" s="101"/>
    </row>
    <row r="16" spans="1:7">
      <c r="A16" s="92"/>
      <c r="B16" s="102" t="s">
        <v>247</v>
      </c>
      <c r="C16" s="92"/>
      <c r="D16" s="92"/>
      <c r="E16" s="92"/>
      <c r="F16" s="92"/>
      <c r="G16" s="93"/>
    </row>
    <row r="17" spans="1:7">
      <c r="A17" s="94">
        <v>1</v>
      </c>
      <c r="B17" s="103" t="s">
        <v>377</v>
      </c>
      <c r="C17" s="94">
        <v>8</v>
      </c>
      <c r="D17" s="94">
        <v>1</v>
      </c>
      <c r="E17" s="96">
        <v>900</v>
      </c>
      <c r="F17" s="97">
        <f t="shared" ref="F17:F24" si="0">C17*D17*E17</f>
        <v>7200</v>
      </c>
      <c r="G17" s="95"/>
    </row>
    <row r="18" ht="24.75" spans="1:8">
      <c r="A18" s="104">
        <v>2</v>
      </c>
      <c r="B18" s="105" t="s">
        <v>378</v>
      </c>
      <c r="C18" s="104">
        <v>13</v>
      </c>
      <c r="D18" s="104">
        <v>2</v>
      </c>
      <c r="E18" s="106">
        <v>4500</v>
      </c>
      <c r="F18" s="107">
        <f t="shared" si="0"/>
        <v>117000</v>
      </c>
      <c r="G18" s="95" t="s">
        <v>379</v>
      </c>
      <c r="H18" t="s">
        <v>380</v>
      </c>
    </row>
    <row r="19" ht="24.75" spans="1:7">
      <c r="A19" s="94">
        <v>3</v>
      </c>
      <c r="B19" s="103" t="s">
        <v>381</v>
      </c>
      <c r="C19" s="94">
        <v>2</v>
      </c>
      <c r="D19" s="94">
        <v>2</v>
      </c>
      <c r="E19" s="96">
        <v>1600</v>
      </c>
      <c r="F19" s="97">
        <f t="shared" si="0"/>
        <v>6400</v>
      </c>
      <c r="G19" s="95"/>
    </row>
    <row r="20" spans="1:7">
      <c r="A20" s="94">
        <v>4</v>
      </c>
      <c r="B20" s="103" t="s">
        <v>382</v>
      </c>
      <c r="C20" s="94">
        <v>10</v>
      </c>
      <c r="D20" s="94">
        <v>2</v>
      </c>
      <c r="E20" s="96">
        <v>900</v>
      </c>
      <c r="F20" s="97">
        <f t="shared" si="0"/>
        <v>18000</v>
      </c>
      <c r="G20" s="108"/>
    </row>
    <row r="21" ht="49.5" spans="1:7">
      <c r="A21" s="94">
        <v>5</v>
      </c>
      <c r="B21" s="109" t="s">
        <v>383</v>
      </c>
      <c r="C21" s="94">
        <v>10</v>
      </c>
      <c r="D21" s="94">
        <v>4</v>
      </c>
      <c r="E21" s="96">
        <v>1600</v>
      </c>
      <c r="F21" s="97">
        <f t="shared" si="0"/>
        <v>64000</v>
      </c>
      <c r="G21" s="109" t="s">
        <v>384</v>
      </c>
    </row>
    <row r="22" ht="49.5" spans="1:7">
      <c r="A22" s="104">
        <v>6</v>
      </c>
      <c r="B22" s="110" t="s">
        <v>385</v>
      </c>
      <c r="C22" s="104">
        <v>10</v>
      </c>
      <c r="D22" s="104">
        <v>1</v>
      </c>
      <c r="E22" s="106">
        <v>4500</v>
      </c>
      <c r="F22" s="107">
        <f t="shared" si="0"/>
        <v>45000</v>
      </c>
      <c r="G22" s="110" t="s">
        <v>386</v>
      </c>
    </row>
    <row r="23" ht="24.75" spans="1:7">
      <c r="A23" s="94">
        <v>7</v>
      </c>
      <c r="B23" s="109" t="s">
        <v>387</v>
      </c>
      <c r="C23" s="94">
        <v>4</v>
      </c>
      <c r="D23" s="94">
        <v>1</v>
      </c>
      <c r="E23" s="96">
        <v>1600</v>
      </c>
      <c r="F23" s="97">
        <f t="shared" si="0"/>
        <v>6400</v>
      </c>
      <c r="G23" s="109"/>
    </row>
    <row r="24" ht="24.75" spans="1:7">
      <c r="A24" s="94">
        <v>8</v>
      </c>
      <c r="B24" s="103" t="s">
        <v>264</v>
      </c>
      <c r="C24" s="94">
        <v>1</v>
      </c>
      <c r="D24" s="94">
        <v>1</v>
      </c>
      <c r="E24" s="96">
        <v>20000</v>
      </c>
      <c r="F24" s="97">
        <f t="shared" si="0"/>
        <v>20000</v>
      </c>
      <c r="G24" s="95" t="s">
        <v>265</v>
      </c>
    </row>
    <row r="25" spans="1:7">
      <c r="A25" s="99" t="s">
        <v>235</v>
      </c>
      <c r="B25" s="99"/>
      <c r="C25" s="99"/>
      <c r="D25" s="99"/>
      <c r="E25" s="99"/>
      <c r="F25" s="100">
        <f>SUM(F17:F24)</f>
        <v>284000</v>
      </c>
      <c r="G25" s="101"/>
    </row>
    <row r="26" spans="1:7">
      <c r="A26" s="92"/>
      <c r="B26" s="102" t="s">
        <v>12</v>
      </c>
      <c r="C26" s="92"/>
      <c r="D26" s="92"/>
      <c r="E26" s="92"/>
      <c r="F26" s="92"/>
      <c r="G26" s="93"/>
    </row>
    <row r="27" ht="37.15" spans="1:7">
      <c r="A27" s="94">
        <v>1</v>
      </c>
      <c r="B27" s="109" t="s">
        <v>388</v>
      </c>
      <c r="C27" s="94">
        <v>30</v>
      </c>
      <c r="D27" s="94">
        <v>2</v>
      </c>
      <c r="E27" s="96">
        <v>500</v>
      </c>
      <c r="F27" s="97">
        <f>C27*D27*E27</f>
        <v>30000</v>
      </c>
      <c r="G27" s="95" t="s">
        <v>389</v>
      </c>
    </row>
    <row r="28" ht="37.15" spans="1:7">
      <c r="A28" s="94">
        <v>2</v>
      </c>
      <c r="B28" s="109" t="s">
        <v>390</v>
      </c>
      <c r="C28" s="94">
        <v>30</v>
      </c>
      <c r="D28" s="94">
        <v>2</v>
      </c>
      <c r="E28" s="96">
        <v>500</v>
      </c>
      <c r="F28" s="97">
        <f>C28*D28*E28</f>
        <v>30000</v>
      </c>
      <c r="G28" s="95" t="s">
        <v>391</v>
      </c>
    </row>
    <row r="29" spans="1:7">
      <c r="A29" s="99" t="s">
        <v>235</v>
      </c>
      <c r="B29" s="99"/>
      <c r="C29" s="99"/>
      <c r="D29" s="99"/>
      <c r="E29" s="99"/>
      <c r="F29" s="100">
        <f>SUM(F27:F28)</f>
        <v>60000</v>
      </c>
      <c r="G29" s="101"/>
    </row>
    <row r="30" spans="1:7">
      <c r="A30" s="92"/>
      <c r="B30" s="102" t="s">
        <v>278</v>
      </c>
      <c r="C30" s="92"/>
      <c r="D30" s="92"/>
      <c r="E30" s="92"/>
      <c r="F30" s="92"/>
      <c r="G30" s="93"/>
    </row>
    <row r="31" spans="1:7">
      <c r="A31" s="94">
        <v>1</v>
      </c>
      <c r="B31" s="95" t="s">
        <v>81</v>
      </c>
      <c r="C31" s="94">
        <v>350</v>
      </c>
      <c r="D31" s="94">
        <v>1</v>
      </c>
      <c r="E31" s="96">
        <v>50</v>
      </c>
      <c r="F31" s="97">
        <f>C31*D31*E31</f>
        <v>17500</v>
      </c>
      <c r="G31" s="95" t="s">
        <v>392</v>
      </c>
    </row>
    <row r="32" spans="1:7">
      <c r="A32" s="99" t="s">
        <v>235</v>
      </c>
      <c r="B32" s="99"/>
      <c r="C32" s="99"/>
      <c r="D32" s="99"/>
      <c r="E32" s="99"/>
      <c r="F32" s="100">
        <f>SUM(F31:F31)</f>
        <v>17500</v>
      </c>
      <c r="G32" s="101"/>
    </row>
    <row r="33" spans="1:7">
      <c r="A33" s="92"/>
      <c r="B33" s="102" t="s">
        <v>287</v>
      </c>
      <c r="C33" s="92"/>
      <c r="D33" s="92"/>
      <c r="E33" s="92"/>
      <c r="F33" s="92"/>
      <c r="G33" s="93"/>
    </row>
    <row r="34" ht="24.75" spans="1:7">
      <c r="A34" s="94">
        <v>1</v>
      </c>
      <c r="B34" s="95" t="s">
        <v>393</v>
      </c>
      <c r="C34" s="94">
        <v>2</v>
      </c>
      <c r="D34" s="94">
        <v>6</v>
      </c>
      <c r="E34" s="96">
        <v>3500</v>
      </c>
      <c r="F34" s="97">
        <f t="shared" ref="F34:F42" si="1">C34*D34*E34</f>
        <v>42000</v>
      </c>
      <c r="G34" s="95" t="s">
        <v>394</v>
      </c>
    </row>
    <row r="35" ht="37.15" spans="1:7">
      <c r="A35" s="94">
        <v>3</v>
      </c>
      <c r="B35" s="95" t="s">
        <v>395</v>
      </c>
      <c r="C35" s="94">
        <v>9</v>
      </c>
      <c r="D35" s="94">
        <v>6</v>
      </c>
      <c r="E35" s="96">
        <v>2000</v>
      </c>
      <c r="F35" s="97">
        <f t="shared" si="1"/>
        <v>108000</v>
      </c>
      <c r="G35" s="95" t="s">
        <v>394</v>
      </c>
    </row>
    <row r="36" ht="24.75" spans="1:7">
      <c r="A36" s="94">
        <v>4</v>
      </c>
      <c r="B36" s="95" t="s">
        <v>396</v>
      </c>
      <c r="C36" s="94">
        <v>7</v>
      </c>
      <c r="D36" s="94">
        <v>10</v>
      </c>
      <c r="E36" s="96">
        <v>600</v>
      </c>
      <c r="F36" s="97">
        <f t="shared" si="1"/>
        <v>42000</v>
      </c>
      <c r="G36" s="95" t="s">
        <v>394</v>
      </c>
    </row>
    <row r="37" spans="1:7">
      <c r="A37" s="94">
        <v>5</v>
      </c>
      <c r="B37" s="95" t="s">
        <v>397</v>
      </c>
      <c r="C37" s="94">
        <v>10</v>
      </c>
      <c r="D37" s="94">
        <v>4</v>
      </c>
      <c r="E37" s="96">
        <v>1500</v>
      </c>
      <c r="F37" s="97">
        <f t="shared" si="1"/>
        <v>60000</v>
      </c>
      <c r="G37" s="95" t="s">
        <v>394</v>
      </c>
    </row>
    <row r="38" spans="1:7">
      <c r="A38" s="94">
        <v>6</v>
      </c>
      <c r="B38" s="95" t="s">
        <v>294</v>
      </c>
      <c r="C38" s="94">
        <v>11</v>
      </c>
      <c r="D38" s="94">
        <v>2</v>
      </c>
      <c r="E38" s="96">
        <v>667</v>
      </c>
      <c r="F38" s="97">
        <f t="shared" si="1"/>
        <v>14674</v>
      </c>
      <c r="G38" s="95" t="s">
        <v>295</v>
      </c>
    </row>
    <row r="39" spans="1:7">
      <c r="A39" s="94">
        <v>7</v>
      </c>
      <c r="B39" s="95" t="s">
        <v>296</v>
      </c>
      <c r="C39" s="94">
        <v>6</v>
      </c>
      <c r="D39" s="94">
        <v>5</v>
      </c>
      <c r="E39" s="96">
        <v>600</v>
      </c>
      <c r="F39" s="97">
        <f t="shared" si="1"/>
        <v>18000</v>
      </c>
      <c r="G39" s="95" t="s">
        <v>297</v>
      </c>
    </row>
    <row r="40" ht="24.75" spans="1:7">
      <c r="A40" s="94">
        <v>8</v>
      </c>
      <c r="B40" s="95" t="s">
        <v>298</v>
      </c>
      <c r="C40" s="94">
        <v>11</v>
      </c>
      <c r="D40" s="94">
        <v>6</v>
      </c>
      <c r="E40" s="96">
        <v>60</v>
      </c>
      <c r="F40" s="97">
        <f t="shared" si="1"/>
        <v>3960</v>
      </c>
      <c r="G40" s="95" t="s">
        <v>299</v>
      </c>
    </row>
    <row r="41" spans="1:7">
      <c r="A41" s="94">
        <v>9</v>
      </c>
      <c r="B41" s="95" t="s">
        <v>300</v>
      </c>
      <c r="C41" s="94">
        <v>11</v>
      </c>
      <c r="D41" s="94">
        <v>6</v>
      </c>
      <c r="E41" s="96">
        <v>80</v>
      </c>
      <c r="F41" s="97">
        <f t="shared" si="1"/>
        <v>5280</v>
      </c>
      <c r="G41" s="95" t="s">
        <v>295</v>
      </c>
    </row>
    <row r="42" spans="1:7">
      <c r="A42" s="94">
        <v>10</v>
      </c>
      <c r="B42" s="95" t="s">
        <v>301</v>
      </c>
      <c r="C42" s="94">
        <v>10</v>
      </c>
      <c r="D42" s="94">
        <v>6</v>
      </c>
      <c r="E42" s="96">
        <v>80</v>
      </c>
      <c r="F42" s="97">
        <f t="shared" si="1"/>
        <v>4800</v>
      </c>
      <c r="G42" s="95" t="s">
        <v>295</v>
      </c>
    </row>
    <row r="43" spans="1:7">
      <c r="A43" s="99" t="s">
        <v>235</v>
      </c>
      <c r="B43" s="99"/>
      <c r="C43" s="99"/>
      <c r="D43" s="99"/>
      <c r="E43" s="99"/>
      <c r="F43" s="100">
        <f>SUM(F34:F42)</f>
        <v>298714</v>
      </c>
      <c r="G43" s="101"/>
    </row>
    <row r="44" spans="1:7">
      <c r="A44" s="92"/>
      <c r="B44" s="102" t="s">
        <v>302</v>
      </c>
      <c r="C44" s="92"/>
      <c r="D44" s="92"/>
      <c r="E44" s="92"/>
      <c r="F44" s="92"/>
      <c r="G44" s="93"/>
    </row>
    <row r="45" ht="61.9" spans="1:7">
      <c r="A45" s="94">
        <v>1</v>
      </c>
      <c r="B45" s="95" t="s">
        <v>398</v>
      </c>
      <c r="C45" s="94">
        <v>5</v>
      </c>
      <c r="D45" s="94">
        <v>6</v>
      </c>
      <c r="E45" s="96">
        <v>1500</v>
      </c>
      <c r="F45" s="97">
        <f t="shared" ref="F45:F53" si="2">C45*D45*E45</f>
        <v>45000</v>
      </c>
      <c r="G45" s="95" t="s">
        <v>399</v>
      </c>
    </row>
    <row r="46" ht="61.9" spans="1:7">
      <c r="A46" s="94">
        <v>2</v>
      </c>
      <c r="B46" s="95" t="s">
        <v>400</v>
      </c>
      <c r="C46" s="94">
        <v>30</v>
      </c>
      <c r="D46" s="94">
        <v>2</v>
      </c>
      <c r="E46" s="96">
        <v>800</v>
      </c>
      <c r="F46" s="97">
        <f t="shared" si="2"/>
        <v>48000</v>
      </c>
      <c r="G46" s="95" t="s">
        <v>401</v>
      </c>
    </row>
    <row r="47" ht="61.9" spans="1:7">
      <c r="A47" s="94">
        <v>3</v>
      </c>
      <c r="B47" s="95" t="s">
        <v>402</v>
      </c>
      <c r="C47" s="94">
        <v>30</v>
      </c>
      <c r="D47" s="94">
        <v>2</v>
      </c>
      <c r="E47" s="96">
        <v>800</v>
      </c>
      <c r="F47" s="97">
        <f t="shared" si="2"/>
        <v>48000</v>
      </c>
      <c r="G47" s="95" t="s">
        <v>403</v>
      </c>
    </row>
    <row r="48" ht="49.5" spans="1:7">
      <c r="A48" s="94">
        <v>4</v>
      </c>
      <c r="B48" s="95" t="s">
        <v>404</v>
      </c>
      <c r="C48" s="94">
        <v>40</v>
      </c>
      <c r="D48" s="94">
        <v>3</v>
      </c>
      <c r="E48" s="96">
        <v>800</v>
      </c>
      <c r="F48" s="97">
        <f t="shared" si="2"/>
        <v>96000</v>
      </c>
      <c r="G48" s="95" t="s">
        <v>405</v>
      </c>
    </row>
    <row r="49" ht="49.5" spans="1:7">
      <c r="A49" s="94">
        <v>5</v>
      </c>
      <c r="B49" s="95" t="s">
        <v>406</v>
      </c>
      <c r="C49" s="94">
        <v>2</v>
      </c>
      <c r="D49" s="94">
        <v>3</v>
      </c>
      <c r="E49" s="96">
        <v>800</v>
      </c>
      <c r="F49" s="97">
        <f t="shared" si="2"/>
        <v>4800</v>
      </c>
      <c r="G49" s="95" t="s">
        <v>405</v>
      </c>
    </row>
    <row r="50" spans="1:7">
      <c r="A50" s="94">
        <v>6</v>
      </c>
      <c r="B50" s="95" t="s">
        <v>325</v>
      </c>
      <c r="C50" s="94">
        <v>40</v>
      </c>
      <c r="D50" s="94">
        <v>3</v>
      </c>
      <c r="E50" s="96">
        <v>60</v>
      </c>
      <c r="F50" s="97">
        <f t="shared" si="2"/>
        <v>7200</v>
      </c>
      <c r="G50" s="95"/>
    </row>
    <row r="51" spans="1:7">
      <c r="A51" s="94">
        <v>7</v>
      </c>
      <c r="B51" s="95" t="s">
        <v>407</v>
      </c>
      <c r="C51" s="94">
        <v>40</v>
      </c>
      <c r="D51" s="94">
        <v>3</v>
      </c>
      <c r="E51" s="96">
        <v>80</v>
      </c>
      <c r="F51" s="97">
        <f t="shared" si="2"/>
        <v>9600</v>
      </c>
      <c r="G51" s="95"/>
    </row>
    <row r="52" ht="24.75" spans="1:7">
      <c r="A52" s="94">
        <v>8</v>
      </c>
      <c r="B52" s="95" t="s">
        <v>328</v>
      </c>
      <c r="C52" s="94">
        <v>10</v>
      </c>
      <c r="D52" s="94">
        <v>1</v>
      </c>
      <c r="E52" s="96">
        <v>300</v>
      </c>
      <c r="F52" s="97">
        <f t="shared" si="2"/>
        <v>3000</v>
      </c>
      <c r="G52" s="95"/>
    </row>
    <row r="53" ht="24.75" spans="1:7">
      <c r="A53" s="94">
        <v>9</v>
      </c>
      <c r="B53" s="95" t="s">
        <v>408</v>
      </c>
      <c r="C53" s="94">
        <v>30</v>
      </c>
      <c r="D53" s="94">
        <v>6</v>
      </c>
      <c r="E53" s="96">
        <v>100</v>
      </c>
      <c r="F53" s="97">
        <f t="shared" si="2"/>
        <v>18000</v>
      </c>
      <c r="G53" s="95"/>
    </row>
    <row r="54" spans="1:7">
      <c r="A54" s="99" t="s">
        <v>235</v>
      </c>
      <c r="B54" s="99"/>
      <c r="C54" s="99"/>
      <c r="D54" s="99"/>
      <c r="E54" s="99"/>
      <c r="F54" s="100">
        <f>SUM(F45:F53)</f>
        <v>279600</v>
      </c>
      <c r="G54" s="101"/>
    </row>
    <row r="55" spans="1:7">
      <c r="A55" s="92"/>
      <c r="B55" s="102" t="s">
        <v>330</v>
      </c>
      <c r="C55" s="92"/>
      <c r="D55" s="92"/>
      <c r="E55" s="92"/>
      <c r="F55" s="92"/>
      <c r="G55" s="93"/>
    </row>
    <row r="56" spans="1:7">
      <c r="A56" s="94">
        <v>1</v>
      </c>
      <c r="B56" s="95" t="s">
        <v>409</v>
      </c>
      <c r="C56" s="94">
        <v>30</v>
      </c>
      <c r="D56" s="94">
        <v>1</v>
      </c>
      <c r="E56" s="96">
        <v>120</v>
      </c>
      <c r="F56" s="97">
        <f>C56*D56*E56</f>
        <v>3600</v>
      </c>
      <c r="G56" s="95"/>
    </row>
    <row r="57" spans="1:7">
      <c r="A57" s="94">
        <v>2</v>
      </c>
      <c r="B57" s="95" t="s">
        <v>148</v>
      </c>
      <c r="C57" s="94">
        <v>30</v>
      </c>
      <c r="D57" s="94">
        <v>1</v>
      </c>
      <c r="E57" s="96">
        <v>30</v>
      </c>
      <c r="F57" s="97">
        <f>C57*D57*E57</f>
        <v>900</v>
      </c>
      <c r="G57" s="95"/>
    </row>
    <row r="58" ht="24.75" spans="1:7">
      <c r="A58" s="94">
        <v>3</v>
      </c>
      <c r="B58" s="95" t="s">
        <v>410</v>
      </c>
      <c r="C58" s="94">
        <v>1300</v>
      </c>
      <c r="D58" s="94">
        <v>1</v>
      </c>
      <c r="E58" s="96">
        <v>5</v>
      </c>
      <c r="F58" s="97">
        <f>C58*D58*E58</f>
        <v>6500</v>
      </c>
      <c r="G58" s="95" t="s">
        <v>333</v>
      </c>
    </row>
    <row r="59" spans="1:7">
      <c r="A59" s="94">
        <v>4</v>
      </c>
      <c r="B59" s="95" t="s">
        <v>411</v>
      </c>
      <c r="C59" s="94">
        <v>25</v>
      </c>
      <c r="D59" s="94">
        <v>1</v>
      </c>
      <c r="E59" s="96">
        <v>10</v>
      </c>
      <c r="F59" s="97">
        <f>C59*D59*E59</f>
        <v>250</v>
      </c>
      <c r="G59" s="95"/>
    </row>
    <row r="60" spans="1:7">
      <c r="A60" s="94">
        <v>5</v>
      </c>
      <c r="B60" s="95" t="s">
        <v>173</v>
      </c>
      <c r="C60" s="94">
        <v>1</v>
      </c>
      <c r="D60" s="94">
        <v>1</v>
      </c>
      <c r="E60" s="96">
        <v>5000</v>
      </c>
      <c r="F60" s="97">
        <f>C60*D60*E60</f>
        <v>5000</v>
      </c>
      <c r="G60" s="95"/>
    </row>
    <row r="61" spans="1:7">
      <c r="A61" s="111" t="s">
        <v>235</v>
      </c>
      <c r="B61" s="111"/>
      <c r="C61" s="111"/>
      <c r="D61" s="111"/>
      <c r="E61" s="111"/>
      <c r="F61" s="112">
        <f>SUM(F56:F60)</f>
        <v>16250</v>
      </c>
      <c r="G61" s="113"/>
    </row>
    <row r="62" spans="1:7">
      <c r="A62" s="92"/>
      <c r="B62" s="102" t="s">
        <v>85</v>
      </c>
      <c r="C62" s="92"/>
      <c r="D62" s="92"/>
      <c r="E62" s="92"/>
      <c r="F62" s="92"/>
      <c r="G62" s="93"/>
    </row>
    <row r="63" ht="24.75" spans="1:7">
      <c r="A63" s="94">
        <v>1</v>
      </c>
      <c r="B63" s="95" t="s">
        <v>357</v>
      </c>
      <c r="C63" s="94">
        <v>1</v>
      </c>
      <c r="D63" s="94">
        <v>1</v>
      </c>
      <c r="E63" s="96">
        <v>5000</v>
      </c>
      <c r="F63" s="97">
        <f>C63*D63*E63</f>
        <v>5000</v>
      </c>
      <c r="G63" s="95"/>
    </row>
    <row r="64" spans="1:7">
      <c r="A64" s="94">
        <v>2</v>
      </c>
      <c r="B64" s="95" t="s">
        <v>412</v>
      </c>
      <c r="C64" s="94">
        <v>1</v>
      </c>
      <c r="D64" s="94">
        <v>1</v>
      </c>
      <c r="E64" s="96">
        <v>15000</v>
      </c>
      <c r="F64" s="97">
        <f>C64*D64*E64</f>
        <v>15000</v>
      </c>
      <c r="G64" s="95"/>
    </row>
    <row r="65" spans="1:7">
      <c r="A65" s="94">
        <v>3</v>
      </c>
      <c r="B65" s="95" t="s">
        <v>413</v>
      </c>
      <c r="C65" s="94">
        <v>1</v>
      </c>
      <c r="D65" s="94">
        <v>1</v>
      </c>
      <c r="E65" s="96">
        <v>5000</v>
      </c>
      <c r="F65" s="97">
        <f>C65*D65*E65</f>
        <v>5000</v>
      </c>
      <c r="G65" s="95" t="s">
        <v>355</v>
      </c>
    </row>
    <row r="66" spans="1:7">
      <c r="A66" s="99" t="s">
        <v>235</v>
      </c>
      <c r="B66" s="99"/>
      <c r="C66" s="99"/>
      <c r="D66" s="99"/>
      <c r="E66" s="99"/>
      <c r="F66" s="100">
        <f>SUM(F63:F65)</f>
        <v>25000</v>
      </c>
      <c r="G66" s="101"/>
    </row>
    <row r="67" spans="1:7">
      <c r="A67" s="92"/>
      <c r="B67" s="102" t="s">
        <v>359</v>
      </c>
      <c r="C67" s="92"/>
      <c r="D67" s="92"/>
      <c r="E67" s="92"/>
      <c r="F67" s="92"/>
      <c r="G67" s="93"/>
    </row>
    <row r="68" spans="1:7">
      <c r="A68" s="94">
        <v>1</v>
      </c>
      <c r="B68" s="95" t="s">
        <v>414</v>
      </c>
      <c r="C68" s="94">
        <v>1</v>
      </c>
      <c r="D68" s="94">
        <v>1</v>
      </c>
      <c r="E68" s="96">
        <v>100000</v>
      </c>
      <c r="F68" s="97">
        <f>C68*D68*E68</f>
        <v>100000</v>
      </c>
      <c r="G68" s="95"/>
    </row>
    <row r="69" spans="1:7">
      <c r="A69" s="99" t="s">
        <v>235</v>
      </c>
      <c r="B69" s="99"/>
      <c r="C69" s="99"/>
      <c r="D69" s="99"/>
      <c r="E69" s="99"/>
      <c r="F69" s="100">
        <f>SUM(F68:F68)</f>
        <v>100000</v>
      </c>
      <c r="G69" s="101"/>
    </row>
    <row r="70" ht="15.75" spans="1:7">
      <c r="A70" s="114" t="s">
        <v>362</v>
      </c>
      <c r="B70" s="115"/>
      <c r="C70" s="114"/>
      <c r="D70" s="114"/>
      <c r="E70" s="114"/>
      <c r="F70" s="116">
        <f>SUM(F69,F66,F61,F54,F43,F32,F29,F25,F15,F8)</f>
        <v>3173264</v>
      </c>
      <c r="G70" s="117"/>
    </row>
    <row r="71" ht="15.75" spans="1:7">
      <c r="A71" s="118"/>
      <c r="B71" s="119"/>
      <c r="C71" s="118"/>
      <c r="D71" s="118"/>
      <c r="E71" s="118" t="s">
        <v>363</v>
      </c>
      <c r="F71" s="120">
        <f>F70*4%</f>
        <v>126930.56</v>
      </c>
      <c r="G71" s="103"/>
    </row>
    <row r="72" ht="15.75" spans="1:7">
      <c r="A72" s="94"/>
      <c r="B72" s="103"/>
      <c r="C72" s="94"/>
      <c r="D72" s="94"/>
      <c r="E72" s="118" t="s">
        <v>415</v>
      </c>
      <c r="F72" s="120">
        <f>(F70+F71)*6%</f>
        <v>198011.6736</v>
      </c>
      <c r="G72" s="103"/>
    </row>
    <row r="73" ht="15.75" spans="1:7">
      <c r="A73" s="121"/>
      <c r="B73" s="122"/>
      <c r="C73" s="123"/>
      <c r="D73" s="123"/>
      <c r="E73" s="118" t="s">
        <v>186</v>
      </c>
      <c r="F73" s="124">
        <f>SUM(F70:F72)</f>
        <v>3498206.2336</v>
      </c>
      <c r="G73" s="125"/>
    </row>
  </sheetData>
  <mergeCells count="12">
    <mergeCell ref="A1:G1"/>
    <mergeCell ref="A8:E8"/>
    <mergeCell ref="A15:E15"/>
    <mergeCell ref="A25:E25"/>
    <mergeCell ref="A29:E29"/>
    <mergeCell ref="A32:E32"/>
    <mergeCell ref="A43:E43"/>
    <mergeCell ref="A54:E54"/>
    <mergeCell ref="A61:E61"/>
    <mergeCell ref="A66:E66"/>
    <mergeCell ref="A69:E69"/>
    <mergeCell ref="A70:E70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7" workbookViewId="0">
      <selection activeCell="A28" sqref="A28:H29"/>
    </sheetView>
  </sheetViews>
  <sheetFormatPr defaultColWidth="11" defaultRowHeight="15"/>
  <cols>
    <col min="2" max="2" width="29" customWidth="1"/>
    <col min="3" max="3" width="12.1796875" customWidth="1"/>
    <col min="10" max="10" width="17.3515625" customWidth="1"/>
  </cols>
  <sheetData>
    <row r="1" spans="1:11">
      <c r="A1" s="1" t="s">
        <v>416</v>
      </c>
      <c r="B1" s="2" t="s">
        <v>417</v>
      </c>
      <c r="C1" s="3"/>
      <c r="D1" s="3"/>
      <c r="E1" s="3"/>
      <c r="F1" s="4"/>
      <c r="G1" s="5" t="s">
        <v>418</v>
      </c>
      <c r="H1" s="2" t="s">
        <v>419</v>
      </c>
      <c r="I1" s="4"/>
      <c r="J1" s="55" t="s">
        <v>22</v>
      </c>
      <c r="K1" s="56"/>
    </row>
    <row r="2" spans="1:11">
      <c r="A2" s="1" t="s">
        <v>27</v>
      </c>
      <c r="B2" s="6" t="s">
        <v>420</v>
      </c>
      <c r="C2" s="7" t="s">
        <v>421</v>
      </c>
      <c r="D2" s="8" t="s">
        <v>422</v>
      </c>
      <c r="E2" s="9"/>
      <c r="F2" s="10"/>
      <c r="G2" s="11" t="s">
        <v>31</v>
      </c>
      <c r="H2" s="12" t="s">
        <v>423</v>
      </c>
      <c r="I2" s="57"/>
      <c r="J2" s="16" t="s">
        <v>33</v>
      </c>
      <c r="K2" s="58"/>
    </row>
    <row r="3" spans="1:11">
      <c r="A3" s="1" t="s">
        <v>34</v>
      </c>
      <c r="B3" s="6" t="s">
        <v>424</v>
      </c>
      <c r="C3" s="7" t="s">
        <v>36</v>
      </c>
      <c r="D3" s="13"/>
      <c r="E3" s="14"/>
      <c r="F3" s="15"/>
      <c r="G3" s="16" t="s">
        <v>22</v>
      </c>
      <c r="H3" s="17"/>
      <c r="I3" s="59"/>
      <c r="J3" s="60"/>
      <c r="K3" s="61"/>
    </row>
    <row r="4" spans="1:11">
      <c r="A4" s="18" t="s">
        <v>38</v>
      </c>
      <c r="B4" s="19"/>
      <c r="C4" s="19"/>
      <c r="D4" s="19"/>
      <c r="E4" s="19"/>
      <c r="F4" s="19"/>
      <c r="G4" s="19"/>
      <c r="H4" s="19"/>
      <c r="I4" s="19"/>
      <c r="J4" s="19"/>
      <c r="K4" s="62"/>
    </row>
    <row r="5" spans="1:11">
      <c r="A5" s="20" t="s">
        <v>39</v>
      </c>
      <c r="B5" s="21"/>
      <c r="C5" s="22"/>
      <c r="D5" s="23" t="s">
        <v>5</v>
      </c>
      <c r="E5" s="24" t="s">
        <v>41</v>
      </c>
      <c r="F5" s="23" t="s">
        <v>425</v>
      </c>
      <c r="G5" s="24" t="s">
        <v>41</v>
      </c>
      <c r="H5" s="25" t="s">
        <v>42</v>
      </c>
      <c r="I5" s="63" t="s">
        <v>41</v>
      </c>
      <c r="J5" s="64" t="s">
        <v>6</v>
      </c>
      <c r="K5" s="65" t="s">
        <v>7</v>
      </c>
    </row>
    <row r="6" spans="1:11">
      <c r="A6" s="26" t="s">
        <v>222</v>
      </c>
      <c r="B6" s="27" t="s">
        <v>426</v>
      </c>
      <c r="C6" s="28" t="s">
        <v>427</v>
      </c>
      <c r="D6" s="29">
        <v>3</v>
      </c>
      <c r="E6" s="30" t="s">
        <v>59</v>
      </c>
      <c r="F6" s="31">
        <v>2</v>
      </c>
      <c r="G6" s="32" t="s">
        <v>428</v>
      </c>
      <c r="H6" s="33">
        <v>362</v>
      </c>
      <c r="I6" s="66" t="s">
        <v>47</v>
      </c>
      <c r="J6" s="33">
        <f>H6*F6*D6</f>
        <v>2172</v>
      </c>
      <c r="K6" s="67"/>
    </row>
    <row r="7" ht="37.15" spans="1:11">
      <c r="A7" s="34"/>
      <c r="B7" s="27" t="s">
        <v>429</v>
      </c>
      <c r="C7" s="28" t="s">
        <v>430</v>
      </c>
      <c r="D7" s="29">
        <v>1</v>
      </c>
      <c r="E7" s="30" t="s">
        <v>59</v>
      </c>
      <c r="F7" s="31">
        <v>2</v>
      </c>
      <c r="G7" s="32" t="s">
        <v>428</v>
      </c>
      <c r="H7" s="33">
        <v>2089</v>
      </c>
      <c r="I7" s="66" t="s">
        <v>47</v>
      </c>
      <c r="J7" s="33">
        <f>H7*F7*D7</f>
        <v>4178</v>
      </c>
      <c r="K7" s="67" t="s">
        <v>431</v>
      </c>
    </row>
    <row r="8" ht="37.15" spans="1:11">
      <c r="A8" s="34"/>
      <c r="B8" s="27" t="s">
        <v>432</v>
      </c>
      <c r="C8" s="28" t="s">
        <v>430</v>
      </c>
      <c r="D8" s="29">
        <v>1</v>
      </c>
      <c r="E8" s="30" t="s">
        <v>59</v>
      </c>
      <c r="F8" s="31">
        <v>2</v>
      </c>
      <c r="G8" s="32" t="s">
        <v>428</v>
      </c>
      <c r="H8" s="33">
        <v>1578</v>
      </c>
      <c r="I8" s="66" t="s">
        <v>47</v>
      </c>
      <c r="J8" s="33">
        <f>H8*F8*D8</f>
        <v>3156</v>
      </c>
      <c r="K8" s="67" t="s">
        <v>431</v>
      </c>
    </row>
    <row r="9" ht="37.15" spans="1:11">
      <c r="A9" s="34"/>
      <c r="B9" s="27" t="s">
        <v>433</v>
      </c>
      <c r="C9" s="28" t="s">
        <v>430</v>
      </c>
      <c r="D9" s="29">
        <v>2</v>
      </c>
      <c r="E9" s="30" t="s">
        <v>59</v>
      </c>
      <c r="F9" s="31">
        <v>2</v>
      </c>
      <c r="G9" s="32" t="s">
        <v>428</v>
      </c>
      <c r="H9" s="33">
        <v>2243</v>
      </c>
      <c r="I9" s="66" t="s">
        <v>47</v>
      </c>
      <c r="J9" s="33">
        <f t="shared" ref="J9:J15" si="0">H9*F9*D9</f>
        <v>8972</v>
      </c>
      <c r="K9" s="67" t="s">
        <v>431</v>
      </c>
    </row>
    <row r="10" ht="37.15" spans="1:11">
      <c r="A10" s="35"/>
      <c r="B10" s="27" t="s">
        <v>434</v>
      </c>
      <c r="C10" s="28" t="s">
        <v>430</v>
      </c>
      <c r="D10" s="29">
        <v>4</v>
      </c>
      <c r="E10" s="30" t="s">
        <v>59</v>
      </c>
      <c r="F10" s="31">
        <v>2</v>
      </c>
      <c r="G10" s="32" t="s">
        <v>428</v>
      </c>
      <c r="H10" s="33">
        <v>2432</v>
      </c>
      <c r="I10" s="66" t="s">
        <v>47</v>
      </c>
      <c r="J10" s="33">
        <f t="shared" si="0"/>
        <v>19456</v>
      </c>
      <c r="K10" s="67" t="s">
        <v>431</v>
      </c>
    </row>
    <row r="11" spans="1:11">
      <c r="A11" s="36" t="s">
        <v>55</v>
      </c>
      <c r="B11" s="37"/>
      <c r="C11" s="38"/>
      <c r="D11" s="37"/>
      <c r="E11" s="37"/>
      <c r="F11" s="37"/>
      <c r="G11" s="37"/>
      <c r="H11" s="37"/>
      <c r="I11" s="68"/>
      <c r="J11" s="69">
        <f>SUM(J6:J10)</f>
        <v>37934</v>
      </c>
      <c r="K11" s="70"/>
    </row>
    <row r="12" ht="24.75" spans="1:11">
      <c r="A12" s="26" t="s">
        <v>96</v>
      </c>
      <c r="B12" s="39" t="s">
        <v>435</v>
      </c>
      <c r="C12" s="39" t="s">
        <v>102</v>
      </c>
      <c r="D12" s="40">
        <v>11</v>
      </c>
      <c r="E12" s="28" t="s">
        <v>436</v>
      </c>
      <c r="F12" s="40">
        <v>1</v>
      </c>
      <c r="G12" s="32" t="s">
        <v>428</v>
      </c>
      <c r="H12" s="41">
        <v>500</v>
      </c>
      <c r="I12" s="66" t="s">
        <v>47</v>
      </c>
      <c r="J12" s="33">
        <f t="shared" si="0"/>
        <v>5500</v>
      </c>
      <c r="K12" s="67" t="s">
        <v>437</v>
      </c>
    </row>
    <row r="13" ht="24.75" spans="1:11">
      <c r="A13" s="34"/>
      <c r="B13" s="28" t="s">
        <v>438</v>
      </c>
      <c r="C13" s="28" t="s">
        <v>102</v>
      </c>
      <c r="D13" s="40">
        <v>11</v>
      </c>
      <c r="E13" s="28" t="s">
        <v>436</v>
      </c>
      <c r="F13" s="40">
        <v>1</v>
      </c>
      <c r="G13" s="32" t="s">
        <v>428</v>
      </c>
      <c r="H13" s="41">
        <v>800</v>
      </c>
      <c r="I13" s="66" t="s">
        <v>47</v>
      </c>
      <c r="J13" s="33">
        <f t="shared" si="0"/>
        <v>8800</v>
      </c>
      <c r="K13" s="67" t="s">
        <v>437</v>
      </c>
    </row>
    <row r="14" ht="35" customHeight="1" spans="1:11">
      <c r="A14" s="34"/>
      <c r="B14" s="28" t="s">
        <v>439</v>
      </c>
      <c r="C14" s="28" t="s">
        <v>102</v>
      </c>
      <c r="D14" s="40">
        <v>5</v>
      </c>
      <c r="E14" s="28" t="s">
        <v>440</v>
      </c>
      <c r="F14" s="40">
        <v>1</v>
      </c>
      <c r="G14" s="32" t="s">
        <v>441</v>
      </c>
      <c r="H14" s="41">
        <v>1200</v>
      </c>
      <c r="I14" s="66" t="s">
        <v>47</v>
      </c>
      <c r="J14" s="33">
        <f t="shared" si="0"/>
        <v>6000</v>
      </c>
      <c r="K14" s="67"/>
    </row>
    <row r="15" ht="24.75" spans="1:11">
      <c r="A15" s="35"/>
      <c r="B15" s="28" t="s">
        <v>439</v>
      </c>
      <c r="C15" s="28" t="s">
        <v>104</v>
      </c>
      <c r="D15" s="40">
        <v>1</v>
      </c>
      <c r="E15" s="28" t="s">
        <v>440</v>
      </c>
      <c r="F15" s="40">
        <v>0</v>
      </c>
      <c r="G15" s="32" t="s">
        <v>441</v>
      </c>
      <c r="H15" s="41">
        <v>1800</v>
      </c>
      <c r="I15" s="66" t="s">
        <v>47</v>
      </c>
      <c r="J15" s="33">
        <f t="shared" si="0"/>
        <v>0</v>
      </c>
      <c r="K15" s="67" t="s">
        <v>442</v>
      </c>
    </row>
    <row r="16" spans="1:11">
      <c r="A16" s="36" t="s">
        <v>55</v>
      </c>
      <c r="B16" s="37"/>
      <c r="C16" s="37"/>
      <c r="D16" s="37"/>
      <c r="E16" s="37"/>
      <c r="F16" s="37"/>
      <c r="G16" s="37"/>
      <c r="H16" s="37" t="s">
        <v>56</v>
      </c>
      <c r="I16" s="68"/>
      <c r="J16" s="69">
        <f>SUM(J12:J15)</f>
        <v>20300</v>
      </c>
      <c r="K16" s="70"/>
    </row>
    <row r="17" spans="1:11">
      <c r="A17" s="26" t="s">
        <v>443</v>
      </c>
      <c r="B17" s="30" t="s">
        <v>444</v>
      </c>
      <c r="C17" s="30" t="s">
        <v>445</v>
      </c>
      <c r="D17" s="42">
        <v>10</v>
      </c>
      <c r="E17" s="30" t="s">
        <v>446</v>
      </c>
      <c r="F17" s="42">
        <v>1</v>
      </c>
      <c r="G17" s="30" t="s">
        <v>447</v>
      </c>
      <c r="H17" s="41">
        <v>1450</v>
      </c>
      <c r="I17" s="66" t="s">
        <v>47</v>
      </c>
      <c r="J17" s="33">
        <f>H17*F17*D17</f>
        <v>14500</v>
      </c>
      <c r="K17" s="71" t="s">
        <v>448</v>
      </c>
    </row>
    <row r="18" spans="1:11">
      <c r="A18" s="35"/>
      <c r="B18" s="28" t="s">
        <v>449</v>
      </c>
      <c r="C18" s="28" t="s">
        <v>445</v>
      </c>
      <c r="D18" s="40">
        <v>10</v>
      </c>
      <c r="E18" s="30" t="s">
        <v>446</v>
      </c>
      <c r="F18" s="42">
        <v>1</v>
      </c>
      <c r="G18" s="30" t="s">
        <v>447</v>
      </c>
      <c r="H18" s="41">
        <v>680</v>
      </c>
      <c r="I18" s="66" t="s">
        <v>47</v>
      </c>
      <c r="J18" s="33">
        <f>H18*F18*D18</f>
        <v>6800</v>
      </c>
      <c r="K18" s="72"/>
    </row>
    <row r="19" spans="1:11">
      <c r="A19" s="36" t="s">
        <v>55</v>
      </c>
      <c r="B19" s="37"/>
      <c r="C19" s="37"/>
      <c r="D19" s="37"/>
      <c r="E19" s="37"/>
      <c r="F19" s="37"/>
      <c r="G19" s="37"/>
      <c r="H19" s="37"/>
      <c r="I19" s="68"/>
      <c r="J19" s="69">
        <f>SUM(J17:J18)</f>
        <v>21300</v>
      </c>
      <c r="K19" s="70"/>
    </row>
    <row r="20" spans="1:11">
      <c r="A20" s="26" t="s">
        <v>450</v>
      </c>
      <c r="B20" s="30" t="s">
        <v>451</v>
      </c>
      <c r="C20" s="30" t="s">
        <v>452</v>
      </c>
      <c r="D20" s="42">
        <v>1</v>
      </c>
      <c r="E20" s="30" t="s">
        <v>207</v>
      </c>
      <c r="F20" s="42">
        <v>1</v>
      </c>
      <c r="G20" s="30" t="s">
        <v>453</v>
      </c>
      <c r="H20" s="41">
        <v>150000</v>
      </c>
      <c r="I20" s="66" t="s">
        <v>47</v>
      </c>
      <c r="J20" s="33">
        <f>H20*F20*D20</f>
        <v>150000</v>
      </c>
      <c r="K20" s="71"/>
    </row>
    <row r="21" spans="1:11">
      <c r="A21" s="34"/>
      <c r="B21" s="30" t="s">
        <v>454</v>
      </c>
      <c r="C21" s="30" t="s">
        <v>455</v>
      </c>
      <c r="D21" s="42">
        <v>1</v>
      </c>
      <c r="E21" s="30" t="s">
        <v>207</v>
      </c>
      <c r="F21" s="42">
        <v>1</v>
      </c>
      <c r="G21" s="30" t="s">
        <v>456</v>
      </c>
      <c r="H21" s="41">
        <v>90000</v>
      </c>
      <c r="I21" s="66" t="s">
        <v>47</v>
      </c>
      <c r="J21" s="33">
        <f>H21*F21*D21</f>
        <v>90000</v>
      </c>
      <c r="K21" s="71"/>
    </row>
    <row r="22" spans="1:11">
      <c r="A22" s="35"/>
      <c r="B22" s="30" t="s">
        <v>454</v>
      </c>
      <c r="C22" s="28" t="s">
        <v>457</v>
      </c>
      <c r="D22" s="40">
        <v>100</v>
      </c>
      <c r="E22" s="30" t="s">
        <v>59</v>
      </c>
      <c r="F22" s="42">
        <v>1</v>
      </c>
      <c r="G22" s="30" t="s">
        <v>458</v>
      </c>
      <c r="H22" s="43">
        <v>30</v>
      </c>
      <c r="I22" s="66" t="s">
        <v>47</v>
      </c>
      <c r="J22" s="33">
        <f>H22*F22*D22</f>
        <v>3000</v>
      </c>
      <c r="K22" s="71"/>
    </row>
    <row r="23" spans="1:11">
      <c r="A23" s="36" t="s">
        <v>55</v>
      </c>
      <c r="B23" s="37"/>
      <c r="C23" s="37"/>
      <c r="D23" s="37"/>
      <c r="E23" s="37"/>
      <c r="F23" s="37"/>
      <c r="G23" s="37"/>
      <c r="H23" s="37"/>
      <c r="I23" s="68"/>
      <c r="J23" s="69">
        <f>SUM(J20:J22)</f>
        <v>243000</v>
      </c>
      <c r="K23" s="70"/>
    </row>
    <row r="24" spans="1:11">
      <c r="A24" s="26" t="s">
        <v>12</v>
      </c>
      <c r="B24" s="40" t="s">
        <v>444</v>
      </c>
      <c r="C24" s="40" t="s">
        <v>459</v>
      </c>
      <c r="D24" s="40">
        <v>150</v>
      </c>
      <c r="E24" s="28" t="s">
        <v>59</v>
      </c>
      <c r="F24" s="40">
        <v>1</v>
      </c>
      <c r="G24" s="28" t="s">
        <v>458</v>
      </c>
      <c r="H24" s="41">
        <v>358</v>
      </c>
      <c r="I24" s="66" t="s">
        <v>47</v>
      </c>
      <c r="J24" s="33">
        <f t="shared" ref="J24:J29" si="1">H24*F24*D24</f>
        <v>53700</v>
      </c>
      <c r="K24" s="67"/>
    </row>
    <row r="25" spans="1:11">
      <c r="A25" s="36" t="s">
        <v>55</v>
      </c>
      <c r="B25" s="37"/>
      <c r="C25" s="37"/>
      <c r="D25" s="37"/>
      <c r="E25" s="37"/>
      <c r="F25" s="37"/>
      <c r="G25" s="37"/>
      <c r="H25" s="37" t="s">
        <v>56</v>
      </c>
      <c r="I25" s="68"/>
      <c r="J25" s="69">
        <f>SUM(J24:J24)</f>
        <v>53700</v>
      </c>
      <c r="K25" s="70"/>
    </row>
    <row r="26" spans="1:11">
      <c r="A26" s="35" t="s">
        <v>460</v>
      </c>
      <c r="B26" s="40" t="s">
        <v>81</v>
      </c>
      <c r="C26" s="28" t="s">
        <v>460</v>
      </c>
      <c r="D26" s="40">
        <v>11</v>
      </c>
      <c r="E26" s="28" t="s">
        <v>59</v>
      </c>
      <c r="F26" s="40">
        <v>1</v>
      </c>
      <c r="G26" s="28" t="s">
        <v>458</v>
      </c>
      <c r="H26" s="41">
        <v>50</v>
      </c>
      <c r="I26" s="66" t="s">
        <v>47</v>
      </c>
      <c r="J26" s="33">
        <f t="shared" si="1"/>
        <v>550</v>
      </c>
      <c r="K26" s="67"/>
    </row>
    <row r="27" spans="1:11">
      <c r="A27" s="36" t="s">
        <v>55</v>
      </c>
      <c r="B27" s="37"/>
      <c r="C27" s="37"/>
      <c r="D27" s="37"/>
      <c r="E27" s="37"/>
      <c r="F27" s="37"/>
      <c r="G27" s="37"/>
      <c r="H27" s="37" t="s">
        <v>56</v>
      </c>
      <c r="I27" s="68"/>
      <c r="J27" s="69">
        <f>SUM(J26:J26)</f>
        <v>550</v>
      </c>
      <c r="K27" s="70"/>
    </row>
    <row r="28" spans="1:11">
      <c r="A28" s="26" t="s">
        <v>461</v>
      </c>
      <c r="B28" s="40" t="s">
        <v>462</v>
      </c>
      <c r="C28" s="39" t="s">
        <v>58</v>
      </c>
      <c r="D28" s="40">
        <v>2</v>
      </c>
      <c r="E28" s="44" t="s">
        <v>207</v>
      </c>
      <c r="F28" s="45">
        <v>0</v>
      </c>
      <c r="G28" s="44" t="s">
        <v>458</v>
      </c>
      <c r="H28" s="46">
        <v>50</v>
      </c>
      <c r="I28" s="66" t="s">
        <v>47</v>
      </c>
      <c r="J28" s="33">
        <f t="shared" si="1"/>
        <v>0</v>
      </c>
      <c r="K28" s="67" t="s">
        <v>463</v>
      </c>
    </row>
    <row r="29" spans="1:11">
      <c r="A29" s="35"/>
      <c r="B29" s="40" t="s">
        <v>198</v>
      </c>
      <c r="C29" s="39" t="s">
        <v>58</v>
      </c>
      <c r="D29" s="40">
        <v>6</v>
      </c>
      <c r="E29" s="44" t="s">
        <v>207</v>
      </c>
      <c r="F29" s="45">
        <v>0</v>
      </c>
      <c r="G29" s="44" t="s">
        <v>458</v>
      </c>
      <c r="H29" s="46">
        <v>50</v>
      </c>
      <c r="I29" s="66" t="s">
        <v>47</v>
      </c>
      <c r="J29" s="33">
        <f t="shared" si="1"/>
        <v>0</v>
      </c>
      <c r="K29" s="67" t="s">
        <v>463</v>
      </c>
    </row>
    <row r="30" spans="1:11">
      <c r="A30" s="36" t="s">
        <v>55</v>
      </c>
      <c r="B30" s="37"/>
      <c r="C30" s="37"/>
      <c r="D30" s="37"/>
      <c r="E30" s="37"/>
      <c r="F30" s="37"/>
      <c r="G30" s="37"/>
      <c r="H30" s="37"/>
      <c r="I30" s="68"/>
      <c r="J30" s="69">
        <f>SUM(J28:J29)</f>
        <v>0</v>
      </c>
      <c r="K30" s="70"/>
    </row>
    <row r="31" spans="1:11">
      <c r="A31" s="26" t="s">
        <v>61</v>
      </c>
      <c r="B31" s="40" t="s">
        <v>464</v>
      </c>
      <c r="C31" s="39" t="s">
        <v>61</v>
      </c>
      <c r="D31" s="40">
        <v>4</v>
      </c>
      <c r="E31" s="44" t="s">
        <v>59</v>
      </c>
      <c r="F31" s="45">
        <v>2</v>
      </c>
      <c r="G31" s="44" t="s">
        <v>143</v>
      </c>
      <c r="H31" s="46">
        <v>800</v>
      </c>
      <c r="I31" s="66" t="s">
        <v>47</v>
      </c>
      <c r="J31" s="33">
        <f>H31*F31*D31</f>
        <v>6400</v>
      </c>
      <c r="K31" s="67" t="s">
        <v>465</v>
      </c>
    </row>
    <row r="32" spans="1:11">
      <c r="A32" s="35"/>
      <c r="B32" s="40" t="s">
        <v>464</v>
      </c>
      <c r="C32" s="39" t="s">
        <v>65</v>
      </c>
      <c r="D32" s="40">
        <v>4</v>
      </c>
      <c r="E32" s="44" t="s">
        <v>59</v>
      </c>
      <c r="F32" s="45">
        <v>2</v>
      </c>
      <c r="G32" s="44" t="s">
        <v>143</v>
      </c>
      <c r="H32" s="46">
        <v>60</v>
      </c>
      <c r="I32" s="66" t="s">
        <v>47</v>
      </c>
      <c r="J32" s="33">
        <f>H32*F32*D32</f>
        <v>480</v>
      </c>
      <c r="K32" s="73"/>
    </row>
    <row r="33" spans="1:11">
      <c r="A33" s="36" t="s">
        <v>55</v>
      </c>
      <c r="B33" s="37"/>
      <c r="C33" s="37"/>
      <c r="D33" s="37"/>
      <c r="E33" s="37"/>
      <c r="F33" s="37"/>
      <c r="G33" s="37"/>
      <c r="H33" s="37" t="s">
        <v>56</v>
      </c>
      <c r="I33" s="68"/>
      <c r="J33" s="69">
        <f>SUM(J31:J32)</f>
        <v>6880</v>
      </c>
      <c r="K33" s="70"/>
    </row>
    <row r="34" spans="1:11">
      <c r="A34" s="35" t="s">
        <v>14</v>
      </c>
      <c r="B34" s="40" t="s">
        <v>466</v>
      </c>
      <c r="C34" s="28" t="s">
        <v>58</v>
      </c>
      <c r="D34" s="40">
        <v>1</v>
      </c>
      <c r="E34" s="28" t="s">
        <v>10</v>
      </c>
      <c r="F34" s="40">
        <v>1</v>
      </c>
      <c r="G34" s="28" t="s">
        <v>10</v>
      </c>
      <c r="H34" s="41">
        <v>10000</v>
      </c>
      <c r="I34" s="66" t="s">
        <v>47</v>
      </c>
      <c r="J34" s="33">
        <f>H34*F34*D34</f>
        <v>10000</v>
      </c>
      <c r="K34" s="67"/>
    </row>
    <row r="35" spans="1:11">
      <c r="A35" s="36" t="s">
        <v>55</v>
      </c>
      <c r="B35" s="37"/>
      <c r="C35" s="37"/>
      <c r="D35" s="37"/>
      <c r="E35" s="37"/>
      <c r="F35" s="37"/>
      <c r="G35" s="37"/>
      <c r="H35" s="37" t="s">
        <v>56</v>
      </c>
      <c r="I35" s="68"/>
      <c r="J35" s="69">
        <f>SUM(J34)</f>
        <v>10000</v>
      </c>
      <c r="K35" s="70"/>
    </row>
    <row r="36" spans="1:11">
      <c r="A36" s="47" t="s">
        <v>68</v>
      </c>
      <c r="B36" s="48"/>
      <c r="C36" s="48"/>
      <c r="D36" s="48"/>
      <c r="E36" s="48"/>
      <c r="F36" s="48"/>
      <c r="G36" s="48"/>
      <c r="H36" s="48"/>
      <c r="I36" s="74"/>
      <c r="J36" s="75">
        <f>SUM(J33,J27,J25,J23,J19,J16,J11,J35,J30)</f>
        <v>393664</v>
      </c>
      <c r="K36" s="76"/>
    </row>
    <row r="37" spans="1:11">
      <c r="A37" s="49" t="s">
        <v>467</v>
      </c>
      <c r="B37" s="50"/>
      <c r="C37" s="51"/>
      <c r="D37" s="52"/>
      <c r="E37" s="52"/>
      <c r="F37" s="52"/>
      <c r="G37" s="52"/>
      <c r="H37" s="52"/>
      <c r="I37" s="77"/>
      <c r="J37" s="78">
        <f>J36*4%</f>
        <v>15746.56</v>
      </c>
      <c r="K37" s="79"/>
    </row>
    <row r="38" spans="1:11">
      <c r="A38" s="49" t="s">
        <v>70</v>
      </c>
      <c r="B38" s="50"/>
      <c r="C38" s="50"/>
      <c r="D38" s="50"/>
      <c r="E38" s="50"/>
      <c r="F38" s="50"/>
      <c r="G38" s="50"/>
      <c r="H38" s="50"/>
      <c r="I38" s="80"/>
      <c r="J38" s="81">
        <f>(J36+J37)*6%</f>
        <v>24564.6336</v>
      </c>
      <c r="K38" s="82"/>
    </row>
    <row r="39" ht="17.6" spans="1:11">
      <c r="A39" s="53" t="s">
        <v>71</v>
      </c>
      <c r="B39" s="54"/>
      <c r="C39" s="54"/>
      <c r="D39" s="54"/>
      <c r="E39" s="54"/>
      <c r="F39" s="54"/>
      <c r="G39" s="54"/>
      <c r="H39" s="54"/>
      <c r="I39" s="83"/>
      <c r="J39" s="84">
        <f>SUM(J36:J38)</f>
        <v>433975.1936</v>
      </c>
      <c r="K39" s="85"/>
    </row>
  </sheetData>
  <mergeCells count="28">
    <mergeCell ref="B1:F1"/>
    <mergeCell ref="H1:I1"/>
    <mergeCell ref="D2:F2"/>
    <mergeCell ref="H2:I2"/>
    <mergeCell ref="D3:F3"/>
    <mergeCell ref="G3:H3"/>
    <mergeCell ref="I3:K3"/>
    <mergeCell ref="A4:K4"/>
    <mergeCell ref="A5:C5"/>
    <mergeCell ref="A11:I11"/>
    <mergeCell ref="A16:I16"/>
    <mergeCell ref="A19:I19"/>
    <mergeCell ref="A23:I23"/>
    <mergeCell ref="A25:I25"/>
    <mergeCell ref="A27:I27"/>
    <mergeCell ref="A30:I30"/>
    <mergeCell ref="A33:I33"/>
    <mergeCell ref="A35:I35"/>
    <mergeCell ref="A36:I36"/>
    <mergeCell ref="A37:I37"/>
    <mergeCell ref="A38:I38"/>
    <mergeCell ref="A39:I39"/>
    <mergeCell ref="A6:A10"/>
    <mergeCell ref="A12:A15"/>
    <mergeCell ref="A17:A18"/>
    <mergeCell ref="A20:A22"/>
    <mergeCell ref="A28:A29"/>
    <mergeCell ref="A31:A32"/>
  </mergeCells>
  <dataValidations count="8">
    <dataValidation type="list" allowBlank="1" showInputMessage="1" showErrorMessage="1" sqref="C24">
      <formula1>"酒店早餐,自助午餐,围桌午餐,自助晚餐,围桌晚餐,鸡尾酒会,酒水,特色餐,其他"</formula1>
    </dataValidation>
    <dataValidation type="list" allowBlank="1" showInputMessage="1" showErrorMessage="1" sqref="C26">
      <formula1>"签证服务费,旅游签证,商务签证,保险,其他"</formula1>
    </dataValidation>
    <dataValidation type="list" allowBlank="1" showInputMessage="1" showErrorMessage="1" sqref="C6: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5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:C22">
      <formula1>"半日场租,全天场租,半天会议包价,全天会议包价,进场费,茶歇,投影仪,其他"</formula1>
    </dataValidation>
    <dataValidation type="list" allowBlank="1" showInputMessage="1" showErrorMessage="1" sqref="C28:C29 C31:C32">
      <formula1>"工作人员,餐费,住宿,交通,通信费,导游超时费,其他"</formula1>
    </dataValidation>
    <dataValidation type="list" allowBlank="1" showInputMessage="1" showErrorMessage="1" sqref="G6:G10 G12:G13">
      <formula1>"单程,往返"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80" zoomScaleNormal="80" workbookViewId="0">
      <selection activeCell="F30" sqref="F30"/>
    </sheetView>
  </sheetViews>
  <sheetFormatPr defaultColWidth="11" defaultRowHeight="16.1"/>
  <cols>
    <col min="1" max="1" width="17.8203125" customWidth="1"/>
    <col min="2" max="2" width="42.1796875" customWidth="1"/>
    <col min="3" max="3" width="16.8203125" customWidth="1"/>
    <col min="4" max="5" width="10.8203125" style="205"/>
    <col min="6" max="6" width="10.46875" customWidth="1"/>
    <col min="8" max="8" width="13.3515625" customWidth="1"/>
    <col min="9" max="9" width="14.1796875" customWidth="1"/>
    <col min="10" max="10" width="15.46875" customWidth="1"/>
    <col min="11" max="11" width="34.46875" style="161" customWidth="1"/>
  </cols>
  <sheetData>
    <row r="1" ht="15" spans="1:11">
      <c r="A1" s="223" t="s">
        <v>20</v>
      </c>
      <c r="B1" s="224"/>
      <c r="C1" s="225"/>
      <c r="D1" s="225"/>
      <c r="E1" s="225"/>
      <c r="F1" s="226"/>
      <c r="G1" s="227" t="s">
        <v>21</v>
      </c>
      <c r="H1" s="224"/>
      <c r="I1" s="226"/>
      <c r="J1" s="242" t="s">
        <v>22</v>
      </c>
      <c r="K1" s="243"/>
    </row>
    <row r="2" ht="15" spans="1:11">
      <c r="A2" s="1" t="s">
        <v>23</v>
      </c>
      <c r="B2" s="2" t="s">
        <v>24</v>
      </c>
      <c r="C2" s="3"/>
      <c r="D2" s="3"/>
      <c r="E2" s="3"/>
      <c r="F2" s="4"/>
      <c r="G2" s="5" t="s">
        <v>25</v>
      </c>
      <c r="H2" s="2" t="s">
        <v>26</v>
      </c>
      <c r="I2" s="4"/>
      <c r="J2" s="55" t="s">
        <v>22</v>
      </c>
      <c r="K2" s="56"/>
    </row>
    <row r="3" ht="15" spans="1:11">
      <c r="A3" s="1" t="s">
        <v>27</v>
      </c>
      <c r="B3" s="6" t="s">
        <v>28</v>
      </c>
      <c r="C3" s="7" t="s">
        <v>29</v>
      </c>
      <c r="D3" s="8" t="s">
        <v>30</v>
      </c>
      <c r="E3" s="9"/>
      <c r="F3" s="10"/>
      <c r="G3" s="11" t="s">
        <v>31</v>
      </c>
      <c r="H3" s="12" t="s">
        <v>32</v>
      </c>
      <c r="I3" s="57"/>
      <c r="J3" s="16" t="s">
        <v>33</v>
      </c>
      <c r="K3" s="244"/>
    </row>
    <row r="4" ht="15" spans="1:11">
      <c r="A4" s="1" t="s">
        <v>34</v>
      </c>
      <c r="B4" s="228" t="s">
        <v>35</v>
      </c>
      <c r="C4" s="7" t="s">
        <v>36</v>
      </c>
      <c r="D4" s="229" t="s">
        <v>37</v>
      </c>
      <c r="E4" s="14"/>
      <c r="F4" s="15"/>
      <c r="G4" s="16" t="s">
        <v>22</v>
      </c>
      <c r="H4" s="17"/>
      <c r="I4" s="59">
        <v>13585523855</v>
      </c>
      <c r="J4" s="60"/>
      <c r="K4" s="61"/>
    </row>
    <row r="5" ht="15" spans="1:11">
      <c r="A5" s="18" t="s">
        <v>38</v>
      </c>
      <c r="B5" s="19"/>
      <c r="C5" s="19"/>
      <c r="D5" s="19"/>
      <c r="E5" s="19"/>
      <c r="F5" s="19"/>
      <c r="G5" s="19"/>
      <c r="H5" s="19"/>
      <c r="I5" s="19"/>
      <c r="J5" s="19"/>
      <c r="K5" s="62"/>
    </row>
    <row r="6" ht="15" spans="1:11">
      <c r="A6" s="189" t="s">
        <v>39</v>
      </c>
      <c r="B6" s="190"/>
      <c r="C6" s="191" t="s">
        <v>40</v>
      </c>
      <c r="D6" s="192" t="s">
        <v>5</v>
      </c>
      <c r="E6" s="193"/>
      <c r="F6" s="192" t="s">
        <v>41</v>
      </c>
      <c r="G6" s="193"/>
      <c r="H6" s="192" t="s">
        <v>42</v>
      </c>
      <c r="I6" s="193"/>
      <c r="J6" s="25" t="s">
        <v>43</v>
      </c>
      <c r="K6" s="65" t="s">
        <v>7</v>
      </c>
    </row>
    <row r="7" ht="22.05" customHeight="1" spans="1:11">
      <c r="A7" s="230" t="s">
        <v>12</v>
      </c>
      <c r="B7" s="40" t="s">
        <v>44</v>
      </c>
      <c r="C7" s="40" t="s">
        <v>45</v>
      </c>
      <c r="D7" s="40">
        <v>6</v>
      </c>
      <c r="E7" s="40"/>
      <c r="F7" s="40" t="s">
        <v>46</v>
      </c>
      <c r="G7" s="40"/>
      <c r="H7" s="231">
        <v>3000</v>
      </c>
      <c r="I7" s="245" t="s">
        <v>47</v>
      </c>
      <c r="J7" s="46">
        <f>D7*H7</f>
        <v>18000</v>
      </c>
      <c r="K7" s="246" t="s">
        <v>48</v>
      </c>
    </row>
    <row r="8" ht="22.05" customHeight="1" spans="1:11">
      <c r="A8" s="230"/>
      <c r="B8" s="40" t="s">
        <v>49</v>
      </c>
      <c r="C8" s="40" t="s">
        <v>50</v>
      </c>
      <c r="D8" s="40">
        <v>24</v>
      </c>
      <c r="E8" s="40"/>
      <c r="F8" s="40" t="s">
        <v>51</v>
      </c>
      <c r="G8" s="40"/>
      <c r="H8" s="231">
        <v>100</v>
      </c>
      <c r="I8" s="245" t="s">
        <v>47</v>
      </c>
      <c r="J8" s="46">
        <f>D8*H8</f>
        <v>2400</v>
      </c>
      <c r="K8" s="246" t="s">
        <v>52</v>
      </c>
    </row>
    <row r="9" ht="22.05" customHeight="1" spans="1:11">
      <c r="A9" s="230"/>
      <c r="B9" s="40" t="s">
        <v>53</v>
      </c>
      <c r="C9" s="40" t="s">
        <v>50</v>
      </c>
      <c r="D9" s="40">
        <v>12</v>
      </c>
      <c r="E9" s="40"/>
      <c r="F9" s="40" t="s">
        <v>51</v>
      </c>
      <c r="G9" s="40"/>
      <c r="H9" s="231">
        <v>1000</v>
      </c>
      <c r="I9" s="245" t="s">
        <v>47</v>
      </c>
      <c r="J9" s="46">
        <f>D9*H9</f>
        <v>12000</v>
      </c>
      <c r="K9" s="246" t="s">
        <v>54</v>
      </c>
    </row>
    <row r="10" ht="15" spans="1:11">
      <c r="A10" s="36" t="s">
        <v>55</v>
      </c>
      <c r="B10" s="37"/>
      <c r="C10" s="37"/>
      <c r="D10" s="37"/>
      <c r="E10" s="37"/>
      <c r="F10" s="37"/>
      <c r="G10" s="37"/>
      <c r="H10" s="37" t="s">
        <v>56</v>
      </c>
      <c r="I10" s="68"/>
      <c r="J10" s="69">
        <f>SUM(J7:J9)</f>
        <v>32400</v>
      </c>
      <c r="K10" s="247"/>
    </row>
    <row r="11" ht="15" spans="1:11">
      <c r="A11" s="189" t="s">
        <v>39</v>
      </c>
      <c r="B11" s="190"/>
      <c r="C11" s="191" t="s">
        <v>40</v>
      </c>
      <c r="D11" s="192" t="s">
        <v>5</v>
      </c>
      <c r="E11" s="193"/>
      <c r="F11" s="192" t="s">
        <v>41</v>
      </c>
      <c r="G11" s="193"/>
      <c r="H11" s="192" t="s">
        <v>42</v>
      </c>
      <c r="I11" s="193"/>
      <c r="J11" s="25" t="s">
        <v>43</v>
      </c>
      <c r="K11" s="65" t="s">
        <v>7</v>
      </c>
    </row>
    <row r="12" ht="15" spans="1:11">
      <c r="A12" s="232" t="s">
        <v>9</v>
      </c>
      <c r="B12" s="40" t="s">
        <v>57</v>
      </c>
      <c r="C12" s="40" t="s">
        <v>58</v>
      </c>
      <c r="D12" s="40">
        <v>250</v>
      </c>
      <c r="E12" s="40"/>
      <c r="F12" s="40" t="s">
        <v>59</v>
      </c>
      <c r="G12" s="40"/>
      <c r="H12" s="231">
        <v>95</v>
      </c>
      <c r="I12" s="245" t="s">
        <v>47</v>
      </c>
      <c r="J12" s="46">
        <f>D12*H12</f>
        <v>23750</v>
      </c>
      <c r="K12" s="246"/>
    </row>
    <row r="13" ht="15" spans="1:11">
      <c r="A13" s="36" t="s">
        <v>55</v>
      </c>
      <c r="B13" s="37"/>
      <c r="C13" s="37"/>
      <c r="D13" s="37"/>
      <c r="E13" s="37"/>
      <c r="F13" s="37"/>
      <c r="G13" s="37"/>
      <c r="H13" s="37" t="s">
        <v>56</v>
      </c>
      <c r="I13" s="68"/>
      <c r="J13" s="69">
        <f>J12</f>
        <v>23750</v>
      </c>
      <c r="K13" s="247"/>
    </row>
    <row r="14" ht="15" spans="1:11">
      <c r="A14" s="189" t="s">
        <v>39</v>
      </c>
      <c r="B14" s="190"/>
      <c r="C14" s="191" t="s">
        <v>40</v>
      </c>
      <c r="D14" s="192" t="s">
        <v>5</v>
      </c>
      <c r="E14" s="193"/>
      <c r="F14" s="192" t="s">
        <v>41</v>
      </c>
      <c r="G14" s="193"/>
      <c r="H14" s="192" t="s">
        <v>42</v>
      </c>
      <c r="I14" s="193"/>
      <c r="J14" s="25" t="s">
        <v>43</v>
      </c>
      <c r="K14" s="65" t="s">
        <v>7</v>
      </c>
    </row>
    <row r="15" ht="59" customHeight="1" spans="1:11">
      <c r="A15" s="233"/>
      <c r="B15" s="179" t="s">
        <v>60</v>
      </c>
      <c r="C15" s="39" t="s">
        <v>61</v>
      </c>
      <c r="D15" s="198">
        <v>4</v>
      </c>
      <c r="E15" s="199"/>
      <c r="F15" s="198" t="s">
        <v>62</v>
      </c>
      <c r="G15" s="199"/>
      <c r="H15" s="234">
        <v>500</v>
      </c>
      <c r="I15" s="248" t="s">
        <v>47</v>
      </c>
      <c r="J15" s="249">
        <f>D15*H15</f>
        <v>2000</v>
      </c>
      <c r="K15" s="246" t="s">
        <v>63</v>
      </c>
    </row>
    <row r="16" ht="21" customHeight="1" spans="1:11">
      <c r="A16" s="233"/>
      <c r="B16" s="179" t="s">
        <v>64</v>
      </c>
      <c r="C16" s="39" t="s">
        <v>65</v>
      </c>
      <c r="D16" s="198">
        <v>4</v>
      </c>
      <c r="E16" s="199"/>
      <c r="F16" s="198" t="s">
        <v>66</v>
      </c>
      <c r="G16" s="199"/>
      <c r="H16" s="234">
        <v>80</v>
      </c>
      <c r="I16" s="248" t="s">
        <v>47</v>
      </c>
      <c r="J16" s="249">
        <f>D16*H16</f>
        <v>320</v>
      </c>
      <c r="K16" s="250"/>
    </row>
    <row r="17" ht="21" customHeight="1" spans="1:11">
      <c r="A17" s="235"/>
      <c r="B17" s="179" t="s">
        <v>67</v>
      </c>
      <c r="C17" s="39" t="s">
        <v>58</v>
      </c>
      <c r="D17" s="198">
        <v>0</v>
      </c>
      <c r="E17" s="199"/>
      <c r="F17" s="198" t="s">
        <v>62</v>
      </c>
      <c r="G17" s="199"/>
      <c r="H17" s="234">
        <v>70</v>
      </c>
      <c r="I17" s="248" t="s">
        <v>47</v>
      </c>
      <c r="J17" s="249">
        <f>D17*H17</f>
        <v>0</v>
      </c>
      <c r="K17" s="250"/>
    </row>
    <row r="18" ht="15" spans="1:11">
      <c r="A18" s="36" t="s">
        <v>55</v>
      </c>
      <c r="B18" s="37"/>
      <c r="C18" s="37"/>
      <c r="D18" s="37"/>
      <c r="E18" s="37"/>
      <c r="F18" s="37"/>
      <c r="G18" s="37"/>
      <c r="H18" s="37" t="s">
        <v>56</v>
      </c>
      <c r="I18" s="68"/>
      <c r="J18" s="69">
        <f>SUM(J15:J17)</f>
        <v>2320</v>
      </c>
      <c r="K18" s="250"/>
    </row>
    <row r="19" ht="15" spans="1:11">
      <c r="A19" s="47" t="s">
        <v>68</v>
      </c>
      <c r="B19" s="48"/>
      <c r="C19" s="48"/>
      <c r="D19" s="48"/>
      <c r="E19" s="48"/>
      <c r="F19" s="48"/>
      <c r="G19" s="48"/>
      <c r="H19" s="48"/>
      <c r="I19" s="74"/>
      <c r="J19" s="75">
        <f>J10+J13+J18</f>
        <v>58470</v>
      </c>
      <c r="K19" s="251"/>
    </row>
    <row r="20" ht="17" customHeight="1" spans="1:11">
      <c r="A20" s="236" t="s">
        <v>69</v>
      </c>
      <c r="B20" s="237"/>
      <c r="C20" s="237"/>
      <c r="D20" s="237"/>
      <c r="E20" s="237"/>
      <c r="F20" s="237"/>
      <c r="G20" s="237"/>
      <c r="H20" s="237"/>
      <c r="I20" s="252">
        <v>0.06</v>
      </c>
      <c r="J20" s="78">
        <f>J19*I20</f>
        <v>3508.2</v>
      </c>
      <c r="K20" s="253"/>
    </row>
    <row r="21" spans="1:11">
      <c r="A21" s="238" t="s">
        <v>70</v>
      </c>
      <c r="B21" s="239"/>
      <c r="C21" s="239"/>
      <c r="D21" s="239"/>
      <c r="E21" s="239"/>
      <c r="F21" s="239"/>
      <c r="G21" s="239"/>
      <c r="H21" s="239"/>
      <c r="I21" s="254"/>
      <c r="J21" s="81">
        <f>(J19+J20)*6%</f>
        <v>3718.692</v>
      </c>
      <c r="K21" s="255"/>
    </row>
    <row r="22" ht="17.6" spans="1:11">
      <c r="A22" s="240" t="s">
        <v>71</v>
      </c>
      <c r="B22" s="241"/>
      <c r="C22" s="241"/>
      <c r="D22" s="241"/>
      <c r="E22" s="241"/>
      <c r="F22" s="241"/>
      <c r="G22" s="241"/>
      <c r="H22" s="241"/>
      <c r="I22" s="241"/>
      <c r="J22" s="256">
        <f>SUM(J19:J21)</f>
        <v>65696.892</v>
      </c>
      <c r="K22" s="257"/>
    </row>
  </sheetData>
  <sheetProtection autoFilter="0"/>
  <mergeCells count="45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D8:E8"/>
    <mergeCell ref="F8:G8"/>
    <mergeCell ref="D9:E9"/>
    <mergeCell ref="F9:G9"/>
    <mergeCell ref="A10:I10"/>
    <mergeCell ref="A11:B11"/>
    <mergeCell ref="D11:E11"/>
    <mergeCell ref="F11:G11"/>
    <mergeCell ref="H11:I11"/>
    <mergeCell ref="D12:E12"/>
    <mergeCell ref="F12:G12"/>
    <mergeCell ref="A13:I13"/>
    <mergeCell ref="A14:B14"/>
    <mergeCell ref="D14:E14"/>
    <mergeCell ref="F14:G14"/>
    <mergeCell ref="H14:I14"/>
    <mergeCell ref="D15:E15"/>
    <mergeCell ref="F15:G15"/>
    <mergeCell ref="D16:E16"/>
    <mergeCell ref="F16:G16"/>
    <mergeCell ref="D17:E17"/>
    <mergeCell ref="F17:G17"/>
    <mergeCell ref="A18:I18"/>
    <mergeCell ref="A19:I19"/>
    <mergeCell ref="A20:H20"/>
    <mergeCell ref="A21:I21"/>
    <mergeCell ref="A22:I22"/>
    <mergeCell ref="A7:A9"/>
    <mergeCell ref="A15:A17"/>
  </mergeCells>
  <dataValidations count="2">
    <dataValidation type="list" allowBlank="1" showInputMessage="1" showErrorMessage="1" sqref="C12 C7:C9">
      <formula1>"酒店早餐,自助午餐,围桌午餐,自助晚餐,围桌晚餐,鸡尾酒会,酒水,特色餐,其他"</formula1>
    </dataValidation>
    <dataValidation type="list" allowBlank="1" showInputMessage="1" showErrorMessage="1" sqref="C15:C17">
      <formula1>"工作人员,餐费,住宿,交通,通信费,导游超时费,其他"</formula1>
    </dataValidation>
  </dataValidations>
  <hyperlinks>
    <hyperlink ref="D4" r:id="rId1" display="yangyan@cct.cn" tooltip="mailto:yangyan@cct.cn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B17" sqref="B17"/>
    </sheetView>
  </sheetViews>
  <sheetFormatPr defaultColWidth="11" defaultRowHeight="15"/>
  <cols>
    <col min="1" max="1" width="21.3515625" customWidth="1"/>
    <col min="2" max="2" width="32" customWidth="1"/>
    <col min="3" max="3" width="17.6484375" customWidth="1"/>
    <col min="4" max="5" width="11" customWidth="1"/>
    <col min="6" max="6" width="14.8203125" customWidth="1"/>
    <col min="7" max="7" width="11" customWidth="1"/>
    <col min="11" max="11" width="27.8203125" customWidth="1"/>
    <col min="12" max="12" width="20.8203125" customWidth="1"/>
  </cols>
  <sheetData>
    <row r="1" ht="23" customHeight="1" spans="1:9">
      <c r="A1" s="203" t="s">
        <v>72</v>
      </c>
      <c r="B1" s="203">
        <v>1</v>
      </c>
      <c r="C1" s="203">
        <v>6</v>
      </c>
      <c r="D1" s="203">
        <v>23</v>
      </c>
      <c r="E1" s="203">
        <v>58</v>
      </c>
      <c r="F1" s="204"/>
      <c r="G1" s="203">
        <v>88</v>
      </c>
      <c r="H1" s="205"/>
      <c r="I1" s="205"/>
    </row>
    <row r="2" ht="36" customHeight="1" spans="1:9">
      <c r="A2" s="203" t="s">
        <v>40</v>
      </c>
      <c r="B2" s="203" t="s">
        <v>73</v>
      </c>
      <c r="C2" s="203" t="s">
        <v>74</v>
      </c>
      <c r="D2" s="203" t="s">
        <v>75</v>
      </c>
      <c r="E2" s="203" t="s">
        <v>76</v>
      </c>
      <c r="F2" s="203" t="s">
        <v>6</v>
      </c>
      <c r="G2" s="203" t="s">
        <v>77</v>
      </c>
      <c r="H2" s="205"/>
      <c r="I2" s="205"/>
    </row>
    <row r="3" ht="16.1" spans="1:9">
      <c r="A3" s="206" t="s">
        <v>78</v>
      </c>
      <c r="B3" s="206">
        <v>628943</v>
      </c>
      <c r="C3" s="206">
        <v>1224200</v>
      </c>
      <c r="D3" s="206">
        <v>37934</v>
      </c>
      <c r="E3" s="206">
        <v>15000</v>
      </c>
      <c r="F3" s="206">
        <f>B3*$B$1+C3*$C$1+D3*$D$1+E3*$E$1</f>
        <v>9716625</v>
      </c>
      <c r="G3" s="207">
        <f t="shared" ref="G3:G12" si="0">F3/$F$14</f>
        <v>0.234962525331628</v>
      </c>
      <c r="H3" s="205"/>
      <c r="I3" s="205"/>
    </row>
    <row r="4" ht="16.1" spans="1:9">
      <c r="A4" s="206" t="s">
        <v>79</v>
      </c>
      <c r="B4" s="206">
        <v>2968850</v>
      </c>
      <c r="C4" s="206">
        <v>868000</v>
      </c>
      <c r="D4" s="206">
        <v>21300</v>
      </c>
      <c r="E4" s="206">
        <v>15000</v>
      </c>
      <c r="F4" s="206">
        <f t="shared" ref="F4:F12" si="1">B4*$B$1+C4*$C$1+D4*$D$1+E4*$E$1</f>
        <v>9536750</v>
      </c>
      <c r="G4" s="207">
        <f t="shared" si="0"/>
        <v>0.230612878798596</v>
      </c>
      <c r="H4" s="205"/>
      <c r="I4" s="205"/>
    </row>
    <row r="5" ht="16.1" spans="1:9">
      <c r="A5" s="206" t="s">
        <v>80</v>
      </c>
      <c r="B5" s="206">
        <v>1089800</v>
      </c>
      <c r="C5" s="206">
        <v>284000</v>
      </c>
      <c r="D5" s="206">
        <v>20300</v>
      </c>
      <c r="E5" s="206">
        <v>0</v>
      </c>
      <c r="F5" s="206">
        <f t="shared" si="1"/>
        <v>3260700</v>
      </c>
      <c r="G5" s="208">
        <f t="shared" si="0"/>
        <v>0.0788486029201332</v>
      </c>
      <c r="H5" s="205"/>
      <c r="I5" s="205"/>
    </row>
    <row r="6" ht="16.1" spans="1:9">
      <c r="A6" s="206" t="s">
        <v>12</v>
      </c>
      <c r="B6" s="206">
        <v>841600</v>
      </c>
      <c r="C6" s="206">
        <v>60000</v>
      </c>
      <c r="D6" s="206">
        <v>53700</v>
      </c>
      <c r="E6" s="206">
        <v>0</v>
      </c>
      <c r="F6" s="206">
        <f t="shared" si="1"/>
        <v>2436700</v>
      </c>
      <c r="G6" s="207">
        <f t="shared" si="0"/>
        <v>0.058923050490842</v>
      </c>
      <c r="H6" s="205"/>
      <c r="I6" s="205"/>
    </row>
    <row r="7" ht="16.1" spans="1:9">
      <c r="A7" s="206" t="s">
        <v>81</v>
      </c>
      <c r="B7" s="206">
        <v>126496</v>
      </c>
      <c r="C7" s="206">
        <v>17500</v>
      </c>
      <c r="D7" s="206">
        <v>550</v>
      </c>
      <c r="E7" s="206">
        <v>0</v>
      </c>
      <c r="F7" s="206">
        <f t="shared" si="1"/>
        <v>244146</v>
      </c>
      <c r="G7" s="207">
        <f t="shared" si="0"/>
        <v>0.00590381544102151</v>
      </c>
      <c r="H7" s="205"/>
      <c r="I7" s="205"/>
    </row>
    <row r="8" ht="24" customHeight="1" spans="1:9">
      <c r="A8" s="206" t="s">
        <v>82</v>
      </c>
      <c r="B8" s="206">
        <v>793400</v>
      </c>
      <c r="C8" s="206">
        <v>298714</v>
      </c>
      <c r="D8" s="206">
        <v>6880</v>
      </c>
      <c r="E8" s="206">
        <v>0</v>
      </c>
      <c r="F8" s="206">
        <f t="shared" si="1"/>
        <v>2743924</v>
      </c>
      <c r="G8" s="208">
        <f t="shared" si="0"/>
        <v>0.0663521863155223</v>
      </c>
      <c r="H8" s="205"/>
      <c r="I8" s="205"/>
    </row>
    <row r="9" ht="16.1" spans="1:9">
      <c r="A9" s="206" t="s">
        <v>83</v>
      </c>
      <c r="B9" s="206">
        <v>892000</v>
      </c>
      <c r="C9" s="206">
        <v>279600</v>
      </c>
      <c r="D9" s="206">
        <v>0</v>
      </c>
      <c r="E9" s="206">
        <v>0</v>
      </c>
      <c r="F9" s="206">
        <f t="shared" si="1"/>
        <v>2569600</v>
      </c>
      <c r="G9" s="208">
        <f t="shared" si="0"/>
        <v>0.0621367712649352</v>
      </c>
      <c r="H9" s="205"/>
      <c r="I9" s="205"/>
    </row>
    <row r="10" ht="16.1" spans="1:9">
      <c r="A10" s="206" t="s">
        <v>84</v>
      </c>
      <c r="B10" s="206">
        <v>618990</v>
      </c>
      <c r="C10" s="206">
        <v>16250</v>
      </c>
      <c r="D10" s="206">
        <v>5000</v>
      </c>
      <c r="E10" s="206">
        <v>0</v>
      </c>
      <c r="F10" s="206">
        <f t="shared" si="1"/>
        <v>831490</v>
      </c>
      <c r="G10" s="208">
        <f t="shared" si="0"/>
        <v>0.0201066718318341</v>
      </c>
      <c r="H10" s="205"/>
      <c r="I10" s="205"/>
    </row>
    <row r="11" ht="16.1" spans="1:9">
      <c r="A11" s="206" t="s">
        <v>85</v>
      </c>
      <c r="B11" s="206">
        <v>184000</v>
      </c>
      <c r="C11" s="206">
        <v>125000</v>
      </c>
      <c r="D11" s="206">
        <v>10000</v>
      </c>
      <c r="E11" s="206">
        <v>0</v>
      </c>
      <c r="F11" s="206">
        <f t="shared" si="1"/>
        <v>1164000</v>
      </c>
      <c r="G11" s="207">
        <f t="shared" si="0"/>
        <v>0.0281472609559405</v>
      </c>
      <c r="H11" s="205"/>
      <c r="I11" s="205"/>
    </row>
    <row r="12" ht="16.1" spans="1:12">
      <c r="A12" s="206" t="s">
        <v>86</v>
      </c>
      <c r="B12" s="206">
        <v>3000000</v>
      </c>
      <c r="C12" s="206">
        <v>400000</v>
      </c>
      <c r="D12" s="206">
        <v>150000</v>
      </c>
      <c r="E12" s="206">
        <v>0</v>
      </c>
      <c r="F12" s="206">
        <f t="shared" si="1"/>
        <v>8850000</v>
      </c>
      <c r="G12" s="207">
        <f t="shared" si="0"/>
        <v>0.214006236649547</v>
      </c>
      <c r="H12" s="205"/>
      <c r="I12" s="205"/>
      <c r="J12" s="205"/>
      <c r="K12" s="205"/>
      <c r="L12" s="205"/>
    </row>
    <row r="13" ht="16.85" spans="1:12">
      <c r="A13" s="203" t="s">
        <v>87</v>
      </c>
      <c r="B13" s="206">
        <f>SUM(B3:B12)</f>
        <v>11144079</v>
      </c>
      <c r="C13" s="206">
        <f>SUM(C3:C12)</f>
        <v>3573264</v>
      </c>
      <c r="D13" s="206">
        <f>SUM(D3:D12)</f>
        <v>305664</v>
      </c>
      <c r="E13" s="206">
        <f>SUM(E3:E12)</f>
        <v>30000</v>
      </c>
      <c r="F13" s="206">
        <f>SUM(F3:F12)</f>
        <v>41353935</v>
      </c>
      <c r="G13" s="209"/>
      <c r="H13" s="205"/>
      <c r="I13" s="205"/>
      <c r="J13" s="205"/>
      <c r="K13" s="205"/>
      <c r="L13" s="205"/>
    </row>
    <row r="14" ht="16.85" spans="1:12">
      <c r="A14" s="203" t="s">
        <v>88</v>
      </c>
      <c r="B14" s="206">
        <f>SUM(B3:B12)*B1</f>
        <v>11144079</v>
      </c>
      <c r="C14" s="206">
        <f>SUM(C3:C12)*C1</f>
        <v>21439584</v>
      </c>
      <c r="D14" s="206">
        <f>SUM(D3:D12)*D1</f>
        <v>7030272</v>
      </c>
      <c r="E14" s="206">
        <f>SUM(E3:E12)*E1</f>
        <v>1740000</v>
      </c>
      <c r="F14" s="206">
        <f>SUM(B14:E14)</f>
        <v>41353935</v>
      </c>
      <c r="G14" s="210">
        <f>F14/$F$14</f>
        <v>1</v>
      </c>
      <c r="H14" s="205"/>
      <c r="I14" s="205"/>
      <c r="J14" s="205"/>
      <c r="K14" s="205"/>
      <c r="L14" s="205"/>
    </row>
    <row r="17" ht="49.05" customHeight="1" spans="1:3">
      <c r="A17" s="211" t="s">
        <v>89</v>
      </c>
      <c r="B17" s="212" t="s">
        <v>90</v>
      </c>
      <c r="C17" s="213">
        <f>SUM(G12,G11,G7,G6,G4,G3)</f>
        <v>0.772555767667575</v>
      </c>
    </row>
    <row r="18" ht="16.1" spans="1:3">
      <c r="A18" s="214"/>
      <c r="B18" s="206" t="s">
        <v>78</v>
      </c>
      <c r="C18" s="210">
        <v>0.234962525331628</v>
      </c>
    </row>
    <row r="19" ht="16.1" spans="1:3">
      <c r="A19" s="215"/>
      <c r="B19" s="206" t="s">
        <v>79</v>
      </c>
      <c r="C19" s="210">
        <v>0.230612878798596</v>
      </c>
    </row>
    <row r="20" ht="16.1" spans="1:3">
      <c r="A20" s="215"/>
      <c r="B20" s="206" t="s">
        <v>86</v>
      </c>
      <c r="C20" s="210">
        <v>0.214006236649547</v>
      </c>
    </row>
    <row r="21" ht="16.1" spans="1:3">
      <c r="A21" s="215"/>
      <c r="B21" s="206" t="s">
        <v>12</v>
      </c>
      <c r="C21" s="210">
        <v>0.058923050490842</v>
      </c>
    </row>
    <row r="22" ht="16.1" spans="1:3">
      <c r="A22" s="215"/>
      <c r="B22" s="206" t="s">
        <v>85</v>
      </c>
      <c r="C22" s="210">
        <v>0.0281472609559405</v>
      </c>
    </row>
    <row r="23" ht="16.1" spans="1:3">
      <c r="A23" s="215"/>
      <c r="B23" s="206" t="s">
        <v>81</v>
      </c>
      <c r="C23" s="210">
        <v>0.00590381544102151</v>
      </c>
    </row>
    <row r="24" ht="33.75" spans="1:5">
      <c r="A24" s="216" t="s">
        <v>91</v>
      </c>
      <c r="B24" s="217" t="s">
        <v>92</v>
      </c>
      <c r="C24" s="218">
        <f>1-C17</f>
        <v>0.227444232332425</v>
      </c>
      <c r="D24" s="161"/>
      <c r="E24" s="219"/>
    </row>
    <row r="25" ht="16.1" spans="1:5">
      <c r="A25" s="220"/>
      <c r="B25" s="206" t="s">
        <v>93</v>
      </c>
      <c r="C25" s="210">
        <v>0.128488957580458</v>
      </c>
      <c r="D25" s="161"/>
      <c r="E25" s="219"/>
    </row>
    <row r="26" ht="16.1" spans="1:5">
      <c r="A26" s="221"/>
      <c r="B26" s="206" t="s">
        <v>80</v>
      </c>
      <c r="C26" s="210">
        <v>0.0788486029201332</v>
      </c>
      <c r="D26" s="161"/>
      <c r="E26" s="219"/>
    </row>
    <row r="27" ht="16.1" spans="1:4">
      <c r="A27" s="222"/>
      <c r="B27" s="206" t="s">
        <v>84</v>
      </c>
      <c r="C27" s="210">
        <v>0.0201066718318341</v>
      </c>
      <c r="D27" s="161"/>
    </row>
  </sheetData>
  <mergeCells count="2">
    <mergeCell ref="A18:A23"/>
    <mergeCell ref="A25:A2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A28" sqref="A2:H29"/>
    </sheetView>
  </sheetViews>
  <sheetFormatPr defaultColWidth="11" defaultRowHeight="15"/>
  <cols>
    <col min="2" max="2" width="20" customWidth="1"/>
    <col min="3" max="3" width="18.46875" customWidth="1"/>
    <col min="8" max="8" width="38.6484375" customWidth="1"/>
  </cols>
  <sheetData>
    <row r="1" spans="1:9">
      <c r="A1" s="189" t="s">
        <v>39</v>
      </c>
      <c r="B1" s="190"/>
      <c r="C1" s="191" t="s">
        <v>94</v>
      </c>
      <c r="D1" s="192" t="s">
        <v>5</v>
      </c>
      <c r="E1" s="193"/>
      <c r="F1" s="192" t="s">
        <v>41</v>
      </c>
      <c r="G1" s="193"/>
      <c r="H1" s="194" t="s">
        <v>95</v>
      </c>
      <c r="I1" s="202"/>
    </row>
    <row r="2" spans="1:7">
      <c r="A2" s="195" t="s">
        <v>96</v>
      </c>
      <c r="B2" s="39" t="s">
        <v>97</v>
      </c>
      <c r="C2" s="39" t="s">
        <v>98</v>
      </c>
      <c r="D2" s="184">
        <v>1</v>
      </c>
      <c r="E2" s="184"/>
      <c r="F2" s="40" t="s">
        <v>99</v>
      </c>
      <c r="G2" s="40"/>
    </row>
    <row r="3" spans="1:7">
      <c r="A3" s="195"/>
      <c r="B3" s="39"/>
      <c r="C3" s="28" t="s">
        <v>100</v>
      </c>
      <c r="D3" s="184">
        <v>1</v>
      </c>
      <c r="E3" s="184"/>
      <c r="F3" s="40" t="s">
        <v>101</v>
      </c>
      <c r="G3" s="40"/>
    </row>
    <row r="4" spans="1:7">
      <c r="A4" s="195"/>
      <c r="B4" s="39"/>
      <c r="C4" s="28" t="s">
        <v>102</v>
      </c>
      <c r="D4" s="184">
        <v>1070</v>
      </c>
      <c r="E4" s="184"/>
      <c r="F4" s="40" t="s">
        <v>101</v>
      </c>
      <c r="G4" s="40"/>
    </row>
    <row r="5" spans="1:7">
      <c r="A5" s="195"/>
      <c r="B5" s="39"/>
      <c r="C5" s="28" t="s">
        <v>103</v>
      </c>
      <c r="D5" s="184">
        <v>1</v>
      </c>
      <c r="E5" s="184"/>
      <c r="F5" s="40" t="s">
        <v>101</v>
      </c>
      <c r="G5" s="40"/>
    </row>
    <row r="6" spans="1:7">
      <c r="A6" s="195"/>
      <c r="B6" s="39"/>
      <c r="C6" s="28" t="s">
        <v>104</v>
      </c>
      <c r="D6" s="184">
        <v>1</v>
      </c>
      <c r="E6" s="184"/>
      <c r="F6" s="40" t="s">
        <v>101</v>
      </c>
      <c r="G6" s="40"/>
    </row>
    <row r="7" spans="1:7">
      <c r="A7" s="195"/>
      <c r="B7" s="39"/>
      <c r="C7" s="28" t="s">
        <v>105</v>
      </c>
      <c r="D7" s="184">
        <v>1</v>
      </c>
      <c r="E7" s="184"/>
      <c r="F7" s="40" t="s">
        <v>101</v>
      </c>
      <c r="G7" s="40"/>
    </row>
    <row r="8" spans="1:7">
      <c r="A8" s="195"/>
      <c r="B8" s="39"/>
      <c r="C8" s="28" t="s">
        <v>106</v>
      </c>
      <c r="D8" s="184">
        <v>2</v>
      </c>
      <c r="E8" s="184"/>
      <c r="F8" s="40" t="s">
        <v>101</v>
      </c>
      <c r="G8" s="40"/>
    </row>
    <row r="9" spans="1:7">
      <c r="A9" s="195"/>
      <c r="B9" s="39"/>
      <c r="C9" s="28" t="s">
        <v>107</v>
      </c>
      <c r="D9" s="184">
        <v>1</v>
      </c>
      <c r="E9" s="184"/>
      <c r="F9" s="40" t="s">
        <v>101</v>
      </c>
      <c r="G9" s="40"/>
    </row>
    <row r="10" spans="1:7">
      <c r="A10" s="195"/>
      <c r="B10" s="39"/>
      <c r="C10" s="28" t="s">
        <v>108</v>
      </c>
      <c r="D10" s="184">
        <v>1</v>
      </c>
      <c r="E10" s="184"/>
      <c r="F10" s="40" t="s">
        <v>101</v>
      </c>
      <c r="G10" s="40"/>
    </row>
    <row r="11" spans="1:7">
      <c r="A11" s="195"/>
      <c r="B11" s="39"/>
      <c r="C11" s="28" t="s">
        <v>109</v>
      </c>
      <c r="D11" s="184">
        <v>1</v>
      </c>
      <c r="E11" s="184"/>
      <c r="F11" s="40" t="s">
        <v>101</v>
      </c>
      <c r="G11" s="40"/>
    </row>
    <row r="12" spans="1:7">
      <c r="A12" s="195"/>
      <c r="B12" s="39"/>
      <c r="C12" s="28" t="s">
        <v>110</v>
      </c>
      <c r="D12" s="184">
        <v>1</v>
      </c>
      <c r="E12" s="184"/>
      <c r="F12" s="40" t="s">
        <v>101</v>
      </c>
      <c r="G12" s="40"/>
    </row>
    <row r="13" spans="1:7">
      <c r="A13" s="195"/>
      <c r="B13" s="39"/>
      <c r="C13" s="28" t="s">
        <v>111</v>
      </c>
      <c r="D13" s="184">
        <v>1</v>
      </c>
      <c r="E13" s="184"/>
      <c r="F13" s="40" t="s">
        <v>101</v>
      </c>
      <c r="G13" s="40"/>
    </row>
    <row r="14" spans="1:7">
      <c r="A14" s="195"/>
      <c r="B14" s="39"/>
      <c r="C14" s="28" t="s">
        <v>112</v>
      </c>
      <c r="D14" s="184">
        <v>1</v>
      </c>
      <c r="E14" s="184"/>
      <c r="F14" s="40" t="s">
        <v>101</v>
      </c>
      <c r="G14" s="40"/>
    </row>
    <row r="15" spans="1:7">
      <c r="A15" s="195"/>
      <c r="B15" s="39" t="s">
        <v>113</v>
      </c>
      <c r="C15" s="39" t="s">
        <v>98</v>
      </c>
      <c r="D15" s="184">
        <v>1</v>
      </c>
      <c r="E15" s="184"/>
      <c r="F15" s="40" t="s">
        <v>114</v>
      </c>
      <c r="G15" s="40"/>
    </row>
    <row r="16" spans="1:7">
      <c r="A16" s="195"/>
      <c r="B16" s="39"/>
      <c r="C16" s="28" t="s">
        <v>100</v>
      </c>
      <c r="D16" s="184">
        <v>1</v>
      </c>
      <c r="E16" s="184"/>
      <c r="F16" s="40" t="s">
        <v>114</v>
      </c>
      <c r="G16" s="40"/>
    </row>
    <row r="17" spans="1:7">
      <c r="A17" s="195"/>
      <c r="B17" s="39"/>
      <c r="C17" s="28" t="s">
        <v>102</v>
      </c>
      <c r="D17" s="184">
        <v>747</v>
      </c>
      <c r="E17" s="184"/>
      <c r="F17" s="40" t="s">
        <v>114</v>
      </c>
      <c r="G17" s="40"/>
    </row>
    <row r="18" spans="1:7">
      <c r="A18" s="195"/>
      <c r="B18" s="39"/>
      <c r="C18" s="28" t="s">
        <v>103</v>
      </c>
      <c r="D18" s="184">
        <v>12</v>
      </c>
      <c r="E18" s="184"/>
      <c r="F18" s="40" t="s">
        <v>114</v>
      </c>
      <c r="G18" s="40"/>
    </row>
    <row r="19" spans="1:7">
      <c r="A19" s="195"/>
      <c r="B19" s="39"/>
      <c r="C19" s="28" t="s">
        <v>104</v>
      </c>
      <c r="D19" s="184">
        <v>24</v>
      </c>
      <c r="E19" s="184"/>
      <c r="F19" s="40" t="s">
        <v>114</v>
      </c>
      <c r="G19" s="40"/>
    </row>
    <row r="20" spans="1:7">
      <c r="A20" s="195"/>
      <c r="B20" s="39"/>
      <c r="C20" s="28" t="s">
        <v>105</v>
      </c>
      <c r="D20" s="184">
        <v>1</v>
      </c>
      <c r="E20" s="184"/>
      <c r="F20" s="40" t="s">
        <v>114</v>
      </c>
      <c r="G20" s="40"/>
    </row>
    <row r="21" spans="1:7">
      <c r="A21" s="195"/>
      <c r="B21" s="39"/>
      <c r="C21" s="28" t="s">
        <v>106</v>
      </c>
      <c r="D21" s="184">
        <v>42</v>
      </c>
      <c r="E21" s="184"/>
      <c r="F21" s="40" t="s">
        <v>114</v>
      </c>
      <c r="G21" s="40"/>
    </row>
    <row r="22" spans="1:7">
      <c r="A22" s="195"/>
      <c r="B22" s="39"/>
      <c r="C22" s="28" t="s">
        <v>107</v>
      </c>
      <c r="D22" s="184">
        <v>1</v>
      </c>
      <c r="E22" s="184"/>
      <c r="F22" s="40" t="s">
        <v>114</v>
      </c>
      <c r="G22" s="40"/>
    </row>
    <row r="23" spans="1:7">
      <c r="A23" s="195"/>
      <c r="B23" s="39"/>
      <c r="C23" s="28" t="s">
        <v>108</v>
      </c>
      <c r="D23" s="184">
        <v>1</v>
      </c>
      <c r="E23" s="184"/>
      <c r="F23" s="40" t="s">
        <v>114</v>
      </c>
      <c r="G23" s="40"/>
    </row>
    <row r="24" spans="1:7">
      <c r="A24" s="195"/>
      <c r="B24" s="39"/>
      <c r="C24" s="28" t="s">
        <v>109</v>
      </c>
      <c r="D24" s="184">
        <v>1</v>
      </c>
      <c r="E24" s="184"/>
      <c r="F24" s="40" t="s">
        <v>114</v>
      </c>
      <c r="G24" s="40"/>
    </row>
    <row r="25" spans="1:7">
      <c r="A25" s="195"/>
      <c r="B25" s="39"/>
      <c r="C25" s="28" t="s">
        <v>110</v>
      </c>
      <c r="D25" s="184">
        <v>1</v>
      </c>
      <c r="E25" s="184"/>
      <c r="F25" s="40" t="s">
        <v>114</v>
      </c>
      <c r="G25" s="40"/>
    </row>
    <row r="26" spans="1:7">
      <c r="A26" s="195"/>
      <c r="B26" s="39"/>
      <c r="C26" s="28" t="s">
        <v>111</v>
      </c>
      <c r="D26" s="184">
        <v>1</v>
      </c>
      <c r="E26" s="184"/>
      <c r="F26" s="40" t="s">
        <v>114</v>
      </c>
      <c r="G26" s="40"/>
    </row>
    <row r="27" spans="1:7">
      <c r="A27" s="195"/>
      <c r="B27" s="39"/>
      <c r="C27" s="28" t="s">
        <v>112</v>
      </c>
      <c r="D27" s="184">
        <v>1</v>
      </c>
      <c r="E27" s="184"/>
      <c r="F27" s="40" t="s">
        <v>114</v>
      </c>
      <c r="G27" s="40"/>
    </row>
    <row r="28" spans="1:7">
      <c r="A28" s="195"/>
      <c r="B28" s="39" t="s">
        <v>115</v>
      </c>
      <c r="C28" s="28" t="s">
        <v>116</v>
      </c>
      <c r="D28" s="184">
        <v>80000</v>
      </c>
      <c r="E28" s="184"/>
      <c r="F28" s="40" t="s">
        <v>117</v>
      </c>
      <c r="G28" s="40"/>
    </row>
    <row r="29" spans="1:7">
      <c r="A29" s="195"/>
      <c r="B29" s="39"/>
      <c r="C29" s="28" t="s">
        <v>58</v>
      </c>
      <c r="D29" s="184">
        <v>132400</v>
      </c>
      <c r="E29" s="184"/>
      <c r="F29" s="40" t="s">
        <v>117</v>
      </c>
      <c r="G29" s="40"/>
    </row>
    <row r="30" spans="1:7">
      <c r="A30" s="196"/>
      <c r="B30" s="196"/>
      <c r="C30" s="196"/>
      <c r="D30" s="196"/>
      <c r="E30" s="196"/>
      <c r="F30" s="196"/>
      <c r="G30" s="196"/>
    </row>
    <row r="31" spans="1:7">
      <c r="A31" s="197" t="s">
        <v>61</v>
      </c>
      <c r="B31" s="40" t="s">
        <v>118</v>
      </c>
      <c r="C31" s="39" t="s">
        <v>61</v>
      </c>
      <c r="D31" s="198">
        <v>147</v>
      </c>
      <c r="E31" s="199"/>
      <c r="F31" s="198" t="s">
        <v>62</v>
      </c>
      <c r="G31" s="199"/>
    </row>
    <row r="32" spans="1:7">
      <c r="A32" s="200"/>
      <c r="B32" s="40" t="s">
        <v>119</v>
      </c>
      <c r="C32" s="39" t="s">
        <v>61</v>
      </c>
      <c r="D32" s="198">
        <v>669</v>
      </c>
      <c r="E32" s="199"/>
      <c r="F32" s="198" t="s">
        <v>62</v>
      </c>
      <c r="G32" s="199"/>
    </row>
    <row r="33" spans="1:7">
      <c r="A33" s="200"/>
      <c r="B33" s="40" t="s">
        <v>120</v>
      </c>
      <c r="C33" s="39" t="s">
        <v>61</v>
      </c>
      <c r="D33" s="198">
        <v>800</v>
      </c>
      <c r="E33" s="199"/>
      <c r="F33" s="198" t="s">
        <v>62</v>
      </c>
      <c r="G33" s="199"/>
    </row>
    <row r="34" spans="1:7">
      <c r="A34" s="200"/>
      <c r="B34" s="40" t="s">
        <v>121</v>
      </c>
      <c r="C34" s="39" t="s">
        <v>61</v>
      </c>
      <c r="D34" s="198">
        <v>240</v>
      </c>
      <c r="E34" s="199"/>
      <c r="F34" s="198" t="s">
        <v>62</v>
      </c>
      <c r="G34" s="199"/>
    </row>
    <row r="35" spans="1:7">
      <c r="A35" s="200"/>
      <c r="B35" s="40" t="s">
        <v>122</v>
      </c>
      <c r="C35" s="39" t="s">
        <v>61</v>
      </c>
      <c r="D35" s="198">
        <v>200</v>
      </c>
      <c r="E35" s="199"/>
      <c r="F35" s="198" t="s">
        <v>62</v>
      </c>
      <c r="G35" s="199"/>
    </row>
    <row r="36" spans="1:7">
      <c r="A36" s="200"/>
      <c r="B36" s="40" t="s">
        <v>123</v>
      </c>
      <c r="C36" s="39" t="s">
        <v>61</v>
      </c>
      <c r="D36" s="198">
        <v>30</v>
      </c>
      <c r="E36" s="199"/>
      <c r="F36" s="198" t="s">
        <v>62</v>
      </c>
      <c r="G36" s="199"/>
    </row>
    <row r="37" spans="1:7">
      <c r="A37" s="200"/>
      <c r="B37" s="40" t="s">
        <v>124</v>
      </c>
      <c r="C37" s="39" t="s">
        <v>61</v>
      </c>
      <c r="D37" s="198">
        <v>52</v>
      </c>
      <c r="E37" s="199"/>
      <c r="F37" s="198" t="s">
        <v>62</v>
      </c>
      <c r="G37" s="199"/>
    </row>
    <row r="38" spans="1:7">
      <c r="A38" s="200"/>
      <c r="B38" s="40" t="s">
        <v>125</v>
      </c>
      <c r="C38" s="39" t="s">
        <v>61</v>
      </c>
      <c r="D38" s="198">
        <v>11</v>
      </c>
      <c r="E38" s="199"/>
      <c r="F38" s="198" t="s">
        <v>62</v>
      </c>
      <c r="G38" s="199"/>
    </row>
    <row r="39" spans="1:7">
      <c r="A39" s="200"/>
      <c r="B39" s="40" t="s">
        <v>126</v>
      </c>
      <c r="C39" s="39" t="s">
        <v>61</v>
      </c>
      <c r="D39" s="198">
        <v>441</v>
      </c>
      <c r="E39" s="199"/>
      <c r="F39" s="198" t="s">
        <v>62</v>
      </c>
      <c r="G39" s="199"/>
    </row>
    <row r="40" spans="1:7">
      <c r="A40" s="200"/>
      <c r="B40" s="40" t="s">
        <v>127</v>
      </c>
      <c r="C40" s="39" t="s">
        <v>61</v>
      </c>
      <c r="D40" s="198">
        <v>22</v>
      </c>
      <c r="E40" s="199"/>
      <c r="F40" s="198" t="s">
        <v>62</v>
      </c>
      <c r="G40" s="199"/>
    </row>
    <row r="41" spans="1:7">
      <c r="A41" s="200"/>
      <c r="B41" s="40" t="s">
        <v>128</v>
      </c>
      <c r="C41" s="39" t="s">
        <v>61</v>
      </c>
      <c r="D41" s="198">
        <v>30</v>
      </c>
      <c r="E41" s="199"/>
      <c r="F41" s="198" t="s">
        <v>62</v>
      </c>
      <c r="G41" s="199"/>
    </row>
    <row r="42" spans="1:7">
      <c r="A42" s="200"/>
      <c r="B42" s="40" t="s">
        <v>129</v>
      </c>
      <c r="C42" s="39" t="s">
        <v>61</v>
      </c>
      <c r="D42" s="198">
        <v>7</v>
      </c>
      <c r="E42" s="199"/>
      <c r="F42" s="198" t="s">
        <v>62</v>
      </c>
      <c r="G42" s="199"/>
    </row>
    <row r="43" spans="1:7">
      <c r="A43" s="200"/>
      <c r="B43" s="40" t="s">
        <v>130</v>
      </c>
      <c r="C43" s="39" t="s">
        <v>61</v>
      </c>
      <c r="D43" s="198">
        <v>423</v>
      </c>
      <c r="E43" s="199"/>
      <c r="F43" s="198" t="s">
        <v>62</v>
      </c>
      <c r="G43" s="199"/>
    </row>
    <row r="44" spans="1:7">
      <c r="A44" s="200"/>
      <c r="B44" s="40" t="s">
        <v>131</v>
      </c>
      <c r="C44" s="39" t="s">
        <v>61</v>
      </c>
      <c r="D44" s="198">
        <v>58</v>
      </c>
      <c r="E44" s="199"/>
      <c r="F44" s="198" t="s">
        <v>62</v>
      </c>
      <c r="G44" s="199"/>
    </row>
    <row r="45" spans="1:7">
      <c r="A45" s="200"/>
      <c r="B45" s="40" t="s">
        <v>132</v>
      </c>
      <c r="C45" s="39" t="s">
        <v>61</v>
      </c>
      <c r="D45" s="198">
        <v>92</v>
      </c>
      <c r="E45" s="199"/>
      <c r="F45" s="198" t="s">
        <v>62</v>
      </c>
      <c r="G45" s="199"/>
    </row>
    <row r="46" spans="1:7">
      <c r="A46" s="200"/>
      <c r="B46" s="40" t="s">
        <v>133</v>
      </c>
      <c r="C46" s="39" t="s">
        <v>61</v>
      </c>
      <c r="D46" s="198">
        <v>21</v>
      </c>
      <c r="E46" s="199"/>
      <c r="F46" s="198" t="s">
        <v>62</v>
      </c>
      <c r="G46" s="199"/>
    </row>
    <row r="47" spans="1:7">
      <c r="A47" s="200"/>
      <c r="B47" s="40" t="s">
        <v>134</v>
      </c>
      <c r="C47" s="39" t="s">
        <v>61</v>
      </c>
      <c r="D47" s="198">
        <v>1014</v>
      </c>
      <c r="E47" s="199"/>
      <c r="F47" s="198" t="s">
        <v>62</v>
      </c>
      <c r="G47" s="199"/>
    </row>
    <row r="48" spans="1:7">
      <c r="A48" s="201"/>
      <c r="B48" s="40" t="s">
        <v>135</v>
      </c>
      <c r="C48" s="39" t="s">
        <v>61</v>
      </c>
      <c r="D48" s="198">
        <v>437</v>
      </c>
      <c r="E48" s="199"/>
      <c r="F48" s="198" t="s">
        <v>62</v>
      </c>
      <c r="G48" s="199"/>
    </row>
    <row r="49" spans="1:7">
      <c r="A49" s="183" t="s">
        <v>136</v>
      </c>
      <c r="B49" s="40" t="s">
        <v>137</v>
      </c>
      <c r="C49" s="39" t="s">
        <v>58</v>
      </c>
      <c r="D49" s="198">
        <v>2680</v>
      </c>
      <c r="E49" s="199"/>
      <c r="F49" s="198" t="s">
        <v>62</v>
      </c>
      <c r="G49" s="199"/>
    </row>
    <row r="50" spans="1:7">
      <c r="A50" s="183"/>
      <c r="B50" s="40" t="s">
        <v>138</v>
      </c>
      <c r="C50" s="39" t="s">
        <v>58</v>
      </c>
      <c r="D50" s="198">
        <v>184</v>
      </c>
      <c r="E50" s="199"/>
      <c r="F50" s="198" t="s">
        <v>62</v>
      </c>
      <c r="G50" s="199"/>
    </row>
    <row r="51" spans="1:7">
      <c r="A51" s="183"/>
      <c r="B51" s="40" t="s">
        <v>139</v>
      </c>
      <c r="C51" s="39" t="s">
        <v>58</v>
      </c>
      <c r="D51" s="198">
        <v>306</v>
      </c>
      <c r="E51" s="199"/>
      <c r="F51" s="198" t="s">
        <v>62</v>
      </c>
      <c r="G51" s="199"/>
    </row>
    <row r="52" spans="1:7">
      <c r="A52" s="183"/>
      <c r="B52" s="40" t="s">
        <v>140</v>
      </c>
      <c r="C52" s="39" t="s">
        <v>58</v>
      </c>
      <c r="D52" s="198">
        <v>2496</v>
      </c>
      <c r="E52" s="199"/>
      <c r="F52" s="198" t="s">
        <v>62</v>
      </c>
      <c r="G52" s="199"/>
    </row>
    <row r="53" spans="1:7">
      <c r="A53" s="183"/>
      <c r="B53" s="40" t="s">
        <v>67</v>
      </c>
      <c r="C53" s="39" t="s">
        <v>58</v>
      </c>
      <c r="D53" s="198">
        <v>2180</v>
      </c>
      <c r="E53" s="199"/>
      <c r="F53" s="198" t="s">
        <v>62</v>
      </c>
      <c r="G53" s="199"/>
    </row>
    <row r="54" spans="1:7">
      <c r="A54" s="183"/>
      <c r="B54" s="40" t="s">
        <v>141</v>
      </c>
      <c r="C54" s="39" t="s">
        <v>58</v>
      </c>
      <c r="D54" s="198">
        <v>140</v>
      </c>
      <c r="E54" s="199"/>
      <c r="F54" s="198" t="s">
        <v>62</v>
      </c>
      <c r="G54" s="199"/>
    </row>
  </sheetData>
  <mergeCells count="115">
    <mergeCell ref="A1:B1"/>
    <mergeCell ref="D1:E1"/>
    <mergeCell ref="F1:G1"/>
    <mergeCell ref="H1:I1"/>
    <mergeCell ref="D2:E2"/>
    <mergeCell ref="F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2:A29"/>
    <mergeCell ref="A31:A48"/>
    <mergeCell ref="A49:A54"/>
    <mergeCell ref="B2:B14"/>
    <mergeCell ref="B15:B27"/>
    <mergeCell ref="B28:B29"/>
  </mergeCells>
  <dataValidations count="2">
    <dataValidation type="list" allowBlank="1" showInputMessage="1" showErrorMessage="1" sqref="C2:C29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A28" sqref="A28:H29"/>
    </sheetView>
  </sheetViews>
  <sheetFormatPr defaultColWidth="11" defaultRowHeight="15" outlineLevelCol="5"/>
  <cols>
    <col min="2" max="2" width="48" customWidth="1"/>
    <col min="3" max="3" width="6.8203125" customWidth="1"/>
    <col min="4" max="4" width="6.3515625" customWidth="1"/>
    <col min="5" max="5" width="21" customWidth="1"/>
    <col min="6" max="6" width="35.6484375" customWidth="1"/>
  </cols>
  <sheetData>
    <row r="1" spans="1:6">
      <c r="A1" s="21" t="s">
        <v>39</v>
      </c>
      <c r="B1" s="21" t="s">
        <v>142</v>
      </c>
      <c r="C1" s="23" t="s">
        <v>5</v>
      </c>
      <c r="D1" s="23" t="s">
        <v>143</v>
      </c>
      <c r="E1" s="23" t="s">
        <v>7</v>
      </c>
      <c r="F1" s="186" t="s">
        <v>144</v>
      </c>
    </row>
    <row r="2" spans="1:5">
      <c r="A2" s="187">
        <v>1</v>
      </c>
      <c r="B2" s="187" t="s">
        <v>145</v>
      </c>
      <c r="C2" s="187">
        <v>18</v>
      </c>
      <c r="D2" s="187">
        <v>1</v>
      </c>
      <c r="E2" s="188"/>
    </row>
    <row r="3" spans="1:5">
      <c r="A3" s="187">
        <v>2</v>
      </c>
      <c r="B3" s="187" t="s">
        <v>146</v>
      </c>
      <c r="C3" s="187">
        <v>284</v>
      </c>
      <c r="D3" s="187">
        <v>1</v>
      </c>
      <c r="E3" s="188"/>
    </row>
    <row r="4" spans="1:5">
      <c r="A4" s="187">
        <v>3</v>
      </c>
      <c r="B4" s="187" t="s">
        <v>147</v>
      </c>
      <c r="C4" s="187">
        <v>1</v>
      </c>
      <c r="D4" s="187">
        <v>1</v>
      </c>
      <c r="E4" s="188"/>
    </row>
    <row r="5" spans="1:5">
      <c r="A5" s="187">
        <v>4</v>
      </c>
      <c r="B5" s="187" t="s">
        <v>148</v>
      </c>
      <c r="C5" s="187">
        <v>76</v>
      </c>
      <c r="D5" s="187">
        <v>1</v>
      </c>
      <c r="E5" s="188"/>
    </row>
    <row r="6" spans="1:5">
      <c r="A6" s="187">
        <v>5</v>
      </c>
      <c r="B6" s="187" t="s">
        <v>149</v>
      </c>
      <c r="C6" s="187">
        <v>2</v>
      </c>
      <c r="D6" s="187">
        <v>6</v>
      </c>
      <c r="E6" s="188"/>
    </row>
    <row r="7" spans="1:5">
      <c r="A7" s="187">
        <v>6</v>
      </c>
      <c r="B7" s="187" t="s">
        <v>150</v>
      </c>
      <c r="C7" s="187">
        <v>2</v>
      </c>
      <c r="D7" s="187">
        <v>1</v>
      </c>
      <c r="E7" s="188"/>
    </row>
    <row r="8" spans="1:5">
      <c r="A8" s="187">
        <v>7</v>
      </c>
      <c r="B8" s="187" t="s">
        <v>151</v>
      </c>
      <c r="C8" s="187">
        <v>32</v>
      </c>
      <c r="D8" s="187">
        <v>8.5</v>
      </c>
      <c r="E8" s="188"/>
    </row>
    <row r="9" spans="1:5">
      <c r="A9" s="187">
        <v>8</v>
      </c>
      <c r="B9" s="187" t="s">
        <v>152</v>
      </c>
      <c r="C9" s="187">
        <v>32</v>
      </c>
      <c r="D9" s="187">
        <v>1</v>
      </c>
      <c r="E9" s="188"/>
    </row>
    <row r="10" spans="1:5">
      <c r="A10" s="187">
        <v>9</v>
      </c>
      <c r="B10" s="187" t="s">
        <v>153</v>
      </c>
      <c r="C10" s="187">
        <v>40</v>
      </c>
      <c r="D10" s="187">
        <v>1</v>
      </c>
      <c r="E10" s="188"/>
    </row>
    <row r="11" spans="1:5">
      <c r="A11" s="187">
        <v>10</v>
      </c>
      <c r="B11" s="187" t="s">
        <v>154</v>
      </c>
      <c r="C11" s="187">
        <v>15</v>
      </c>
      <c r="D11" s="187">
        <v>1</v>
      </c>
      <c r="E11" s="188"/>
    </row>
    <row r="12" spans="1:5">
      <c r="A12" s="187">
        <v>11</v>
      </c>
      <c r="B12" s="187" t="s">
        <v>152</v>
      </c>
      <c r="C12" s="187">
        <v>40</v>
      </c>
      <c r="D12" s="187">
        <v>1</v>
      </c>
      <c r="E12" s="188"/>
    </row>
    <row r="13" spans="1:5">
      <c r="A13" s="187">
        <v>12</v>
      </c>
      <c r="B13" s="187" t="s">
        <v>155</v>
      </c>
      <c r="C13" s="187">
        <v>10</v>
      </c>
      <c r="D13" s="187">
        <v>1</v>
      </c>
      <c r="E13" s="188"/>
    </row>
    <row r="14" spans="1:5">
      <c r="A14" s="187">
        <v>13</v>
      </c>
      <c r="B14" s="187" t="s">
        <v>156</v>
      </c>
      <c r="C14" s="187">
        <v>10</v>
      </c>
      <c r="D14" s="187">
        <v>2</v>
      </c>
      <c r="E14" s="188"/>
    </row>
    <row r="15" spans="1:5">
      <c r="A15" s="187">
        <v>14</v>
      </c>
      <c r="B15" s="187" t="s">
        <v>157</v>
      </c>
      <c r="C15" s="187">
        <v>8</v>
      </c>
      <c r="D15" s="187">
        <v>2</v>
      </c>
      <c r="E15" s="188"/>
    </row>
    <row r="16" spans="1:5">
      <c r="A16" s="187">
        <v>15</v>
      </c>
      <c r="B16" s="187" t="s">
        <v>158</v>
      </c>
      <c r="C16" s="187">
        <v>5</v>
      </c>
      <c r="D16" s="187">
        <v>2</v>
      </c>
      <c r="E16" s="188"/>
    </row>
    <row r="17" spans="1:5">
      <c r="A17" s="187">
        <v>16</v>
      </c>
      <c r="B17" s="187" t="s">
        <v>159</v>
      </c>
      <c r="C17" s="187">
        <v>1</v>
      </c>
      <c r="D17" s="187">
        <v>2</v>
      </c>
      <c r="E17" s="188"/>
    </row>
    <row r="18" spans="1:5">
      <c r="A18" s="187">
        <v>17</v>
      </c>
      <c r="B18" s="187" t="s">
        <v>160</v>
      </c>
      <c r="C18" s="187">
        <v>429</v>
      </c>
      <c r="D18" s="187">
        <v>14</v>
      </c>
      <c r="E18" s="188"/>
    </row>
    <row r="19" spans="1:5">
      <c r="A19" s="187">
        <v>18</v>
      </c>
      <c r="B19" s="187" t="s">
        <v>161</v>
      </c>
      <c r="C19" s="187">
        <v>429</v>
      </c>
      <c r="D19" s="187">
        <v>1</v>
      </c>
      <c r="E19" s="188"/>
    </row>
    <row r="20" spans="1:5">
      <c r="A20" s="187">
        <v>19</v>
      </c>
      <c r="B20" s="187" t="s">
        <v>162</v>
      </c>
      <c r="C20" s="187">
        <v>429</v>
      </c>
      <c r="D20" s="187">
        <v>1</v>
      </c>
      <c r="E20" s="188"/>
    </row>
    <row r="21" spans="1:5">
      <c r="A21" s="187">
        <v>20</v>
      </c>
      <c r="B21" s="187" t="s">
        <v>163</v>
      </c>
      <c r="C21" s="187">
        <v>284</v>
      </c>
      <c r="D21" s="187">
        <v>1</v>
      </c>
      <c r="E21" s="188"/>
    </row>
    <row r="22" spans="1:5">
      <c r="A22" s="187">
        <v>21</v>
      </c>
      <c r="B22" s="187" t="s">
        <v>164</v>
      </c>
      <c r="C22" s="187">
        <v>429</v>
      </c>
      <c r="D22" s="187">
        <v>1</v>
      </c>
      <c r="E22" s="188"/>
    </row>
    <row r="23" spans="1:5">
      <c r="A23" s="187">
        <v>22</v>
      </c>
      <c r="B23" s="187" t="s">
        <v>165</v>
      </c>
      <c r="C23" s="187">
        <v>284</v>
      </c>
      <c r="D23" s="187">
        <v>1</v>
      </c>
      <c r="E23" s="188"/>
    </row>
    <row r="24" spans="1:5">
      <c r="A24" s="187">
        <v>23</v>
      </c>
      <c r="B24" s="187" t="s">
        <v>166</v>
      </c>
      <c r="C24" s="187">
        <v>284</v>
      </c>
      <c r="D24" s="187">
        <v>1</v>
      </c>
      <c r="E24" s="188"/>
    </row>
    <row r="25" spans="1:5">
      <c r="A25" s="187">
        <v>24</v>
      </c>
      <c r="B25" s="187" t="s">
        <v>167</v>
      </c>
      <c r="C25" s="187">
        <v>284</v>
      </c>
      <c r="D25" s="187">
        <v>1</v>
      </c>
      <c r="E25" s="188"/>
    </row>
    <row r="26" spans="1:5">
      <c r="A26" s="187">
        <v>25</v>
      </c>
      <c r="B26" s="187" t="s">
        <v>168</v>
      </c>
      <c r="C26" s="187">
        <v>284</v>
      </c>
      <c r="D26" s="187">
        <v>1</v>
      </c>
      <c r="E26" s="188"/>
    </row>
    <row r="27" spans="1:5">
      <c r="A27" s="187">
        <v>26</v>
      </c>
      <c r="B27" s="187" t="s">
        <v>169</v>
      </c>
      <c r="C27" s="187">
        <v>0</v>
      </c>
      <c r="D27" s="187">
        <v>1</v>
      </c>
      <c r="E27" s="188"/>
    </row>
    <row r="28" spans="1:5">
      <c r="A28" s="187">
        <v>27</v>
      </c>
      <c r="B28" s="187" t="s">
        <v>170</v>
      </c>
      <c r="C28" s="187">
        <v>1000</v>
      </c>
      <c r="D28" s="187">
        <v>5</v>
      </c>
      <c r="E28" s="188"/>
    </row>
    <row r="29" spans="1:5">
      <c r="A29" s="187">
        <v>28</v>
      </c>
      <c r="B29" s="187" t="s">
        <v>171</v>
      </c>
      <c r="C29" s="187">
        <v>200</v>
      </c>
      <c r="D29" s="187">
        <v>1</v>
      </c>
      <c r="E29" s="188"/>
    </row>
    <row r="30" spans="1:5">
      <c r="A30" s="187">
        <v>29</v>
      </c>
      <c r="B30" s="187" t="s">
        <v>172</v>
      </c>
      <c r="C30" s="187">
        <v>4</v>
      </c>
      <c r="D30" s="187">
        <v>1</v>
      </c>
      <c r="E30" s="188"/>
    </row>
    <row r="31" spans="1:5">
      <c r="A31" s="187">
        <v>30</v>
      </c>
      <c r="B31" s="187" t="s">
        <v>173</v>
      </c>
      <c r="C31" s="187">
        <v>1</v>
      </c>
      <c r="D31" s="187">
        <v>1</v>
      </c>
      <c r="E31" s="188"/>
    </row>
    <row r="32" spans="1:5">
      <c r="A32" s="187">
        <v>31</v>
      </c>
      <c r="B32" s="187" t="s">
        <v>174</v>
      </c>
      <c r="C32" s="187">
        <v>1</v>
      </c>
      <c r="D32" s="187">
        <v>1</v>
      </c>
      <c r="E32" s="188"/>
    </row>
    <row r="33" spans="1:5">
      <c r="A33" s="187">
        <v>32</v>
      </c>
      <c r="B33" s="187" t="s">
        <v>175</v>
      </c>
      <c r="C33" s="187">
        <v>1</v>
      </c>
      <c r="D33" s="187">
        <v>1</v>
      </c>
      <c r="E33" s="180"/>
    </row>
    <row r="34" spans="1:5">
      <c r="A34" s="187">
        <v>33</v>
      </c>
      <c r="B34" s="187" t="s">
        <v>176</v>
      </c>
      <c r="C34" s="187">
        <v>1</v>
      </c>
      <c r="D34" s="187">
        <v>1</v>
      </c>
      <c r="E34" s="180"/>
    </row>
    <row r="35" spans="1:5">
      <c r="A35" s="187">
        <v>34</v>
      </c>
      <c r="B35" s="187" t="s">
        <v>177</v>
      </c>
      <c r="C35" s="180"/>
      <c r="D35" s="180"/>
      <c r="E35" s="180"/>
    </row>
    <row r="36" spans="1:5">
      <c r="A36" s="187">
        <v>35</v>
      </c>
      <c r="B36" s="187" t="s">
        <v>178</v>
      </c>
      <c r="C36" s="180"/>
      <c r="D36" s="180"/>
      <c r="E36" s="180"/>
    </row>
    <row r="37" spans="1:5">
      <c r="A37" s="187">
        <v>36</v>
      </c>
      <c r="B37" s="187" t="s">
        <v>179</v>
      </c>
      <c r="C37" s="180"/>
      <c r="D37" s="180"/>
      <c r="E37" s="180"/>
    </row>
    <row r="38" spans="1:5">
      <c r="A38" s="187">
        <v>37</v>
      </c>
      <c r="B38" s="187" t="s">
        <v>180</v>
      </c>
      <c r="C38" s="180"/>
      <c r="D38" s="180"/>
      <c r="E38" s="180"/>
    </row>
    <row r="39" spans="1:5">
      <c r="A39" s="187">
        <v>38</v>
      </c>
      <c r="B39" s="187" t="s">
        <v>181</v>
      </c>
      <c r="C39" s="180"/>
      <c r="D39" s="180"/>
      <c r="E39" s="180"/>
    </row>
    <row r="40" spans="1:5">
      <c r="A40" s="187">
        <v>39</v>
      </c>
      <c r="B40" s="187" t="s">
        <v>182</v>
      </c>
      <c r="C40" s="180"/>
      <c r="D40" s="180"/>
      <c r="E40" s="180"/>
    </row>
    <row r="41" spans="1:5">
      <c r="A41" s="187">
        <v>40</v>
      </c>
      <c r="B41" s="187" t="s">
        <v>183</v>
      </c>
      <c r="C41" s="180"/>
      <c r="D41" s="180"/>
      <c r="E41" s="180"/>
    </row>
  </sheetData>
  <autoFilter xmlns:etc="http://www.wps.cn/officeDocument/2017/etCustomData" ref="A1:D41" etc:filterBottomFollowUsedRange="0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A28" sqref="A17:H29"/>
    </sheetView>
  </sheetViews>
  <sheetFormatPr defaultColWidth="11" defaultRowHeight="15"/>
  <cols>
    <col min="1" max="2" width="13.8203125" customWidth="1"/>
    <col min="7" max="8" width="18.8203125" customWidth="1"/>
    <col min="9" max="9" width="44" customWidth="1"/>
  </cols>
  <sheetData>
    <row r="1" spans="1:6">
      <c r="A1" s="185" t="s">
        <v>184</v>
      </c>
      <c r="B1" s="185"/>
      <c r="C1" s="185" t="s">
        <v>73</v>
      </c>
      <c r="D1" s="185" t="s">
        <v>74</v>
      </c>
      <c r="E1" s="185" t="s">
        <v>75</v>
      </c>
      <c r="F1" s="185" t="s">
        <v>76</v>
      </c>
    </row>
    <row r="2" spans="1:9">
      <c r="A2" s="177" t="s">
        <v>72</v>
      </c>
      <c r="B2" s="177" t="s">
        <v>185</v>
      </c>
      <c r="C2" s="177">
        <v>1</v>
      </c>
      <c r="D2" s="177">
        <v>6</v>
      </c>
      <c r="E2" s="177">
        <v>23</v>
      </c>
      <c r="F2" s="177">
        <v>58</v>
      </c>
      <c r="G2" s="177" t="s">
        <v>186</v>
      </c>
      <c r="H2" s="177" t="s">
        <v>187</v>
      </c>
      <c r="I2" s="177" t="s">
        <v>80</v>
      </c>
    </row>
    <row r="3" spans="1:9">
      <c r="A3" s="39" t="s">
        <v>97</v>
      </c>
      <c r="B3" s="39" t="s">
        <v>98</v>
      </c>
      <c r="C3" s="184">
        <v>1</v>
      </c>
      <c r="D3" s="180"/>
      <c r="E3" s="180"/>
      <c r="F3" s="180"/>
      <c r="G3" s="184">
        <f>C3*$C$2+D3*$D$2+E3*$E$2+F3*$F$2</f>
        <v>1</v>
      </c>
      <c r="H3" s="184">
        <f>ROUND(G3,1)</f>
        <v>1</v>
      </c>
      <c r="I3" s="180"/>
    </row>
    <row r="4" spans="1:9">
      <c r="A4" s="39"/>
      <c r="B4" s="28" t="s">
        <v>100</v>
      </c>
      <c r="C4" s="184">
        <v>1</v>
      </c>
      <c r="D4" s="180"/>
      <c r="E4" s="180"/>
      <c r="F4" s="180"/>
      <c r="G4" s="184">
        <f t="shared" ref="G4:G31" si="0">C4*$C$2+D4*$D$2+E4*$E$2+F4*$F$2</f>
        <v>1</v>
      </c>
      <c r="H4" s="184">
        <f t="shared" ref="H4:H30" si="1">ROUND(G4,1)</f>
        <v>1</v>
      </c>
      <c r="I4" s="180"/>
    </row>
    <row r="5" spans="1:9">
      <c r="A5" s="39"/>
      <c r="B5" s="28" t="s">
        <v>102</v>
      </c>
      <c r="C5" s="184">
        <v>396</v>
      </c>
      <c r="D5" s="184">
        <v>28</v>
      </c>
      <c r="E5" s="184">
        <v>22</v>
      </c>
      <c r="F5" s="180"/>
      <c r="G5" s="184">
        <f t="shared" si="0"/>
        <v>1070</v>
      </c>
      <c r="H5" s="184">
        <v>1100</v>
      </c>
      <c r="I5" s="184" t="s">
        <v>188</v>
      </c>
    </row>
    <row r="6" spans="1:9">
      <c r="A6" s="39"/>
      <c r="B6" s="28" t="s">
        <v>103</v>
      </c>
      <c r="C6" s="184">
        <v>1</v>
      </c>
      <c r="D6" s="180"/>
      <c r="E6" s="180"/>
      <c r="F6" s="180"/>
      <c r="G6" s="184">
        <f t="shared" si="0"/>
        <v>1</v>
      </c>
      <c r="H6" s="184">
        <f t="shared" si="1"/>
        <v>1</v>
      </c>
      <c r="I6" s="184" t="s">
        <v>189</v>
      </c>
    </row>
    <row r="7" spans="1:9">
      <c r="A7" s="39"/>
      <c r="B7" s="28" t="s">
        <v>104</v>
      </c>
      <c r="C7" s="184">
        <v>1</v>
      </c>
      <c r="D7" s="180"/>
      <c r="E7" s="180"/>
      <c r="F7" s="180"/>
      <c r="G7" s="184">
        <f t="shared" si="0"/>
        <v>1</v>
      </c>
      <c r="H7" s="184">
        <f t="shared" si="1"/>
        <v>1</v>
      </c>
      <c r="I7" s="184"/>
    </row>
    <row r="8" spans="1:9">
      <c r="A8" s="39"/>
      <c r="B8" s="28" t="s">
        <v>105</v>
      </c>
      <c r="C8" s="184">
        <v>1</v>
      </c>
      <c r="D8" s="180"/>
      <c r="E8" s="180"/>
      <c r="F8" s="180"/>
      <c r="G8" s="184">
        <f t="shared" si="0"/>
        <v>1</v>
      </c>
      <c r="H8" s="184">
        <f t="shared" si="1"/>
        <v>1</v>
      </c>
      <c r="I8" s="184"/>
    </row>
    <row r="9" spans="1:9">
      <c r="A9" s="39"/>
      <c r="B9" s="28" t="s">
        <v>106</v>
      </c>
      <c r="C9" s="184">
        <v>2</v>
      </c>
      <c r="D9" s="180"/>
      <c r="E9" s="180"/>
      <c r="F9" s="180"/>
      <c r="G9" s="184">
        <f t="shared" si="0"/>
        <v>2</v>
      </c>
      <c r="H9" s="184">
        <f t="shared" si="1"/>
        <v>2</v>
      </c>
      <c r="I9" s="184" t="s">
        <v>190</v>
      </c>
    </row>
    <row r="10" spans="1:9">
      <c r="A10" s="39"/>
      <c r="B10" s="28" t="s">
        <v>107</v>
      </c>
      <c r="C10" s="184">
        <v>1</v>
      </c>
      <c r="D10" s="180"/>
      <c r="E10" s="180"/>
      <c r="F10" s="180"/>
      <c r="G10" s="184">
        <f t="shared" si="0"/>
        <v>1</v>
      </c>
      <c r="H10" s="184">
        <f t="shared" si="1"/>
        <v>1</v>
      </c>
      <c r="I10" s="184"/>
    </row>
    <row r="11" spans="1:9">
      <c r="A11" s="39"/>
      <c r="B11" s="28" t="s">
        <v>108</v>
      </c>
      <c r="C11" s="184">
        <v>1</v>
      </c>
      <c r="D11" s="184"/>
      <c r="E11" s="180"/>
      <c r="F11" s="180"/>
      <c r="G11" s="184">
        <f t="shared" si="0"/>
        <v>1</v>
      </c>
      <c r="H11" s="184">
        <f t="shared" si="1"/>
        <v>1</v>
      </c>
      <c r="I11" s="184"/>
    </row>
    <row r="12" spans="1:9">
      <c r="A12" s="39"/>
      <c r="B12" s="28" t="s">
        <v>109</v>
      </c>
      <c r="C12" s="184">
        <v>1</v>
      </c>
      <c r="D12" s="180"/>
      <c r="E12" s="180"/>
      <c r="F12" s="180"/>
      <c r="G12" s="184">
        <f t="shared" si="0"/>
        <v>1</v>
      </c>
      <c r="H12" s="184">
        <f t="shared" si="1"/>
        <v>1</v>
      </c>
      <c r="I12" s="184"/>
    </row>
    <row r="13" spans="1:9">
      <c r="A13" s="39"/>
      <c r="B13" s="28" t="s">
        <v>110</v>
      </c>
      <c r="C13" s="184">
        <v>1</v>
      </c>
      <c r="D13" s="180"/>
      <c r="E13" s="180"/>
      <c r="F13" s="180"/>
      <c r="G13" s="184">
        <f t="shared" si="0"/>
        <v>1</v>
      </c>
      <c r="H13" s="184">
        <f t="shared" si="1"/>
        <v>1</v>
      </c>
      <c r="I13" s="184"/>
    </row>
    <row r="14" spans="1:9">
      <c r="A14" s="39"/>
      <c r="B14" s="28" t="s">
        <v>111</v>
      </c>
      <c r="C14" s="184">
        <v>1</v>
      </c>
      <c r="D14" s="180"/>
      <c r="E14" s="180"/>
      <c r="F14" s="180"/>
      <c r="G14" s="184">
        <f t="shared" si="0"/>
        <v>1</v>
      </c>
      <c r="H14" s="184">
        <f t="shared" si="1"/>
        <v>1</v>
      </c>
      <c r="I14" s="184"/>
    </row>
    <row r="15" spans="1:9">
      <c r="A15" s="39"/>
      <c r="B15" s="28" t="s">
        <v>112</v>
      </c>
      <c r="C15" s="184">
        <v>1</v>
      </c>
      <c r="D15" s="180"/>
      <c r="E15" s="180"/>
      <c r="F15" s="180"/>
      <c r="G15" s="184">
        <f t="shared" si="0"/>
        <v>1</v>
      </c>
      <c r="H15" s="184">
        <f t="shared" si="1"/>
        <v>1</v>
      </c>
      <c r="I15" s="184"/>
    </row>
    <row r="16" spans="1:9">
      <c r="A16" s="39"/>
      <c r="B16" s="28" t="s">
        <v>116</v>
      </c>
      <c r="C16" s="184">
        <v>1</v>
      </c>
      <c r="D16" s="180"/>
      <c r="E16" s="180"/>
      <c r="F16" s="180"/>
      <c r="G16" s="184">
        <f t="shared" si="0"/>
        <v>1</v>
      </c>
      <c r="H16" s="184">
        <f t="shared" si="1"/>
        <v>1</v>
      </c>
      <c r="I16" s="184"/>
    </row>
    <row r="17" spans="1:9">
      <c r="A17" s="39" t="s">
        <v>113</v>
      </c>
      <c r="B17" s="39" t="s">
        <v>98</v>
      </c>
      <c r="C17" s="184">
        <v>1</v>
      </c>
      <c r="D17" s="180"/>
      <c r="E17" s="180"/>
      <c r="F17" s="180"/>
      <c r="G17" s="184">
        <f t="shared" si="0"/>
        <v>1</v>
      </c>
      <c r="H17" s="184">
        <f t="shared" si="1"/>
        <v>1</v>
      </c>
      <c r="I17" s="180"/>
    </row>
    <row r="18" spans="1:9">
      <c r="A18" s="39"/>
      <c r="B18" s="28" t="s">
        <v>100</v>
      </c>
      <c r="C18" s="184">
        <v>1</v>
      </c>
      <c r="D18" s="180"/>
      <c r="E18" s="180"/>
      <c r="F18" s="180"/>
      <c r="G18" s="184">
        <f t="shared" si="0"/>
        <v>1</v>
      </c>
      <c r="H18" s="184">
        <f t="shared" si="1"/>
        <v>1</v>
      </c>
      <c r="I18" s="180"/>
    </row>
    <row r="19" spans="1:9">
      <c r="A19" s="39"/>
      <c r="B19" s="28" t="s">
        <v>102</v>
      </c>
      <c r="C19" s="184">
        <v>344</v>
      </c>
      <c r="D19" s="184">
        <v>48</v>
      </c>
      <c r="E19" s="184">
        <v>5</v>
      </c>
      <c r="F19" s="180"/>
      <c r="G19" s="184">
        <f t="shared" si="0"/>
        <v>747</v>
      </c>
      <c r="H19" s="184">
        <v>750</v>
      </c>
      <c r="I19" s="184" t="s">
        <v>191</v>
      </c>
    </row>
    <row r="20" spans="1:9">
      <c r="A20" s="39"/>
      <c r="B20" s="28" t="s">
        <v>103</v>
      </c>
      <c r="C20" s="184">
        <v>12</v>
      </c>
      <c r="D20" s="180"/>
      <c r="E20" s="180"/>
      <c r="F20" s="180"/>
      <c r="G20" s="184">
        <f t="shared" si="0"/>
        <v>12</v>
      </c>
      <c r="H20" s="184">
        <v>20</v>
      </c>
      <c r="I20" s="184" t="s">
        <v>189</v>
      </c>
    </row>
    <row r="21" spans="1:9">
      <c r="A21" s="39"/>
      <c r="B21" s="28" t="s">
        <v>104</v>
      </c>
      <c r="C21" s="184">
        <v>1</v>
      </c>
      <c r="D21" s="180"/>
      <c r="E21" s="184">
        <v>1</v>
      </c>
      <c r="F21" s="180"/>
      <c r="G21" s="184">
        <f t="shared" si="0"/>
        <v>24</v>
      </c>
      <c r="H21" s="184">
        <v>30</v>
      </c>
      <c r="I21" s="184"/>
    </row>
    <row r="22" spans="1:9">
      <c r="A22" s="39"/>
      <c r="B22" s="28" t="s">
        <v>105</v>
      </c>
      <c r="C22" s="184">
        <v>1</v>
      </c>
      <c r="D22" s="180"/>
      <c r="E22" s="180"/>
      <c r="F22" s="180"/>
      <c r="G22" s="184">
        <f t="shared" si="0"/>
        <v>1</v>
      </c>
      <c r="H22" s="184">
        <f t="shared" si="1"/>
        <v>1</v>
      </c>
      <c r="I22" s="184"/>
    </row>
    <row r="23" spans="1:9">
      <c r="A23" s="39"/>
      <c r="B23" s="28" t="s">
        <v>106</v>
      </c>
      <c r="C23" s="184">
        <v>42</v>
      </c>
      <c r="D23" s="180"/>
      <c r="E23" s="180"/>
      <c r="F23" s="180"/>
      <c r="G23" s="184">
        <f t="shared" si="0"/>
        <v>42</v>
      </c>
      <c r="H23" s="184">
        <v>50</v>
      </c>
      <c r="I23" s="184" t="s">
        <v>190</v>
      </c>
    </row>
    <row r="24" spans="1:9">
      <c r="A24" s="39"/>
      <c r="B24" s="28" t="s">
        <v>107</v>
      </c>
      <c r="C24" s="184">
        <v>1</v>
      </c>
      <c r="D24" s="180"/>
      <c r="E24" s="180"/>
      <c r="F24" s="180"/>
      <c r="G24" s="184">
        <f t="shared" si="0"/>
        <v>1</v>
      </c>
      <c r="H24" s="184">
        <f t="shared" si="1"/>
        <v>1</v>
      </c>
      <c r="I24" s="184"/>
    </row>
    <row r="25" spans="1:9">
      <c r="A25" s="39"/>
      <c r="B25" s="28" t="s">
        <v>108</v>
      </c>
      <c r="C25" s="184">
        <v>1</v>
      </c>
      <c r="D25" s="180"/>
      <c r="E25" s="180"/>
      <c r="F25" s="180"/>
      <c r="G25" s="184">
        <f t="shared" si="0"/>
        <v>1</v>
      </c>
      <c r="H25" s="184">
        <f t="shared" si="1"/>
        <v>1</v>
      </c>
      <c r="I25" s="184"/>
    </row>
    <row r="26" spans="1:9">
      <c r="A26" s="39"/>
      <c r="B26" s="28" t="s">
        <v>109</v>
      </c>
      <c r="C26" s="184">
        <v>1</v>
      </c>
      <c r="D26" s="180"/>
      <c r="E26" s="180"/>
      <c r="F26" s="180"/>
      <c r="G26" s="184">
        <f t="shared" si="0"/>
        <v>1</v>
      </c>
      <c r="H26" s="184">
        <f t="shared" si="1"/>
        <v>1</v>
      </c>
      <c r="I26" s="184"/>
    </row>
    <row r="27" spans="1:9">
      <c r="A27" s="39"/>
      <c r="B27" s="28" t="s">
        <v>110</v>
      </c>
      <c r="C27" s="184">
        <v>1</v>
      </c>
      <c r="D27" s="180"/>
      <c r="E27" s="180"/>
      <c r="F27" s="180"/>
      <c r="G27" s="184">
        <f t="shared" si="0"/>
        <v>1</v>
      </c>
      <c r="H27" s="184">
        <f t="shared" si="1"/>
        <v>1</v>
      </c>
      <c r="I27" s="184"/>
    </row>
    <row r="28" spans="1:9">
      <c r="A28" s="39"/>
      <c r="B28" s="28" t="s">
        <v>111</v>
      </c>
      <c r="C28" s="184">
        <v>1</v>
      </c>
      <c r="D28" s="180"/>
      <c r="E28" s="180"/>
      <c r="F28" s="180"/>
      <c r="G28" s="184">
        <f t="shared" si="0"/>
        <v>1</v>
      </c>
      <c r="H28" s="184">
        <f t="shared" si="1"/>
        <v>1</v>
      </c>
      <c r="I28" s="184"/>
    </row>
    <row r="29" spans="1:9">
      <c r="A29" s="39"/>
      <c r="B29" s="28" t="s">
        <v>112</v>
      </c>
      <c r="C29" s="184">
        <v>1</v>
      </c>
      <c r="D29" s="180"/>
      <c r="E29" s="180"/>
      <c r="F29" s="180"/>
      <c r="G29" s="184">
        <f t="shared" si="0"/>
        <v>1</v>
      </c>
      <c r="H29" s="184">
        <f t="shared" si="1"/>
        <v>1</v>
      </c>
      <c r="I29" s="184"/>
    </row>
    <row r="30" spans="1:9">
      <c r="A30" s="39" t="s">
        <v>115</v>
      </c>
      <c r="B30" s="28" t="s">
        <v>116</v>
      </c>
      <c r="C30" s="184">
        <v>80000</v>
      </c>
      <c r="D30" s="184"/>
      <c r="E30" s="184"/>
      <c r="F30" s="184"/>
      <c r="G30" s="184">
        <f t="shared" si="0"/>
        <v>80000</v>
      </c>
      <c r="H30" s="184">
        <f t="shared" si="1"/>
        <v>80000</v>
      </c>
      <c r="I30" s="184"/>
    </row>
    <row r="31" spans="1:9">
      <c r="A31" s="39"/>
      <c r="B31" s="28" t="s">
        <v>58</v>
      </c>
      <c r="C31" s="184">
        <v>12400</v>
      </c>
      <c r="D31" s="184">
        <v>20000</v>
      </c>
      <c r="E31" s="184"/>
      <c r="F31" s="184"/>
      <c r="G31" s="184">
        <f t="shared" si="0"/>
        <v>132400</v>
      </c>
      <c r="H31" s="184">
        <v>140000</v>
      </c>
      <c r="I31" s="184" t="s">
        <v>192</v>
      </c>
    </row>
  </sheetData>
  <autoFilter xmlns:etc="http://www.wps.cn/officeDocument/2017/etCustomData" ref="A2:I31" etc:filterBottomFollowUsedRange="0">
    <extLst/>
  </autoFilter>
  <mergeCells count="3">
    <mergeCell ref="A3:A16"/>
    <mergeCell ref="A17:A29"/>
    <mergeCell ref="A30:A31"/>
  </mergeCells>
  <dataValidations count="1">
    <dataValidation type="list" allowBlank="1" showInputMessage="1" showErrorMessage="1" sqref="B3:B30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28" sqref="A28:H29"/>
    </sheetView>
  </sheetViews>
  <sheetFormatPr defaultColWidth="11" defaultRowHeight="15"/>
  <cols>
    <col min="2" max="2" width="24.8203125" customWidth="1"/>
  </cols>
  <sheetData>
    <row r="1" spans="1:10">
      <c r="A1" s="21" t="s">
        <v>39</v>
      </c>
      <c r="B1" s="21"/>
      <c r="C1" s="21" t="s">
        <v>40</v>
      </c>
      <c r="D1" s="177">
        <v>1</v>
      </c>
      <c r="E1" s="177">
        <v>6</v>
      </c>
      <c r="F1" s="177">
        <v>23</v>
      </c>
      <c r="G1" s="177">
        <v>58</v>
      </c>
      <c r="H1" s="177" t="s">
        <v>186</v>
      </c>
      <c r="I1" s="177" t="s">
        <v>187</v>
      </c>
      <c r="J1" s="177" t="s">
        <v>7</v>
      </c>
    </row>
    <row r="2" spans="1:10">
      <c r="A2" s="183" t="s">
        <v>61</v>
      </c>
      <c r="B2" s="40" t="s">
        <v>118</v>
      </c>
      <c r="C2" s="39" t="s">
        <v>61</v>
      </c>
      <c r="D2" s="40">
        <v>75</v>
      </c>
      <c r="E2" s="44">
        <v>12</v>
      </c>
      <c r="F2" s="184"/>
      <c r="G2" s="184"/>
      <c r="H2" s="184">
        <f>SUM(D2*$D$1+E2*$E$1+F2*$F$1+G1*$G$2)</f>
        <v>147</v>
      </c>
      <c r="I2" s="184">
        <v>150</v>
      </c>
      <c r="J2" s="184"/>
    </row>
    <row r="3" spans="1:10">
      <c r="A3" s="183"/>
      <c r="B3" s="40" t="s">
        <v>119</v>
      </c>
      <c r="C3" s="39" t="s">
        <v>61</v>
      </c>
      <c r="D3" s="40">
        <v>345</v>
      </c>
      <c r="E3" s="44">
        <v>54</v>
      </c>
      <c r="F3" s="184"/>
      <c r="G3" s="184"/>
      <c r="H3" s="184">
        <f t="shared" ref="H3:H25" si="0">SUM(D3*$D$1+E3*$E$1+F3*$F$1+G2*$G$2)</f>
        <v>669</v>
      </c>
      <c r="I3" s="184">
        <v>700</v>
      </c>
      <c r="J3" s="184"/>
    </row>
    <row r="4" spans="1:10">
      <c r="A4" s="183"/>
      <c r="B4" s="40" t="s">
        <v>120</v>
      </c>
      <c r="C4" s="39" t="s">
        <v>61</v>
      </c>
      <c r="D4" s="40">
        <f>260+120</f>
        <v>380</v>
      </c>
      <c r="E4" s="44">
        <v>70</v>
      </c>
      <c r="F4" s="184"/>
      <c r="G4" s="184"/>
      <c r="H4" s="184">
        <f t="shared" si="0"/>
        <v>800</v>
      </c>
      <c r="I4" s="184">
        <v>800</v>
      </c>
      <c r="J4" s="184"/>
    </row>
    <row r="5" spans="1:10">
      <c r="A5" s="183"/>
      <c r="B5" s="40" t="s">
        <v>121</v>
      </c>
      <c r="C5" s="39" t="s">
        <v>61</v>
      </c>
      <c r="D5" s="40"/>
      <c r="E5" s="44">
        <v>40</v>
      </c>
      <c r="F5" s="184"/>
      <c r="G5" s="184"/>
      <c r="H5" s="184">
        <f t="shared" si="0"/>
        <v>240</v>
      </c>
      <c r="I5" s="184">
        <v>250</v>
      </c>
      <c r="J5" s="184"/>
    </row>
    <row r="6" spans="1:10">
      <c r="A6" s="183"/>
      <c r="B6" s="40" t="s">
        <v>122</v>
      </c>
      <c r="C6" s="39" t="s">
        <v>61</v>
      </c>
      <c r="D6" s="40">
        <v>20</v>
      </c>
      <c r="E6" s="44">
        <v>30</v>
      </c>
      <c r="F6" s="184"/>
      <c r="G6" s="184"/>
      <c r="H6" s="184">
        <f t="shared" si="0"/>
        <v>200</v>
      </c>
      <c r="I6" s="184">
        <v>200</v>
      </c>
      <c r="J6" s="184"/>
    </row>
    <row r="7" spans="1:10">
      <c r="A7" s="183"/>
      <c r="B7" s="40" t="s">
        <v>123</v>
      </c>
      <c r="C7" s="39" t="s">
        <v>61</v>
      </c>
      <c r="D7" s="40">
        <v>30</v>
      </c>
      <c r="E7" s="180"/>
      <c r="F7" s="184"/>
      <c r="G7" s="184"/>
      <c r="H7" s="184">
        <f t="shared" si="0"/>
        <v>30</v>
      </c>
      <c r="I7" s="184">
        <v>30</v>
      </c>
      <c r="J7" s="184"/>
    </row>
    <row r="8" spans="1:10">
      <c r="A8" s="183"/>
      <c r="B8" s="40" t="s">
        <v>124</v>
      </c>
      <c r="C8" s="39" t="s">
        <v>61</v>
      </c>
      <c r="D8" s="40">
        <v>52</v>
      </c>
      <c r="E8" s="180"/>
      <c r="F8" s="184"/>
      <c r="G8" s="184"/>
      <c r="H8" s="184">
        <f t="shared" si="0"/>
        <v>52</v>
      </c>
      <c r="I8" s="184">
        <v>60</v>
      </c>
      <c r="J8" s="184"/>
    </row>
    <row r="9" spans="1:10">
      <c r="A9" s="183"/>
      <c r="B9" s="40" t="s">
        <v>125</v>
      </c>
      <c r="C9" s="39" t="s">
        <v>61</v>
      </c>
      <c r="D9" s="40">
        <v>11</v>
      </c>
      <c r="E9" s="44"/>
      <c r="F9" s="184"/>
      <c r="G9" s="184"/>
      <c r="H9" s="184">
        <f t="shared" si="0"/>
        <v>11</v>
      </c>
      <c r="I9" s="184">
        <v>20</v>
      </c>
      <c r="J9" s="184"/>
    </row>
    <row r="10" spans="1:10">
      <c r="A10" s="183"/>
      <c r="B10" s="40" t="s">
        <v>126</v>
      </c>
      <c r="C10" s="39" t="s">
        <v>61</v>
      </c>
      <c r="D10" s="40">
        <v>81</v>
      </c>
      <c r="E10" s="44">
        <v>60</v>
      </c>
      <c r="F10" s="184"/>
      <c r="G10" s="184"/>
      <c r="H10" s="184">
        <f t="shared" si="0"/>
        <v>441</v>
      </c>
      <c r="I10" s="184">
        <v>450</v>
      </c>
      <c r="J10" s="184"/>
    </row>
    <row r="11" spans="1:10">
      <c r="A11" s="183"/>
      <c r="B11" s="40" t="s">
        <v>127</v>
      </c>
      <c r="C11" s="39" t="s">
        <v>61</v>
      </c>
      <c r="D11" s="40">
        <v>22</v>
      </c>
      <c r="E11" s="44"/>
      <c r="F11" s="184"/>
      <c r="G11" s="184"/>
      <c r="H11" s="184">
        <f t="shared" si="0"/>
        <v>22</v>
      </c>
      <c r="I11" s="184">
        <v>30</v>
      </c>
      <c r="J11" s="184"/>
    </row>
    <row r="12" spans="1:10">
      <c r="A12" s="183"/>
      <c r="B12" s="40" t="s">
        <v>128</v>
      </c>
      <c r="C12" s="39" t="s">
        <v>61</v>
      </c>
      <c r="D12" s="40">
        <v>30</v>
      </c>
      <c r="E12" s="44"/>
      <c r="F12" s="184"/>
      <c r="G12" s="184"/>
      <c r="H12" s="184">
        <f t="shared" si="0"/>
        <v>30</v>
      </c>
      <c r="I12" s="184">
        <v>30</v>
      </c>
      <c r="J12" s="184"/>
    </row>
    <row r="13" spans="1:10">
      <c r="A13" s="183"/>
      <c r="B13" s="40" t="s">
        <v>129</v>
      </c>
      <c r="C13" s="39" t="s">
        <v>61</v>
      </c>
      <c r="D13" s="40">
        <v>7</v>
      </c>
      <c r="E13" s="180"/>
      <c r="F13" s="180"/>
      <c r="G13" s="180"/>
      <c r="H13" s="184">
        <f t="shared" si="0"/>
        <v>7</v>
      </c>
      <c r="I13" s="184">
        <v>10</v>
      </c>
      <c r="J13" s="180"/>
    </row>
    <row r="14" spans="1:10">
      <c r="A14" s="183"/>
      <c r="B14" s="40" t="s">
        <v>130</v>
      </c>
      <c r="C14" s="39" t="s">
        <v>61</v>
      </c>
      <c r="D14" s="184">
        <v>63</v>
      </c>
      <c r="E14" s="44">
        <v>60</v>
      </c>
      <c r="F14" s="180"/>
      <c r="G14" s="180"/>
      <c r="H14" s="184">
        <f t="shared" si="0"/>
        <v>423</v>
      </c>
      <c r="I14" s="184">
        <v>450</v>
      </c>
      <c r="J14" s="180"/>
    </row>
    <row r="15" spans="1:10">
      <c r="A15" s="183"/>
      <c r="B15" s="40" t="s">
        <v>131</v>
      </c>
      <c r="C15" s="39" t="s">
        <v>61</v>
      </c>
      <c r="D15" s="40">
        <v>58</v>
      </c>
      <c r="E15" s="180"/>
      <c r="F15" s="180"/>
      <c r="G15" s="180"/>
      <c r="H15" s="184">
        <f t="shared" si="0"/>
        <v>58</v>
      </c>
      <c r="I15" s="184">
        <v>60</v>
      </c>
      <c r="J15" s="180"/>
    </row>
    <row r="16" spans="1:10">
      <c r="A16" s="183"/>
      <c r="B16" s="40" t="s">
        <v>132</v>
      </c>
      <c r="C16" s="39" t="s">
        <v>61</v>
      </c>
      <c r="D16" s="40">
        <v>92</v>
      </c>
      <c r="E16" s="180"/>
      <c r="F16" s="180"/>
      <c r="G16" s="180"/>
      <c r="H16" s="184">
        <f t="shared" si="0"/>
        <v>92</v>
      </c>
      <c r="I16" s="184">
        <v>100</v>
      </c>
      <c r="J16" s="180"/>
    </row>
    <row r="17" spans="1:10">
      <c r="A17" s="183"/>
      <c r="B17" s="40" t="s">
        <v>133</v>
      </c>
      <c r="C17" s="39" t="s">
        <v>61</v>
      </c>
      <c r="D17" s="40">
        <v>21</v>
      </c>
      <c r="E17" s="180"/>
      <c r="F17" s="180"/>
      <c r="G17" s="180"/>
      <c r="H17" s="184">
        <f t="shared" si="0"/>
        <v>21</v>
      </c>
      <c r="I17" s="184">
        <v>30</v>
      </c>
      <c r="J17" s="180"/>
    </row>
    <row r="18" spans="1:10">
      <c r="A18" s="183"/>
      <c r="B18" s="40" t="s">
        <v>134</v>
      </c>
      <c r="C18" s="39" t="s">
        <v>61</v>
      </c>
      <c r="D18" s="40">
        <f>116+142</f>
        <v>258</v>
      </c>
      <c r="E18" s="40">
        <v>126</v>
      </c>
      <c r="F18" s="180"/>
      <c r="G18" s="180"/>
      <c r="H18" s="184">
        <f t="shared" si="0"/>
        <v>1014</v>
      </c>
      <c r="I18" s="184">
        <v>1100</v>
      </c>
      <c r="J18" s="180"/>
    </row>
    <row r="19" spans="1:10">
      <c r="A19" s="183"/>
      <c r="B19" s="40" t="s">
        <v>135</v>
      </c>
      <c r="C19" s="39" t="s">
        <v>61</v>
      </c>
      <c r="D19" s="40">
        <v>73</v>
      </c>
      <c r="E19" s="40">
        <v>30</v>
      </c>
      <c r="F19" s="40">
        <v>8</v>
      </c>
      <c r="G19" s="180"/>
      <c r="H19" s="184">
        <f t="shared" si="0"/>
        <v>437</v>
      </c>
      <c r="I19" s="184">
        <v>450</v>
      </c>
      <c r="J19" s="180"/>
    </row>
    <row r="20" spans="1:10">
      <c r="A20" s="183"/>
      <c r="B20" s="40" t="s">
        <v>137</v>
      </c>
      <c r="C20" s="39" t="s">
        <v>58</v>
      </c>
      <c r="D20" s="40">
        <f>260+1120</f>
        <v>1380</v>
      </c>
      <c r="E20" s="40">
        <f>66+120</f>
        <v>186</v>
      </c>
      <c r="F20" s="40">
        <v>8</v>
      </c>
      <c r="G20" s="180"/>
      <c r="H20" s="184">
        <f t="shared" si="0"/>
        <v>2680</v>
      </c>
      <c r="I20" s="184">
        <v>2700</v>
      </c>
      <c r="J20" s="180"/>
    </row>
    <row r="21" spans="1:10">
      <c r="A21" s="183"/>
      <c r="B21" s="40" t="s">
        <v>138</v>
      </c>
      <c r="C21" s="39" t="s">
        <v>58</v>
      </c>
      <c r="D21" s="40">
        <v>52</v>
      </c>
      <c r="E21" s="40">
        <f>22</f>
        <v>22</v>
      </c>
      <c r="F21" s="180"/>
      <c r="G21" s="180"/>
      <c r="H21" s="184">
        <f t="shared" si="0"/>
        <v>184</v>
      </c>
      <c r="I21" s="184">
        <v>200</v>
      </c>
      <c r="J21" s="180"/>
    </row>
    <row r="22" spans="1:10">
      <c r="A22" s="183"/>
      <c r="B22" s="40" t="s">
        <v>139</v>
      </c>
      <c r="C22" s="39" t="s">
        <v>58</v>
      </c>
      <c r="D22" s="40">
        <v>126</v>
      </c>
      <c r="E22" s="40">
        <v>30</v>
      </c>
      <c r="F22" s="180"/>
      <c r="G22" s="180"/>
      <c r="H22" s="184">
        <f t="shared" si="0"/>
        <v>306</v>
      </c>
      <c r="I22" s="184">
        <v>300</v>
      </c>
      <c r="J22" s="180"/>
    </row>
    <row r="23" spans="1:10">
      <c r="A23" s="183"/>
      <c r="B23" s="40" t="s">
        <v>140</v>
      </c>
      <c r="C23" s="39" t="s">
        <v>58</v>
      </c>
      <c r="D23" s="40">
        <f>260+8*140</f>
        <v>1380</v>
      </c>
      <c r="E23" s="40">
        <f>186</f>
        <v>186</v>
      </c>
      <c r="F23" s="180"/>
      <c r="G23" s="180"/>
      <c r="H23" s="184">
        <f t="shared" si="0"/>
        <v>2496</v>
      </c>
      <c r="I23" s="184">
        <v>2500</v>
      </c>
      <c r="J23" s="180"/>
    </row>
    <row r="24" spans="1:10">
      <c r="A24" s="183"/>
      <c r="B24" s="40" t="s">
        <v>67</v>
      </c>
      <c r="C24" s="39" t="s">
        <v>58</v>
      </c>
      <c r="D24" s="40">
        <f>260+480</f>
        <v>740</v>
      </c>
      <c r="E24" s="40">
        <f>60+180</f>
        <v>240</v>
      </c>
      <c r="F24" s="180"/>
      <c r="G24" s="180"/>
      <c r="H24" s="184">
        <f t="shared" si="0"/>
        <v>2180</v>
      </c>
      <c r="I24" s="184">
        <v>2200</v>
      </c>
      <c r="J24" s="180"/>
    </row>
    <row r="25" spans="1:10">
      <c r="A25" s="183"/>
      <c r="B25" s="40" t="s">
        <v>141</v>
      </c>
      <c r="C25" s="39" t="s">
        <v>58</v>
      </c>
      <c r="D25" s="40">
        <v>80</v>
      </c>
      <c r="E25" s="40">
        <v>10</v>
      </c>
      <c r="F25" s="180"/>
      <c r="G25" s="180"/>
      <c r="H25" s="184">
        <f t="shared" si="0"/>
        <v>140</v>
      </c>
      <c r="I25" s="184">
        <v>150</v>
      </c>
      <c r="J25" s="180"/>
    </row>
  </sheetData>
  <mergeCells count="2">
    <mergeCell ref="A1:B1"/>
    <mergeCell ref="A2:A25"/>
  </mergeCells>
  <dataValidations count="1">
    <dataValidation type="list" allowBlank="1" showInputMessage="1" showErrorMessage="1" sqref="C2:C25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28" sqref="A28:H29"/>
    </sheetView>
  </sheetViews>
  <sheetFormatPr defaultColWidth="11" defaultRowHeight="15"/>
  <cols>
    <col min="1" max="1" width="18" customWidth="1"/>
    <col min="2" max="2" width="17" customWidth="1"/>
    <col min="4" max="4" width="11.1796875" customWidth="1"/>
    <col min="9" max="10" width="13.1796875" customWidth="1"/>
  </cols>
  <sheetData>
    <row r="1" spans="1:11">
      <c r="A1" s="177" t="s">
        <v>39</v>
      </c>
      <c r="B1" s="177" t="s">
        <v>40</v>
      </c>
      <c r="C1" s="177" t="s">
        <v>41</v>
      </c>
      <c r="D1" s="177">
        <v>1</v>
      </c>
      <c r="E1" s="177">
        <v>6</v>
      </c>
      <c r="F1" s="177">
        <v>23</v>
      </c>
      <c r="G1" s="177">
        <v>58</v>
      </c>
      <c r="H1" s="177" t="s">
        <v>186</v>
      </c>
      <c r="I1" s="177" t="s">
        <v>187</v>
      </c>
      <c r="J1" s="177" t="s">
        <v>187</v>
      </c>
      <c r="K1" s="177" t="s">
        <v>80</v>
      </c>
    </row>
    <row r="2" spans="1:11">
      <c r="A2" s="178" t="s">
        <v>84</v>
      </c>
      <c r="B2" s="179" t="s">
        <v>193</v>
      </c>
      <c r="C2" s="45" t="s">
        <v>194</v>
      </c>
      <c r="D2" s="45">
        <f>0.24*18</f>
        <v>4.32</v>
      </c>
      <c r="E2" s="45">
        <f>30*0.24</f>
        <v>7.2</v>
      </c>
      <c r="F2" s="45">
        <f>2*0.24</f>
        <v>0.48</v>
      </c>
      <c r="G2" s="180"/>
      <c r="H2" s="45">
        <f>D2*$D$1+E2*$E$1+F2*$F$1</f>
        <v>58.56</v>
      </c>
      <c r="I2" s="45">
        <f>ROUND(H2,0)</f>
        <v>59</v>
      </c>
      <c r="J2" s="45">
        <v>60</v>
      </c>
      <c r="K2" s="180"/>
    </row>
    <row r="3" spans="1:11">
      <c r="A3" s="181"/>
      <c r="B3" s="179" t="s">
        <v>195</v>
      </c>
      <c r="C3" s="45" t="s">
        <v>194</v>
      </c>
      <c r="D3" s="45">
        <v>1</v>
      </c>
      <c r="E3" s="45"/>
      <c r="F3" s="180"/>
      <c r="G3" s="180"/>
      <c r="H3" s="45">
        <f t="shared" ref="H3:H25" si="0">D3*$D$1+E3*$E$1+F3*$F$1</f>
        <v>1</v>
      </c>
      <c r="I3" s="45">
        <f t="shared" ref="I3:J25" si="1">ROUND(H3,0)</f>
        <v>1</v>
      </c>
      <c r="J3" s="45">
        <f t="shared" si="1"/>
        <v>1</v>
      </c>
      <c r="K3" s="180"/>
    </row>
    <row r="4" spans="1:11">
      <c r="A4" s="181"/>
      <c r="B4" s="179" t="s">
        <v>196</v>
      </c>
      <c r="C4" s="45" t="s">
        <v>197</v>
      </c>
      <c r="D4" s="45">
        <v>10</v>
      </c>
      <c r="E4" s="45"/>
      <c r="F4" s="180"/>
      <c r="G4" s="180"/>
      <c r="H4" s="45">
        <f t="shared" si="0"/>
        <v>10</v>
      </c>
      <c r="I4" s="45">
        <f t="shared" si="1"/>
        <v>10</v>
      </c>
      <c r="J4" s="45">
        <f t="shared" si="1"/>
        <v>10</v>
      </c>
      <c r="K4" s="180"/>
    </row>
    <row r="5" spans="1:11">
      <c r="A5" s="181"/>
      <c r="B5" s="179" t="s">
        <v>198</v>
      </c>
      <c r="C5" s="45" t="s">
        <v>194</v>
      </c>
      <c r="D5" s="45">
        <v>4.56</v>
      </c>
      <c r="E5" s="45">
        <f>30*0.06</f>
        <v>1.8</v>
      </c>
      <c r="F5" s="45">
        <f>6*0.06</f>
        <v>0.36</v>
      </c>
      <c r="G5" s="180"/>
      <c r="H5" s="45">
        <f t="shared" si="0"/>
        <v>23.64</v>
      </c>
      <c r="I5" s="45">
        <f t="shared" si="1"/>
        <v>24</v>
      </c>
      <c r="J5" s="45">
        <v>30</v>
      </c>
      <c r="K5" s="180"/>
    </row>
    <row r="6" spans="1:11">
      <c r="A6" s="181"/>
      <c r="B6" s="179" t="s">
        <v>199</v>
      </c>
      <c r="C6" s="45" t="s">
        <v>197</v>
      </c>
      <c r="D6" s="45">
        <v>339</v>
      </c>
      <c r="E6" s="45"/>
      <c r="F6" s="180"/>
      <c r="G6" s="180"/>
      <c r="H6" s="45">
        <f t="shared" si="0"/>
        <v>339</v>
      </c>
      <c r="I6" s="45">
        <f t="shared" si="1"/>
        <v>339</v>
      </c>
      <c r="J6" s="45">
        <v>350</v>
      </c>
      <c r="K6" s="180"/>
    </row>
    <row r="7" spans="1:11">
      <c r="A7" s="181"/>
      <c r="B7" s="179" t="s">
        <v>200</v>
      </c>
      <c r="C7" s="45" t="s">
        <v>194</v>
      </c>
      <c r="D7" s="45">
        <f>0.3*84</f>
        <v>25.2</v>
      </c>
      <c r="E7" s="45"/>
      <c r="F7" s="180"/>
      <c r="G7" s="180"/>
      <c r="H7" s="45">
        <f t="shared" si="0"/>
        <v>25.2</v>
      </c>
      <c r="I7" s="45">
        <f t="shared" si="1"/>
        <v>25</v>
      </c>
      <c r="J7" s="45">
        <f t="shared" si="1"/>
        <v>25</v>
      </c>
      <c r="K7" s="180"/>
    </row>
    <row r="8" spans="1:11">
      <c r="A8" s="181"/>
      <c r="B8" s="179" t="s">
        <v>201</v>
      </c>
      <c r="C8" s="45" t="s">
        <v>202</v>
      </c>
      <c r="D8" s="45">
        <v>284</v>
      </c>
      <c r="E8" s="45"/>
      <c r="F8" s="180"/>
      <c r="G8" s="180"/>
      <c r="H8" s="45">
        <f t="shared" si="0"/>
        <v>284</v>
      </c>
      <c r="I8" s="45">
        <f t="shared" si="1"/>
        <v>284</v>
      </c>
      <c r="J8" s="45">
        <v>300</v>
      </c>
      <c r="K8" s="180"/>
    </row>
    <row r="9" spans="1:11">
      <c r="A9" s="181"/>
      <c r="B9" s="179" t="s">
        <v>203</v>
      </c>
      <c r="C9" s="45" t="s">
        <v>202</v>
      </c>
      <c r="D9" s="45">
        <v>1</v>
      </c>
      <c r="E9" s="45"/>
      <c r="F9" s="180"/>
      <c r="G9" s="180"/>
      <c r="H9" s="45">
        <f t="shared" si="0"/>
        <v>1</v>
      </c>
      <c r="I9" s="45">
        <f t="shared" si="1"/>
        <v>1</v>
      </c>
      <c r="J9" s="45">
        <f t="shared" si="1"/>
        <v>1</v>
      </c>
      <c r="K9" s="180"/>
    </row>
    <row r="10" spans="1:11">
      <c r="A10" s="181"/>
      <c r="B10" s="179" t="s">
        <v>204</v>
      </c>
      <c r="C10" s="45" t="s">
        <v>205</v>
      </c>
      <c r="D10" s="45">
        <v>1</v>
      </c>
      <c r="E10" s="45"/>
      <c r="F10" s="180"/>
      <c r="G10" s="180"/>
      <c r="H10" s="45">
        <f t="shared" si="0"/>
        <v>1</v>
      </c>
      <c r="I10" s="45">
        <f t="shared" si="1"/>
        <v>1</v>
      </c>
      <c r="J10" s="45">
        <f t="shared" si="1"/>
        <v>1</v>
      </c>
      <c r="K10" s="180"/>
    </row>
    <row r="11" spans="1:11">
      <c r="A11" s="181"/>
      <c r="B11" s="179" t="s">
        <v>206</v>
      </c>
      <c r="C11" s="45" t="s">
        <v>207</v>
      </c>
      <c r="D11" s="45">
        <v>16</v>
      </c>
      <c r="E11" s="45"/>
      <c r="F11" s="180"/>
      <c r="G11" s="180"/>
      <c r="H11" s="45">
        <f t="shared" si="0"/>
        <v>16</v>
      </c>
      <c r="I11" s="45">
        <f t="shared" si="1"/>
        <v>16</v>
      </c>
      <c r="J11" s="45">
        <f t="shared" si="1"/>
        <v>16</v>
      </c>
      <c r="K11" s="180"/>
    </row>
    <row r="12" spans="1:11">
      <c r="A12" s="181"/>
      <c r="B12" s="179" t="s">
        <v>208</v>
      </c>
      <c r="C12" s="45" t="s">
        <v>197</v>
      </c>
      <c r="D12" s="45">
        <v>429</v>
      </c>
      <c r="E12" s="45"/>
      <c r="F12" s="180"/>
      <c r="G12" s="180"/>
      <c r="H12" s="45">
        <f t="shared" si="0"/>
        <v>429</v>
      </c>
      <c r="I12" s="45">
        <f t="shared" si="1"/>
        <v>429</v>
      </c>
      <c r="J12" s="45">
        <v>450</v>
      </c>
      <c r="K12" s="180"/>
    </row>
    <row r="13" spans="1:11">
      <c r="A13" s="181"/>
      <c r="B13" s="179" t="s">
        <v>209</v>
      </c>
      <c r="C13" s="45" t="s">
        <v>197</v>
      </c>
      <c r="D13" s="45">
        <v>429</v>
      </c>
      <c r="E13" s="45"/>
      <c r="F13" s="180"/>
      <c r="G13" s="180"/>
      <c r="H13" s="45">
        <f t="shared" si="0"/>
        <v>429</v>
      </c>
      <c r="I13" s="45">
        <f t="shared" si="1"/>
        <v>429</v>
      </c>
      <c r="J13" s="45">
        <v>450</v>
      </c>
      <c r="K13" s="180"/>
    </row>
    <row r="14" spans="1:11">
      <c r="A14" s="181"/>
      <c r="B14" s="179" t="s">
        <v>175</v>
      </c>
      <c r="C14" s="45" t="s">
        <v>117</v>
      </c>
      <c r="D14" s="45">
        <v>1</v>
      </c>
      <c r="E14" s="45"/>
      <c r="F14" s="180"/>
      <c r="G14" s="180"/>
      <c r="H14" s="45">
        <f t="shared" si="0"/>
        <v>1</v>
      </c>
      <c r="I14" s="45">
        <f t="shared" si="1"/>
        <v>1</v>
      </c>
      <c r="J14" s="45">
        <f t="shared" si="1"/>
        <v>1</v>
      </c>
      <c r="K14" s="180"/>
    </row>
    <row r="15" spans="1:11">
      <c r="A15" s="181"/>
      <c r="B15" s="179" t="s">
        <v>176</v>
      </c>
      <c r="C15" s="45" t="s">
        <v>117</v>
      </c>
      <c r="D15" s="45">
        <v>1</v>
      </c>
      <c r="E15" s="45"/>
      <c r="F15" s="180"/>
      <c r="G15" s="180"/>
      <c r="H15" s="45">
        <f t="shared" si="0"/>
        <v>1</v>
      </c>
      <c r="I15" s="45">
        <f t="shared" si="1"/>
        <v>1</v>
      </c>
      <c r="J15" s="45">
        <f t="shared" si="1"/>
        <v>1</v>
      </c>
      <c r="K15" s="180"/>
    </row>
    <row r="16" spans="1:11">
      <c r="A16" s="181"/>
      <c r="B16" s="179" t="s">
        <v>170</v>
      </c>
      <c r="C16" s="45" t="s">
        <v>51</v>
      </c>
      <c r="D16" s="45">
        <v>5000</v>
      </c>
      <c r="E16" s="45">
        <v>1300</v>
      </c>
      <c r="F16" s="180"/>
      <c r="G16" s="180"/>
      <c r="H16" s="45">
        <f t="shared" si="0"/>
        <v>12800</v>
      </c>
      <c r="I16" s="45">
        <f t="shared" si="1"/>
        <v>12800</v>
      </c>
      <c r="J16" s="45">
        <v>13000</v>
      </c>
      <c r="K16" s="180"/>
    </row>
    <row r="17" spans="1:11">
      <c r="A17" s="181"/>
      <c r="B17" s="179" t="s">
        <v>171</v>
      </c>
      <c r="C17" s="45" t="s">
        <v>210</v>
      </c>
      <c r="D17" s="45">
        <v>200</v>
      </c>
      <c r="E17" s="45"/>
      <c r="F17" s="180"/>
      <c r="G17" s="180"/>
      <c r="H17" s="45">
        <f t="shared" si="0"/>
        <v>200</v>
      </c>
      <c r="I17" s="45">
        <f t="shared" si="1"/>
        <v>200</v>
      </c>
      <c r="J17" s="45">
        <f t="shared" si="1"/>
        <v>200</v>
      </c>
      <c r="K17" s="180"/>
    </row>
    <row r="18" spans="1:11">
      <c r="A18" s="181"/>
      <c r="B18" s="179" t="s">
        <v>211</v>
      </c>
      <c r="C18" s="45" t="s">
        <v>194</v>
      </c>
      <c r="D18" s="45">
        <v>15</v>
      </c>
      <c r="E18" s="45"/>
      <c r="F18" s="180"/>
      <c r="G18" s="180"/>
      <c r="H18" s="45">
        <f t="shared" si="0"/>
        <v>15</v>
      </c>
      <c r="I18" s="45">
        <f t="shared" si="1"/>
        <v>15</v>
      </c>
      <c r="J18" s="45">
        <f t="shared" si="1"/>
        <v>15</v>
      </c>
      <c r="K18" s="180"/>
    </row>
    <row r="19" spans="1:11">
      <c r="A19" s="181"/>
      <c r="B19" s="179" t="s">
        <v>212</v>
      </c>
      <c r="C19" s="45" t="s">
        <v>213</v>
      </c>
      <c r="D19" s="45">
        <v>10</v>
      </c>
      <c r="E19" s="45"/>
      <c r="F19" s="180"/>
      <c r="G19" s="180"/>
      <c r="H19" s="45">
        <f t="shared" si="0"/>
        <v>10</v>
      </c>
      <c r="I19" s="45">
        <f t="shared" si="1"/>
        <v>10</v>
      </c>
      <c r="J19" s="45">
        <f t="shared" si="1"/>
        <v>10</v>
      </c>
      <c r="K19" s="180"/>
    </row>
    <row r="20" spans="1:11">
      <c r="A20" s="181"/>
      <c r="B20" s="179" t="s">
        <v>214</v>
      </c>
      <c r="C20" s="45" t="s">
        <v>213</v>
      </c>
      <c r="D20" s="45">
        <v>10</v>
      </c>
      <c r="E20" s="45"/>
      <c r="F20" s="180"/>
      <c r="G20" s="180"/>
      <c r="H20" s="45">
        <f t="shared" si="0"/>
        <v>10</v>
      </c>
      <c r="I20" s="45">
        <f t="shared" si="1"/>
        <v>10</v>
      </c>
      <c r="J20" s="45">
        <f t="shared" si="1"/>
        <v>10</v>
      </c>
      <c r="K20" s="180"/>
    </row>
    <row r="21" spans="1:11">
      <c r="A21" s="181"/>
      <c r="B21" s="179" t="s">
        <v>215</v>
      </c>
      <c r="C21" s="45" t="s">
        <v>213</v>
      </c>
      <c r="D21" s="45">
        <v>2</v>
      </c>
      <c r="E21" s="45"/>
      <c r="F21" s="180"/>
      <c r="G21" s="180"/>
      <c r="H21" s="45">
        <f t="shared" si="0"/>
        <v>2</v>
      </c>
      <c r="I21" s="45">
        <f t="shared" si="1"/>
        <v>2</v>
      </c>
      <c r="J21" s="45">
        <f t="shared" si="1"/>
        <v>2</v>
      </c>
      <c r="K21" s="180"/>
    </row>
    <row r="22" spans="1:11">
      <c r="A22" s="181"/>
      <c r="B22" s="179" t="s">
        <v>216</v>
      </c>
      <c r="C22" s="45" t="s">
        <v>213</v>
      </c>
      <c r="D22" s="45">
        <v>5</v>
      </c>
      <c r="E22" s="45"/>
      <c r="F22" s="180"/>
      <c r="G22" s="180"/>
      <c r="H22" s="45">
        <f t="shared" si="0"/>
        <v>5</v>
      </c>
      <c r="I22" s="45">
        <f t="shared" si="1"/>
        <v>5</v>
      </c>
      <c r="J22" s="45">
        <f t="shared" si="1"/>
        <v>5</v>
      </c>
      <c r="K22" s="180"/>
    </row>
    <row r="23" spans="1:11">
      <c r="A23" s="181"/>
      <c r="B23" s="179" t="s">
        <v>217</v>
      </c>
      <c r="C23" s="45" t="s">
        <v>194</v>
      </c>
      <c r="D23" s="45">
        <v>20</v>
      </c>
      <c r="E23" s="45"/>
      <c r="F23" s="180"/>
      <c r="G23" s="180"/>
      <c r="H23" s="45">
        <f t="shared" si="0"/>
        <v>20</v>
      </c>
      <c r="I23" s="45">
        <f t="shared" si="1"/>
        <v>20</v>
      </c>
      <c r="J23" s="45">
        <f t="shared" si="1"/>
        <v>20</v>
      </c>
      <c r="K23" s="180"/>
    </row>
    <row r="24" spans="1:11">
      <c r="A24" s="181"/>
      <c r="B24" s="179" t="s">
        <v>218</v>
      </c>
      <c r="C24" s="45" t="s">
        <v>117</v>
      </c>
      <c r="D24" s="45">
        <v>10000</v>
      </c>
      <c r="E24" s="45">
        <v>5000</v>
      </c>
      <c r="F24" s="180"/>
      <c r="G24" s="180"/>
      <c r="H24" s="45">
        <f t="shared" si="0"/>
        <v>40000</v>
      </c>
      <c r="I24" s="45">
        <f t="shared" si="1"/>
        <v>40000</v>
      </c>
      <c r="J24" s="45">
        <f t="shared" si="1"/>
        <v>40000</v>
      </c>
      <c r="K24" s="180"/>
    </row>
    <row r="25" spans="1:11">
      <c r="A25" s="182"/>
      <c r="B25" s="179" t="s">
        <v>174</v>
      </c>
      <c r="C25" s="45" t="s">
        <v>117</v>
      </c>
      <c r="D25" s="45">
        <v>5000</v>
      </c>
      <c r="E25" s="45"/>
      <c r="F25" s="180"/>
      <c r="G25" s="180"/>
      <c r="H25" s="45">
        <f t="shared" si="0"/>
        <v>5000</v>
      </c>
      <c r="I25" s="45">
        <f t="shared" si="1"/>
        <v>5000</v>
      </c>
      <c r="J25" s="45">
        <f t="shared" si="1"/>
        <v>5000</v>
      </c>
      <c r="K25" s="180"/>
    </row>
  </sheetData>
  <mergeCells count="1">
    <mergeCell ref="A2:A2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opLeftCell="A99" workbookViewId="0">
      <selection activeCell="A28" sqref="A28:H29"/>
    </sheetView>
  </sheetViews>
  <sheetFormatPr defaultColWidth="11" defaultRowHeight="15" outlineLevelCol="6"/>
  <cols>
    <col min="2" max="2" width="61.6484375" customWidth="1"/>
    <col min="5" max="5" width="16" customWidth="1"/>
    <col min="7" max="7" width="23.3515625" customWidth="1"/>
  </cols>
  <sheetData>
    <row r="1" ht="17.6" spans="1:7">
      <c r="A1" s="126" t="s">
        <v>219</v>
      </c>
      <c r="B1" s="127"/>
      <c r="C1" s="128"/>
      <c r="D1" s="128"/>
      <c r="E1" s="128"/>
      <c r="F1" s="128"/>
      <c r="G1" s="127"/>
    </row>
    <row r="2" spans="1:7">
      <c r="A2" s="129" t="s">
        <v>220</v>
      </c>
      <c r="B2" s="130" t="s">
        <v>39</v>
      </c>
      <c r="C2" s="129" t="s">
        <v>5</v>
      </c>
      <c r="D2" s="129" t="s">
        <v>221</v>
      </c>
      <c r="E2" s="129" t="s">
        <v>42</v>
      </c>
      <c r="F2" s="129" t="s">
        <v>6</v>
      </c>
      <c r="G2" s="130" t="s">
        <v>7</v>
      </c>
    </row>
    <row r="3" spans="1:7">
      <c r="A3" s="131"/>
      <c r="B3" s="132" t="s">
        <v>222</v>
      </c>
      <c r="C3" s="133"/>
      <c r="D3" s="133"/>
      <c r="E3" s="133"/>
      <c r="F3" s="133"/>
      <c r="G3" s="134"/>
    </row>
    <row r="4" ht="22.5" spans="1:7">
      <c r="A4" s="135">
        <v>1</v>
      </c>
      <c r="B4" s="136" t="s">
        <v>223</v>
      </c>
      <c r="C4" s="135" t="e">
        <f>[1]各人群统表!D2</f>
        <v>#REF!</v>
      </c>
      <c r="D4" s="135">
        <v>2</v>
      </c>
      <c r="E4" s="137">
        <v>3500</v>
      </c>
      <c r="F4" s="138" t="e">
        <f t="shared" ref="F4:F10" si="0">C4*D4*E4</f>
        <v>#REF!</v>
      </c>
      <c r="G4" s="139" t="s">
        <v>224</v>
      </c>
    </row>
    <row r="5" ht="22.5" spans="1:7">
      <c r="A5" s="135">
        <v>2</v>
      </c>
      <c r="B5" s="136" t="s">
        <v>225</v>
      </c>
      <c r="C5" s="135" t="e">
        <f>[1]各人群统表!C3/2</f>
        <v>#REF!</v>
      </c>
      <c r="D5" s="135">
        <v>2</v>
      </c>
      <c r="E5" s="137">
        <v>3500</v>
      </c>
      <c r="F5" s="138" t="e">
        <f t="shared" si="0"/>
        <v>#REF!</v>
      </c>
      <c r="G5" s="139" t="s">
        <v>224</v>
      </c>
    </row>
    <row r="6" ht="22.5" spans="1:7">
      <c r="A6" s="135">
        <v>3</v>
      </c>
      <c r="B6" s="136" t="s">
        <v>226</v>
      </c>
      <c r="C6" s="135" t="e">
        <f>[1]各人群统表!C3/2</f>
        <v>#REF!</v>
      </c>
      <c r="D6" s="135">
        <v>2</v>
      </c>
      <c r="E6" s="137">
        <v>1735</v>
      </c>
      <c r="F6" s="138" t="e">
        <f t="shared" si="0"/>
        <v>#REF!</v>
      </c>
      <c r="G6" s="140" t="s">
        <v>227</v>
      </c>
    </row>
    <row r="7" ht="22.9" spans="1:7">
      <c r="A7" s="135">
        <v>4</v>
      </c>
      <c r="B7" s="136" t="s">
        <v>228</v>
      </c>
      <c r="C7" s="135" t="e">
        <f>(SUM([1]各人群统表!C4:C18)+1)/2</f>
        <v>#REF!</v>
      </c>
      <c r="D7" s="135">
        <v>2</v>
      </c>
      <c r="E7" s="137">
        <v>1285</v>
      </c>
      <c r="F7" s="138" t="e">
        <f t="shared" si="0"/>
        <v>#REF!</v>
      </c>
      <c r="G7" s="139" t="s">
        <v>229</v>
      </c>
    </row>
    <row r="8" ht="22.5" spans="1:7">
      <c r="A8" s="135">
        <v>5</v>
      </c>
      <c r="B8" s="136" t="s">
        <v>230</v>
      </c>
      <c r="C8" s="135" t="e">
        <f>(SUM([1]各人群统表!C4:C18)-1)/2</f>
        <v>#REF!</v>
      </c>
      <c r="D8" s="135">
        <v>2</v>
      </c>
      <c r="E8" s="137">
        <v>445</v>
      </c>
      <c r="F8" s="138" t="e">
        <f t="shared" si="0"/>
        <v>#REF!</v>
      </c>
      <c r="G8" s="140" t="s">
        <v>231</v>
      </c>
    </row>
    <row r="9" ht="32" customHeight="1" spans="1:7">
      <c r="A9" s="135">
        <v>6</v>
      </c>
      <c r="B9" s="136" t="s">
        <v>232</v>
      </c>
      <c r="C9" s="135" t="e">
        <f>C6+C8</f>
        <v>#REF!</v>
      </c>
      <c r="D9" s="135">
        <v>2</v>
      </c>
      <c r="E9" s="137">
        <v>30</v>
      </c>
      <c r="F9" s="138" t="e">
        <f t="shared" si="0"/>
        <v>#REF!</v>
      </c>
      <c r="G9" s="140"/>
    </row>
    <row r="10" spans="1:7">
      <c r="A10" s="135">
        <v>7</v>
      </c>
      <c r="B10" s="136" t="s">
        <v>233</v>
      </c>
      <c r="C10" s="135">
        <v>1</v>
      </c>
      <c r="D10" s="135">
        <v>1</v>
      </c>
      <c r="E10" s="137">
        <v>20000</v>
      </c>
      <c r="F10" s="138">
        <f t="shared" si="0"/>
        <v>20000</v>
      </c>
      <c r="G10" s="136" t="s">
        <v>234</v>
      </c>
    </row>
    <row r="11" spans="1:7">
      <c r="A11" s="141" t="s">
        <v>235</v>
      </c>
      <c r="B11" s="141"/>
      <c r="C11" s="141"/>
      <c r="D11" s="141"/>
      <c r="E11" s="141"/>
      <c r="F11" s="142" t="e">
        <f>SUM(F4:F10)*0.7</f>
        <v>#REF!</v>
      </c>
      <c r="G11" s="143"/>
    </row>
    <row r="12" spans="1:7">
      <c r="A12" s="133"/>
      <c r="B12" s="132" t="s">
        <v>79</v>
      </c>
      <c r="C12" s="133"/>
      <c r="D12" s="133"/>
      <c r="E12" s="133"/>
      <c r="F12" s="133"/>
      <c r="G12" s="134"/>
    </row>
    <row r="13" spans="1:7">
      <c r="A13" s="135">
        <v>1</v>
      </c>
      <c r="B13" s="144" t="s">
        <v>236</v>
      </c>
      <c r="C13" s="135">
        <v>1</v>
      </c>
      <c r="D13" s="135">
        <v>5</v>
      </c>
      <c r="E13" s="137">
        <v>30000</v>
      </c>
      <c r="F13" s="138">
        <f>C13*D13*E13</f>
        <v>150000</v>
      </c>
      <c r="G13" s="136" t="s">
        <v>237</v>
      </c>
    </row>
    <row r="14" spans="1:7">
      <c r="A14" s="135">
        <v>2</v>
      </c>
      <c r="B14" s="145" t="s">
        <v>238</v>
      </c>
      <c r="C14" s="135">
        <v>1</v>
      </c>
      <c r="D14" s="135">
        <v>5</v>
      </c>
      <c r="E14" s="137">
        <v>20000</v>
      </c>
      <c r="F14" s="138">
        <f t="shared" ref="F14:F21" si="1">C14*D14*E14</f>
        <v>100000</v>
      </c>
      <c r="G14" s="136"/>
    </row>
    <row r="15" spans="1:7">
      <c r="A15" s="135">
        <v>3</v>
      </c>
      <c r="B15" s="144" t="s">
        <v>239</v>
      </c>
      <c r="C15" s="135">
        <v>15</v>
      </c>
      <c r="D15" s="135">
        <v>6</v>
      </c>
      <c r="E15" s="137">
        <v>3280</v>
      </c>
      <c r="F15" s="138">
        <f t="shared" si="1"/>
        <v>295200</v>
      </c>
      <c r="G15" s="136" t="s">
        <v>237</v>
      </c>
    </row>
    <row r="16" spans="1:7">
      <c r="A16" s="135">
        <v>4</v>
      </c>
      <c r="B16" s="146" t="s">
        <v>240</v>
      </c>
      <c r="C16" s="135">
        <v>17</v>
      </c>
      <c r="D16" s="135">
        <v>6</v>
      </c>
      <c r="E16" s="137">
        <v>3250</v>
      </c>
      <c r="F16" s="138">
        <f t="shared" si="1"/>
        <v>331500</v>
      </c>
      <c r="G16" s="136"/>
    </row>
    <row r="17" spans="1:7">
      <c r="A17" s="135">
        <v>5</v>
      </c>
      <c r="B17" s="145" t="s">
        <v>241</v>
      </c>
      <c r="C17" s="135">
        <v>1</v>
      </c>
      <c r="D17" s="135">
        <v>5</v>
      </c>
      <c r="E17" s="137">
        <v>1500</v>
      </c>
      <c r="F17" s="138">
        <f t="shared" si="1"/>
        <v>7500</v>
      </c>
      <c r="G17" s="136"/>
    </row>
    <row r="18" spans="1:7">
      <c r="A18" s="135">
        <v>6</v>
      </c>
      <c r="B18" s="144" t="s">
        <v>242</v>
      </c>
      <c r="C18" s="147">
        <v>25</v>
      </c>
      <c r="D18" s="135">
        <v>4</v>
      </c>
      <c r="E18" s="137">
        <v>1500</v>
      </c>
      <c r="F18" s="138">
        <f t="shared" si="1"/>
        <v>150000</v>
      </c>
      <c r="G18" s="136"/>
    </row>
    <row r="19" spans="1:7">
      <c r="A19" s="135">
        <v>7</v>
      </c>
      <c r="B19" s="144" t="s">
        <v>242</v>
      </c>
      <c r="C19" s="135">
        <v>15</v>
      </c>
      <c r="D19" s="135">
        <v>6</v>
      </c>
      <c r="E19" s="137">
        <v>1500</v>
      </c>
      <c r="F19" s="138">
        <f t="shared" si="1"/>
        <v>135000</v>
      </c>
      <c r="G19" s="136"/>
    </row>
    <row r="20" spans="1:7">
      <c r="A20" s="135">
        <v>8</v>
      </c>
      <c r="B20" s="146" t="s">
        <v>243</v>
      </c>
      <c r="C20" s="135">
        <v>44</v>
      </c>
      <c r="D20" s="135">
        <v>6</v>
      </c>
      <c r="E20" s="137">
        <v>1450</v>
      </c>
      <c r="F20" s="138">
        <f t="shared" si="1"/>
        <v>382800</v>
      </c>
      <c r="G20" s="136"/>
    </row>
    <row r="21" spans="1:7">
      <c r="A21" s="135">
        <v>9</v>
      </c>
      <c r="B21" s="146" t="s">
        <v>243</v>
      </c>
      <c r="C21" s="135">
        <v>137</v>
      </c>
      <c r="D21" s="135">
        <v>3</v>
      </c>
      <c r="E21" s="137">
        <v>1450</v>
      </c>
      <c r="F21" s="138">
        <f t="shared" si="1"/>
        <v>595950</v>
      </c>
      <c r="G21" s="136"/>
    </row>
    <row r="22" spans="1:7">
      <c r="A22" s="135"/>
      <c r="B22" s="146" t="s">
        <v>244</v>
      </c>
      <c r="C22" s="135">
        <v>17</v>
      </c>
      <c r="D22" s="135">
        <v>6</v>
      </c>
      <c r="E22" s="137">
        <v>1450</v>
      </c>
      <c r="F22" s="138">
        <f t="shared" ref="F22:F27" si="2">C22*D22*E22</f>
        <v>147900</v>
      </c>
      <c r="G22" s="136"/>
    </row>
    <row r="23" spans="1:7">
      <c r="A23" s="135"/>
      <c r="B23" s="146" t="s">
        <v>244</v>
      </c>
      <c r="C23" s="135">
        <v>100</v>
      </c>
      <c r="D23" s="135">
        <v>3</v>
      </c>
      <c r="E23" s="137">
        <v>1450</v>
      </c>
      <c r="F23" s="138">
        <f t="shared" si="2"/>
        <v>435000</v>
      </c>
      <c r="G23" s="136"/>
    </row>
    <row r="24" spans="1:7">
      <c r="A24" s="135">
        <v>10</v>
      </c>
      <c r="B24" s="148" t="s">
        <v>245</v>
      </c>
      <c r="C24" s="149">
        <v>10</v>
      </c>
      <c r="D24" s="149">
        <v>3</v>
      </c>
      <c r="E24" s="150">
        <v>850</v>
      </c>
      <c r="F24" s="151">
        <f t="shared" si="2"/>
        <v>25500</v>
      </c>
      <c r="G24" s="136"/>
    </row>
    <row r="25" spans="1:7">
      <c r="A25" s="135">
        <v>11</v>
      </c>
      <c r="B25" s="148" t="s">
        <v>245</v>
      </c>
      <c r="C25" s="149">
        <v>10</v>
      </c>
      <c r="D25" s="149">
        <v>4</v>
      </c>
      <c r="E25" s="150">
        <v>850</v>
      </c>
      <c r="F25" s="151">
        <f t="shared" si="2"/>
        <v>34000</v>
      </c>
      <c r="G25" s="136"/>
    </row>
    <row r="26" spans="1:7">
      <c r="A26" s="135">
        <v>12</v>
      </c>
      <c r="B26" s="148" t="s">
        <v>245</v>
      </c>
      <c r="C26" s="149">
        <v>35</v>
      </c>
      <c r="D26" s="149">
        <v>6</v>
      </c>
      <c r="E26" s="150">
        <v>850</v>
      </c>
      <c r="F26" s="151">
        <f t="shared" si="2"/>
        <v>178500</v>
      </c>
      <c r="G26" s="136"/>
    </row>
    <row r="27" spans="1:7">
      <c r="A27" s="135">
        <v>13</v>
      </c>
      <c r="B27" s="136" t="s">
        <v>246</v>
      </c>
      <c r="C27" s="135">
        <f>SUM(C13:C26)</f>
        <v>428</v>
      </c>
      <c r="D27" s="135">
        <v>0</v>
      </c>
      <c r="E27" s="137">
        <v>300</v>
      </c>
      <c r="F27" s="138">
        <f t="shared" si="2"/>
        <v>0</v>
      </c>
      <c r="G27" s="136"/>
    </row>
    <row r="28" spans="1:7">
      <c r="A28" s="141" t="s">
        <v>235</v>
      </c>
      <c r="B28" s="141"/>
      <c r="C28" s="141"/>
      <c r="D28" s="141"/>
      <c r="E28" s="141"/>
      <c r="F28" s="142">
        <f>SUM(F13:F27)</f>
        <v>2968850</v>
      </c>
      <c r="G28" s="143"/>
    </row>
    <row r="29" spans="1:7">
      <c r="A29" s="133"/>
      <c r="B29" s="132" t="s">
        <v>247</v>
      </c>
      <c r="C29" s="133"/>
      <c r="D29" s="133"/>
      <c r="E29" s="133"/>
      <c r="F29" s="133"/>
      <c r="G29" s="134"/>
    </row>
    <row r="30" ht="33.75" spans="1:7">
      <c r="A30" s="135">
        <v>1</v>
      </c>
      <c r="B30" s="136" t="s">
        <v>248</v>
      </c>
      <c r="C30" s="135" t="e">
        <f>[1]各人群统表!D2</f>
        <v>#REF!</v>
      </c>
      <c r="D30" s="135">
        <v>6</v>
      </c>
      <c r="E30" s="137">
        <v>3800</v>
      </c>
      <c r="F30" s="138" t="e">
        <f t="shared" ref="F30:F42" si="3">C30*D30*E30</f>
        <v>#REF!</v>
      </c>
      <c r="G30" s="136" t="s">
        <v>249</v>
      </c>
    </row>
    <row r="31" ht="33.75" spans="1:7">
      <c r="A31" s="135">
        <v>2</v>
      </c>
      <c r="B31" s="136" t="s">
        <v>250</v>
      </c>
      <c r="C31" s="135" t="e">
        <f>[1]各人群统表!D3</f>
        <v>#REF!</v>
      </c>
      <c r="D31" s="135">
        <v>7</v>
      </c>
      <c r="E31" s="137">
        <v>1500</v>
      </c>
      <c r="F31" s="138" t="e">
        <f t="shared" si="3"/>
        <v>#REF!</v>
      </c>
      <c r="G31" s="136" t="s">
        <v>251</v>
      </c>
    </row>
    <row r="32" ht="65" customHeight="1" spans="1:7">
      <c r="A32" s="135">
        <v>3</v>
      </c>
      <c r="B32" s="152" t="s">
        <v>252</v>
      </c>
      <c r="C32" s="153" t="e">
        <f>SUM([1]各人群统表!P5:V5)*0.5</f>
        <v>#REF!</v>
      </c>
      <c r="D32" s="135">
        <v>2</v>
      </c>
      <c r="E32" s="137">
        <v>800</v>
      </c>
      <c r="F32" s="138" t="e">
        <f t="shared" si="3"/>
        <v>#REF!</v>
      </c>
      <c r="G32" s="136"/>
    </row>
    <row r="33" spans="1:7">
      <c r="A33" s="135">
        <v>4</v>
      </c>
      <c r="B33" s="154" t="s">
        <v>253</v>
      </c>
      <c r="C33" s="155">
        <v>2</v>
      </c>
      <c r="D33" s="156">
        <v>2</v>
      </c>
      <c r="E33" s="157">
        <v>1500</v>
      </c>
      <c r="F33" s="158">
        <f t="shared" si="3"/>
        <v>6000</v>
      </c>
      <c r="G33" s="136"/>
    </row>
    <row r="34" spans="1:7">
      <c r="A34" s="135">
        <v>5</v>
      </c>
      <c r="B34" s="152" t="s">
        <v>254</v>
      </c>
      <c r="C34" s="135">
        <v>1</v>
      </c>
      <c r="D34" s="135">
        <v>2</v>
      </c>
      <c r="E34" s="137">
        <v>1100</v>
      </c>
      <c r="F34" s="138">
        <f t="shared" si="3"/>
        <v>2200</v>
      </c>
      <c r="G34" s="136"/>
    </row>
    <row r="35" ht="56.25" spans="1:7">
      <c r="A35" s="135">
        <v>6</v>
      </c>
      <c r="B35" s="152" t="s">
        <v>255</v>
      </c>
      <c r="C35" s="135">
        <v>7</v>
      </c>
      <c r="D35" s="135">
        <v>5</v>
      </c>
      <c r="E35" s="137">
        <v>2800</v>
      </c>
      <c r="F35" s="138">
        <f t="shared" si="3"/>
        <v>98000</v>
      </c>
      <c r="G35" s="136" t="s">
        <v>256</v>
      </c>
    </row>
    <row r="36" ht="33.75" spans="1:7">
      <c r="A36" s="135">
        <v>7</v>
      </c>
      <c r="B36" s="152" t="s">
        <v>257</v>
      </c>
      <c r="C36" s="135">
        <v>12</v>
      </c>
      <c r="D36" s="135">
        <v>5</v>
      </c>
      <c r="E36" s="137">
        <v>1500</v>
      </c>
      <c r="F36" s="138">
        <f t="shared" si="3"/>
        <v>90000</v>
      </c>
      <c r="G36" s="136" t="s">
        <v>258</v>
      </c>
    </row>
    <row r="37" ht="33.75" spans="1:7">
      <c r="A37" s="135">
        <v>8</v>
      </c>
      <c r="B37" s="136" t="s">
        <v>259</v>
      </c>
      <c r="C37" s="135">
        <v>7</v>
      </c>
      <c r="D37" s="135">
        <v>1</v>
      </c>
      <c r="E37" s="137">
        <v>2800</v>
      </c>
      <c r="F37" s="138">
        <f t="shared" si="3"/>
        <v>19600</v>
      </c>
      <c r="G37" s="136" t="s">
        <v>260</v>
      </c>
    </row>
    <row r="38" ht="33.75" spans="1:7">
      <c r="A38" s="135">
        <v>9</v>
      </c>
      <c r="B38" s="136" t="s">
        <v>261</v>
      </c>
      <c r="C38" s="135">
        <v>14</v>
      </c>
      <c r="D38" s="135">
        <v>1</v>
      </c>
      <c r="E38" s="137">
        <v>1500</v>
      </c>
      <c r="F38" s="138">
        <f t="shared" si="3"/>
        <v>21000</v>
      </c>
      <c r="G38" s="136" t="s">
        <v>262</v>
      </c>
    </row>
    <row r="39" spans="1:7">
      <c r="A39" s="135">
        <v>10</v>
      </c>
      <c r="B39" s="136" t="s">
        <v>263</v>
      </c>
      <c r="C39" s="135">
        <v>6</v>
      </c>
      <c r="D39" s="135">
        <v>7</v>
      </c>
      <c r="E39" s="137">
        <v>1500</v>
      </c>
      <c r="F39" s="138">
        <f t="shared" si="3"/>
        <v>63000</v>
      </c>
      <c r="G39" s="136"/>
    </row>
    <row r="40" ht="22.5" spans="1:7">
      <c r="A40" s="135">
        <v>11</v>
      </c>
      <c r="B40" s="152" t="s">
        <v>264</v>
      </c>
      <c r="C40" s="135">
        <v>1</v>
      </c>
      <c r="D40" s="135">
        <v>1</v>
      </c>
      <c r="E40" s="137">
        <v>10000</v>
      </c>
      <c r="F40" s="138">
        <f t="shared" si="3"/>
        <v>10000</v>
      </c>
      <c r="G40" s="136" t="s">
        <v>265</v>
      </c>
    </row>
    <row r="41" ht="23" customHeight="1" spans="1:7">
      <c r="A41" s="135">
        <v>12</v>
      </c>
      <c r="B41" s="152" t="s">
        <v>266</v>
      </c>
      <c r="C41" s="135">
        <v>100</v>
      </c>
      <c r="D41" s="135">
        <v>4</v>
      </c>
      <c r="E41" s="137">
        <v>200</v>
      </c>
      <c r="F41" s="138">
        <f t="shared" si="3"/>
        <v>80000</v>
      </c>
      <c r="G41" s="136" t="s">
        <v>234</v>
      </c>
    </row>
    <row r="42" spans="1:7">
      <c r="A42" s="135">
        <v>13</v>
      </c>
      <c r="B42" s="152" t="s">
        <v>267</v>
      </c>
      <c r="C42" s="135">
        <v>2</v>
      </c>
      <c r="D42" s="135">
        <v>2</v>
      </c>
      <c r="E42" s="137">
        <v>600</v>
      </c>
      <c r="F42" s="138">
        <f t="shared" si="3"/>
        <v>2400</v>
      </c>
      <c r="G42" s="136" t="s">
        <v>234</v>
      </c>
    </row>
    <row r="43" spans="1:7">
      <c r="A43" s="141" t="s">
        <v>235</v>
      </c>
      <c r="B43" s="141"/>
      <c r="C43" s="141"/>
      <c r="D43" s="141"/>
      <c r="E43" s="141"/>
      <c r="F43" s="142" t="e">
        <f>SUM(F30:F42)</f>
        <v>#REF!</v>
      </c>
      <c r="G43" s="143"/>
    </row>
    <row r="44" spans="1:7">
      <c r="A44" s="133"/>
      <c r="B44" s="132" t="s">
        <v>12</v>
      </c>
      <c r="C44" s="133"/>
      <c r="D44" s="133"/>
      <c r="E44" s="133"/>
      <c r="F44" s="133"/>
      <c r="G44" s="134"/>
    </row>
    <row r="45" spans="1:7">
      <c r="A45" s="135">
        <v>1</v>
      </c>
      <c r="B45" s="136" t="s">
        <v>268</v>
      </c>
      <c r="C45" s="135" t="e">
        <f>[1]各人群统表!D2</f>
        <v>#REF!</v>
      </c>
      <c r="D45" s="135">
        <v>5</v>
      </c>
      <c r="E45" s="137">
        <v>400</v>
      </c>
      <c r="F45" s="138" t="e">
        <f>C45*D45*E45</f>
        <v>#REF!</v>
      </c>
      <c r="G45" s="136" t="s">
        <v>269</v>
      </c>
    </row>
    <row r="46" spans="1:7">
      <c r="A46" s="135">
        <v>2</v>
      </c>
      <c r="B46" s="136" t="s">
        <v>270</v>
      </c>
      <c r="C46" s="135" t="e">
        <f>[1]各人群统表!D3</f>
        <v>#REF!</v>
      </c>
      <c r="D46" s="135">
        <v>6</v>
      </c>
      <c r="E46" s="137">
        <v>400</v>
      </c>
      <c r="F46" s="138" t="e">
        <f>C46*D46*E46</f>
        <v>#REF!</v>
      </c>
      <c r="G46" s="136" t="s">
        <v>269</v>
      </c>
    </row>
    <row r="47" spans="1:7">
      <c r="A47" s="135">
        <v>3</v>
      </c>
      <c r="B47" s="136" t="s">
        <v>271</v>
      </c>
      <c r="C47" s="135" t="e">
        <f>[1]各人群统表!P5</f>
        <v>#REF!</v>
      </c>
      <c r="D47" s="135">
        <v>3</v>
      </c>
      <c r="E47" s="137">
        <v>400</v>
      </c>
      <c r="F47" s="138" t="e">
        <f t="shared" ref="F47:F56" si="4">C47*D47*E47</f>
        <v>#REF!</v>
      </c>
      <c r="G47" s="136" t="s">
        <v>269</v>
      </c>
    </row>
    <row r="48" spans="1:7">
      <c r="A48" s="135">
        <v>4</v>
      </c>
      <c r="B48" s="136" t="s">
        <v>271</v>
      </c>
      <c r="C48" s="135" t="e">
        <f>[1]各人群统表!Q5</f>
        <v>#REF!</v>
      </c>
      <c r="D48" s="135">
        <v>4</v>
      </c>
      <c r="E48" s="137">
        <v>400</v>
      </c>
      <c r="F48" s="138" t="e">
        <f t="shared" si="4"/>
        <v>#REF!</v>
      </c>
      <c r="G48" s="136" t="s">
        <v>269</v>
      </c>
    </row>
    <row r="49" spans="1:7">
      <c r="A49" s="135">
        <v>5</v>
      </c>
      <c r="B49" s="136" t="s">
        <v>271</v>
      </c>
      <c r="C49" s="135" t="e">
        <f>[1]各人群统表!R5</f>
        <v>#REF!</v>
      </c>
      <c r="D49" s="135">
        <v>5</v>
      </c>
      <c r="E49" s="137">
        <v>400</v>
      </c>
      <c r="F49" s="138" t="e">
        <f t="shared" si="4"/>
        <v>#REF!</v>
      </c>
      <c r="G49" s="136" t="s">
        <v>269</v>
      </c>
    </row>
    <row r="50" spans="1:7">
      <c r="A50" s="135">
        <v>6</v>
      </c>
      <c r="B50" s="136" t="s">
        <v>271</v>
      </c>
      <c r="C50" s="135" t="e">
        <f>[1]各人群统表!S5</f>
        <v>#REF!</v>
      </c>
      <c r="D50" s="135">
        <v>6</v>
      </c>
      <c r="E50" s="137">
        <v>400</v>
      </c>
      <c r="F50" s="138" t="e">
        <f t="shared" si="4"/>
        <v>#REF!</v>
      </c>
      <c r="G50" s="136" t="s">
        <v>269</v>
      </c>
    </row>
    <row r="51" spans="1:7">
      <c r="A51" s="135">
        <v>7</v>
      </c>
      <c r="B51" s="159" t="s">
        <v>272</v>
      </c>
      <c r="C51" s="149">
        <v>10</v>
      </c>
      <c r="D51" s="149">
        <v>3</v>
      </c>
      <c r="E51" s="150">
        <v>300</v>
      </c>
      <c r="F51" s="151">
        <f t="shared" si="4"/>
        <v>9000</v>
      </c>
      <c r="G51" s="136" t="s">
        <v>269</v>
      </c>
    </row>
    <row r="52" spans="1:7">
      <c r="A52" s="135">
        <v>8</v>
      </c>
      <c r="B52" s="159" t="s">
        <v>272</v>
      </c>
      <c r="C52" s="149">
        <v>10</v>
      </c>
      <c r="D52" s="149">
        <v>4</v>
      </c>
      <c r="E52" s="150">
        <v>300</v>
      </c>
      <c r="F52" s="151">
        <f t="shared" si="4"/>
        <v>12000</v>
      </c>
      <c r="G52" s="136" t="s">
        <v>269</v>
      </c>
    </row>
    <row r="53" spans="1:7">
      <c r="A53" s="135">
        <v>9</v>
      </c>
      <c r="B53" s="159" t="s">
        <v>272</v>
      </c>
      <c r="C53" s="149">
        <v>35</v>
      </c>
      <c r="D53" s="149">
        <v>6</v>
      </c>
      <c r="E53" s="150">
        <v>300</v>
      </c>
      <c r="F53" s="151">
        <f t="shared" si="4"/>
        <v>63000</v>
      </c>
      <c r="G53" s="136" t="s">
        <v>269</v>
      </c>
    </row>
    <row r="54" spans="1:7">
      <c r="A54" s="135">
        <v>10</v>
      </c>
      <c r="B54" s="136" t="s">
        <v>273</v>
      </c>
      <c r="C54" s="135">
        <v>215</v>
      </c>
      <c r="D54" s="135">
        <v>1</v>
      </c>
      <c r="E54" s="137">
        <v>200</v>
      </c>
      <c r="F54" s="138">
        <f t="shared" si="4"/>
        <v>43000</v>
      </c>
      <c r="G54" s="136" t="s">
        <v>274</v>
      </c>
    </row>
    <row r="55" spans="1:7">
      <c r="A55" s="135">
        <v>11</v>
      </c>
      <c r="B55" s="136" t="s">
        <v>275</v>
      </c>
      <c r="C55" s="135">
        <v>215</v>
      </c>
      <c r="D55" s="135">
        <v>1</v>
      </c>
      <c r="E55" s="137">
        <v>200</v>
      </c>
      <c r="F55" s="138">
        <f t="shared" si="4"/>
        <v>43000</v>
      </c>
      <c r="G55" s="136" t="s">
        <v>276</v>
      </c>
    </row>
    <row r="56" spans="1:7">
      <c r="A56" s="135">
        <v>12</v>
      </c>
      <c r="B56" s="136" t="s">
        <v>277</v>
      </c>
      <c r="C56" s="135">
        <v>400</v>
      </c>
      <c r="D56" s="135">
        <v>2</v>
      </c>
      <c r="E56" s="137">
        <v>100</v>
      </c>
      <c r="F56" s="138">
        <f t="shared" si="4"/>
        <v>80000</v>
      </c>
      <c r="G56" s="136"/>
    </row>
    <row r="57" spans="1:7">
      <c r="A57" s="141" t="s">
        <v>235</v>
      </c>
      <c r="B57" s="141"/>
      <c r="C57" s="141"/>
      <c r="D57" s="141"/>
      <c r="E57" s="141"/>
      <c r="F57" s="142" t="e">
        <f>SUM(F45:F56)</f>
        <v>#REF!</v>
      </c>
      <c r="G57" s="143"/>
    </row>
    <row r="58" spans="1:7">
      <c r="A58" s="133"/>
      <c r="B58" s="132" t="s">
        <v>278</v>
      </c>
      <c r="C58" s="133"/>
      <c r="D58" s="133"/>
      <c r="E58" s="133"/>
      <c r="F58" s="133"/>
      <c r="G58" s="134"/>
    </row>
    <row r="59" spans="1:7">
      <c r="A59" s="135">
        <v>1</v>
      </c>
      <c r="B59" s="136" t="s">
        <v>279</v>
      </c>
      <c r="C59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59" s="135">
        <v>1</v>
      </c>
      <c r="E59" s="137">
        <v>50</v>
      </c>
      <c r="F59" s="138" t="e">
        <f>C59*D59*E59</f>
        <v>#REF!</v>
      </c>
      <c r="G59" s="160" t="s">
        <v>280</v>
      </c>
    </row>
    <row r="60" ht="22.9" spans="1:7">
      <c r="A60" s="135">
        <v>2</v>
      </c>
      <c r="B60" s="136" t="s">
        <v>281</v>
      </c>
      <c r="C60" s="135">
        <v>2</v>
      </c>
      <c r="D60" s="135">
        <v>6</v>
      </c>
      <c r="E60" s="137">
        <v>2500</v>
      </c>
      <c r="F60" s="138">
        <f>C60*D60*E60</f>
        <v>30000</v>
      </c>
      <c r="G60" s="160" t="s">
        <v>282</v>
      </c>
    </row>
    <row r="61" spans="1:7">
      <c r="A61" s="135">
        <v>3</v>
      </c>
      <c r="B61" s="136" t="s">
        <v>283</v>
      </c>
      <c r="C61" s="135">
        <v>2</v>
      </c>
      <c r="D61" s="135">
        <v>6</v>
      </c>
      <c r="E61" s="137">
        <v>1000</v>
      </c>
      <c r="F61" s="138">
        <f>C61*D61*E61</f>
        <v>12000</v>
      </c>
      <c r="G61" s="160"/>
    </row>
    <row r="62" spans="1:7">
      <c r="A62" s="135">
        <v>4</v>
      </c>
      <c r="B62" s="136" t="s">
        <v>284</v>
      </c>
      <c r="C62" s="135">
        <v>429</v>
      </c>
      <c r="D62" s="135">
        <v>6</v>
      </c>
      <c r="E62" s="137">
        <v>4</v>
      </c>
      <c r="F62" s="138">
        <f>C62*D62*E62</f>
        <v>10296</v>
      </c>
      <c r="G62" s="136" t="s">
        <v>285</v>
      </c>
    </row>
    <row r="63" spans="1:7">
      <c r="A63" s="135">
        <v>5</v>
      </c>
      <c r="B63" s="136" t="s">
        <v>286</v>
      </c>
      <c r="C63" s="135">
        <v>2</v>
      </c>
      <c r="D63" s="135">
        <v>6</v>
      </c>
      <c r="E63" s="137">
        <v>5000</v>
      </c>
      <c r="F63" s="138">
        <f>C63*D63*E63</f>
        <v>60000</v>
      </c>
      <c r="G63" s="160"/>
    </row>
    <row r="64" spans="1:7">
      <c r="A64" s="141" t="s">
        <v>235</v>
      </c>
      <c r="B64" s="141"/>
      <c r="C64" s="141"/>
      <c r="D64" s="141"/>
      <c r="E64" s="141"/>
      <c r="F64" s="142" t="e">
        <f>SUM(F59:F63)</f>
        <v>#REF!</v>
      </c>
      <c r="G64" s="143"/>
    </row>
    <row r="65" spans="1:7">
      <c r="A65" s="133"/>
      <c r="B65" s="132" t="s">
        <v>287</v>
      </c>
      <c r="C65" s="133"/>
      <c r="D65" s="133"/>
      <c r="E65" s="133"/>
      <c r="F65" s="133"/>
      <c r="G65" s="134"/>
    </row>
    <row r="66" spans="1:7">
      <c r="A66" s="135">
        <v>1</v>
      </c>
      <c r="B66" s="136" t="s">
        <v>288</v>
      </c>
      <c r="C66" s="135">
        <v>3</v>
      </c>
      <c r="D66" s="135">
        <v>25</v>
      </c>
      <c r="E66" s="137">
        <v>800</v>
      </c>
      <c r="F66" s="138">
        <f t="shared" ref="F66:F74" si="5">C66*D66*E66</f>
        <v>60000</v>
      </c>
      <c r="G66" s="136"/>
    </row>
    <row r="67" ht="22.5" spans="1:7">
      <c r="A67" s="135">
        <v>2</v>
      </c>
      <c r="B67" s="136" t="s">
        <v>289</v>
      </c>
      <c r="C67" s="135">
        <v>23</v>
      </c>
      <c r="D67" s="135">
        <v>15</v>
      </c>
      <c r="E67" s="137">
        <v>800</v>
      </c>
      <c r="F67" s="138">
        <f t="shared" si="5"/>
        <v>276000</v>
      </c>
      <c r="G67" s="136"/>
    </row>
    <row r="68" spans="1:7">
      <c r="A68" s="135">
        <v>3</v>
      </c>
      <c r="B68" s="136" t="s">
        <v>290</v>
      </c>
      <c r="C68" s="135">
        <v>26</v>
      </c>
      <c r="D68" s="135">
        <v>10</v>
      </c>
      <c r="E68" s="137">
        <v>800</v>
      </c>
      <c r="F68" s="138">
        <f t="shared" si="5"/>
        <v>208000</v>
      </c>
      <c r="G68" s="136" t="s">
        <v>291</v>
      </c>
    </row>
    <row r="69" ht="22.5" spans="1:7">
      <c r="A69" s="135">
        <v>4</v>
      </c>
      <c r="B69" s="136" t="s">
        <v>292</v>
      </c>
      <c r="C69" s="135">
        <v>10</v>
      </c>
      <c r="D69" s="135">
        <v>12</v>
      </c>
      <c r="E69" s="137">
        <v>600</v>
      </c>
      <c r="F69" s="138">
        <f t="shared" si="5"/>
        <v>72000</v>
      </c>
      <c r="G69" s="136" t="s">
        <v>293</v>
      </c>
    </row>
    <row r="70" spans="1:7">
      <c r="A70" s="135">
        <v>5</v>
      </c>
      <c r="B70" s="136" t="s">
        <v>294</v>
      </c>
      <c r="C70" s="135">
        <v>26</v>
      </c>
      <c r="D70" s="135">
        <v>2</v>
      </c>
      <c r="E70" s="137">
        <v>1000</v>
      </c>
      <c r="F70" s="138">
        <f t="shared" si="5"/>
        <v>52000</v>
      </c>
      <c r="G70" s="136" t="s">
        <v>295</v>
      </c>
    </row>
    <row r="71" spans="1:7">
      <c r="A71" s="135">
        <v>6</v>
      </c>
      <c r="B71" s="136" t="s">
        <v>296</v>
      </c>
      <c r="C71" s="135">
        <v>14</v>
      </c>
      <c r="D71" s="135">
        <v>9</v>
      </c>
      <c r="E71" s="137">
        <v>500</v>
      </c>
      <c r="F71" s="138">
        <f t="shared" si="5"/>
        <v>63000</v>
      </c>
      <c r="G71" s="136" t="s">
        <v>297</v>
      </c>
    </row>
    <row r="72" ht="22.5" spans="1:7">
      <c r="A72" s="135">
        <v>7</v>
      </c>
      <c r="B72" s="136" t="s">
        <v>298</v>
      </c>
      <c r="C72" s="135">
        <v>26</v>
      </c>
      <c r="D72" s="135">
        <v>10</v>
      </c>
      <c r="E72" s="137">
        <v>60</v>
      </c>
      <c r="F72" s="138">
        <f t="shared" si="5"/>
        <v>15600</v>
      </c>
      <c r="G72" s="136" t="s">
        <v>299</v>
      </c>
    </row>
    <row r="73" spans="1:7">
      <c r="A73" s="135">
        <v>8</v>
      </c>
      <c r="B73" s="136" t="s">
        <v>300</v>
      </c>
      <c r="C73" s="135">
        <v>26</v>
      </c>
      <c r="D73" s="135">
        <v>10</v>
      </c>
      <c r="E73" s="137">
        <v>80</v>
      </c>
      <c r="F73" s="138">
        <f t="shared" si="5"/>
        <v>20800</v>
      </c>
      <c r="G73" s="136" t="s">
        <v>295</v>
      </c>
    </row>
    <row r="74" spans="1:7">
      <c r="A74" s="135">
        <v>9</v>
      </c>
      <c r="B74" s="136" t="s">
        <v>301</v>
      </c>
      <c r="C74" s="135">
        <v>26</v>
      </c>
      <c r="D74" s="135">
        <v>10</v>
      </c>
      <c r="E74" s="137">
        <v>100</v>
      </c>
      <c r="F74" s="138">
        <f t="shared" si="5"/>
        <v>26000</v>
      </c>
      <c r="G74" s="136" t="s">
        <v>295</v>
      </c>
    </row>
    <row r="75" spans="1:7">
      <c r="A75" s="141" t="s">
        <v>235</v>
      </c>
      <c r="B75" s="141"/>
      <c r="C75" s="141"/>
      <c r="D75" s="141"/>
      <c r="E75" s="141"/>
      <c r="F75" s="142">
        <f>SUM(F66:F74)</f>
        <v>793400</v>
      </c>
      <c r="G75" s="143"/>
    </row>
    <row r="76" spans="1:7">
      <c r="A76" s="133"/>
      <c r="B76" s="132" t="s">
        <v>302</v>
      </c>
      <c r="C76" s="133"/>
      <c r="D76" s="133"/>
      <c r="E76" s="133"/>
      <c r="F76" s="133"/>
      <c r="G76" s="134"/>
    </row>
    <row r="77" ht="22.5" spans="1:7">
      <c r="A77" s="135">
        <v>1</v>
      </c>
      <c r="B77" s="136" t="s">
        <v>303</v>
      </c>
      <c r="C77" s="135">
        <v>2</v>
      </c>
      <c r="D77" s="135">
        <v>10</v>
      </c>
      <c r="E77" s="137">
        <v>800</v>
      </c>
      <c r="F77" s="138">
        <f>C77*D77*E77</f>
        <v>16000</v>
      </c>
      <c r="G77" s="136" t="s">
        <v>304</v>
      </c>
    </row>
    <row r="78" ht="56.25" spans="1:7">
      <c r="A78" s="135">
        <v>8</v>
      </c>
      <c r="B78" s="136" t="s">
        <v>305</v>
      </c>
      <c r="C78" s="135">
        <v>81</v>
      </c>
      <c r="D78" s="135">
        <v>1</v>
      </c>
      <c r="E78" s="137">
        <v>600</v>
      </c>
      <c r="F78" s="138">
        <f t="shared" ref="F78:F96" si="6">C78*D78*E78</f>
        <v>48600</v>
      </c>
      <c r="G78" s="136" t="s">
        <v>306</v>
      </c>
    </row>
    <row r="79" ht="45" spans="1:7">
      <c r="A79" s="135">
        <v>9</v>
      </c>
      <c r="B79" s="136" t="s">
        <v>307</v>
      </c>
      <c r="C79" s="135" t="e">
        <f>[1]第三方人员明细表!M10</f>
        <v>#REF!</v>
      </c>
      <c r="D79" s="135">
        <v>1</v>
      </c>
      <c r="E79" s="137">
        <v>1000</v>
      </c>
      <c r="F79" s="138" t="e">
        <f t="shared" si="6"/>
        <v>#REF!</v>
      </c>
      <c r="G79" s="136" t="s">
        <v>308</v>
      </c>
    </row>
    <row r="80" ht="45" spans="1:7">
      <c r="A80" s="135">
        <v>10</v>
      </c>
      <c r="B80" s="136" t="s">
        <v>309</v>
      </c>
      <c r="C80" s="135" t="e">
        <f>[1]第三方人员明细表!M11</f>
        <v>#REF!</v>
      </c>
      <c r="D80" s="135">
        <v>1</v>
      </c>
      <c r="E80" s="137">
        <v>800</v>
      </c>
      <c r="F80" s="138" t="e">
        <f t="shared" si="6"/>
        <v>#REF!</v>
      </c>
      <c r="G80" s="136" t="s">
        <v>310</v>
      </c>
    </row>
    <row r="81" ht="45" spans="1:7">
      <c r="A81" s="135">
        <v>11</v>
      </c>
      <c r="B81" s="136" t="s">
        <v>311</v>
      </c>
      <c r="C81" s="135" t="e">
        <f>[1]第三方人员明细表!M12</f>
        <v>#REF!</v>
      </c>
      <c r="D81" s="135">
        <v>1</v>
      </c>
      <c r="E81" s="137">
        <v>3000</v>
      </c>
      <c r="F81" s="138" t="e">
        <f t="shared" si="6"/>
        <v>#REF!</v>
      </c>
      <c r="G81" s="136" t="s">
        <v>312</v>
      </c>
    </row>
    <row r="82" ht="67.5" spans="1:7">
      <c r="A82" s="135">
        <v>12</v>
      </c>
      <c r="B82" s="136" t="s">
        <v>313</v>
      </c>
      <c r="C82" s="135">
        <v>63</v>
      </c>
      <c r="D82" s="135">
        <v>1</v>
      </c>
      <c r="E82" s="137">
        <v>600</v>
      </c>
      <c r="F82" s="138">
        <f t="shared" si="6"/>
        <v>37800</v>
      </c>
      <c r="G82" s="136" t="s">
        <v>314</v>
      </c>
    </row>
    <row r="83" ht="45" spans="1:7">
      <c r="A83" s="135">
        <v>13</v>
      </c>
      <c r="B83" s="136" t="s">
        <v>315</v>
      </c>
      <c r="C83" s="135" t="e">
        <f>[1]第三方人员明细表!M19</f>
        <v>#REF!</v>
      </c>
      <c r="D83" s="161">
        <v>1</v>
      </c>
      <c r="E83" s="137">
        <v>1000</v>
      </c>
      <c r="F83" s="138" t="e">
        <f t="shared" si="6"/>
        <v>#REF!</v>
      </c>
      <c r="G83" s="136" t="s">
        <v>308</v>
      </c>
    </row>
    <row r="84" ht="45" spans="1:7">
      <c r="A84" s="135">
        <v>14</v>
      </c>
      <c r="B84" s="136" t="s">
        <v>316</v>
      </c>
      <c r="C84" s="135" t="e">
        <f>[1]第三方人员明细表!M20</f>
        <v>#REF!</v>
      </c>
      <c r="D84" s="161">
        <v>1</v>
      </c>
      <c r="E84" s="137">
        <v>800</v>
      </c>
      <c r="F84" s="138" t="e">
        <f t="shared" si="6"/>
        <v>#REF!</v>
      </c>
      <c r="G84" s="136" t="s">
        <v>310</v>
      </c>
    </row>
    <row r="85" ht="45" spans="1:7">
      <c r="A85" s="135">
        <v>15</v>
      </c>
      <c r="B85" s="136" t="s">
        <v>317</v>
      </c>
      <c r="C85" s="135" t="e">
        <f>[1]第三方人员明细表!M21</f>
        <v>#REF!</v>
      </c>
      <c r="D85" s="135">
        <v>1</v>
      </c>
      <c r="E85" s="137">
        <v>3000</v>
      </c>
      <c r="F85" s="138" t="e">
        <f t="shared" si="6"/>
        <v>#REF!</v>
      </c>
      <c r="G85" s="136" t="s">
        <v>312</v>
      </c>
    </row>
    <row r="86" ht="45" spans="1:7">
      <c r="A86" s="135">
        <v>16</v>
      </c>
      <c r="B86" s="136" t="s">
        <v>318</v>
      </c>
      <c r="C86" s="135">
        <v>116</v>
      </c>
      <c r="D86" s="135">
        <v>1</v>
      </c>
      <c r="E86" s="137">
        <v>600</v>
      </c>
      <c r="F86" s="138">
        <f t="shared" si="6"/>
        <v>69600</v>
      </c>
      <c r="G86" s="136" t="s">
        <v>319</v>
      </c>
    </row>
    <row r="87" ht="45" spans="1:7">
      <c r="A87" s="135">
        <v>17</v>
      </c>
      <c r="B87" s="136" t="s">
        <v>320</v>
      </c>
      <c r="C87" s="135">
        <v>142</v>
      </c>
      <c r="D87" s="135">
        <v>1</v>
      </c>
      <c r="E87" s="137">
        <v>600</v>
      </c>
      <c r="F87" s="138">
        <f t="shared" si="6"/>
        <v>85200</v>
      </c>
      <c r="G87" s="136" t="s">
        <v>319</v>
      </c>
    </row>
    <row r="88" ht="45" spans="1:7">
      <c r="A88" s="135">
        <v>18</v>
      </c>
      <c r="B88" s="136" t="s">
        <v>321</v>
      </c>
      <c r="C88" s="135">
        <v>58</v>
      </c>
      <c r="D88" s="135">
        <v>1</v>
      </c>
      <c r="E88" s="137">
        <v>1000</v>
      </c>
      <c r="F88" s="138">
        <f t="shared" si="6"/>
        <v>58000</v>
      </c>
      <c r="G88" s="136" t="s">
        <v>308</v>
      </c>
    </row>
    <row r="89" ht="45" spans="1:7">
      <c r="A89" s="135">
        <v>19</v>
      </c>
      <c r="B89" s="136" t="s">
        <v>322</v>
      </c>
      <c r="C89" s="135">
        <v>92</v>
      </c>
      <c r="D89" s="135">
        <v>1</v>
      </c>
      <c r="E89" s="137">
        <v>800</v>
      </c>
      <c r="F89" s="138">
        <f t="shared" si="6"/>
        <v>73600</v>
      </c>
      <c r="G89" s="136" t="s">
        <v>310</v>
      </c>
    </row>
    <row r="90" ht="45" spans="1:7">
      <c r="A90" s="135">
        <v>20</v>
      </c>
      <c r="B90" s="136" t="s">
        <v>323</v>
      </c>
      <c r="C90" s="135">
        <v>21</v>
      </c>
      <c r="D90" s="135">
        <v>1</v>
      </c>
      <c r="E90" s="137">
        <v>3000</v>
      </c>
      <c r="F90" s="138">
        <f t="shared" si="6"/>
        <v>63000</v>
      </c>
      <c r="G90" s="136" t="s">
        <v>312</v>
      </c>
    </row>
    <row r="91" ht="45" spans="1:7">
      <c r="A91" s="135">
        <v>21</v>
      </c>
      <c r="B91" s="136" t="s">
        <v>324</v>
      </c>
      <c r="C91" s="135">
        <v>73</v>
      </c>
      <c r="D91" s="135">
        <v>1</v>
      </c>
      <c r="E91" s="137">
        <v>600</v>
      </c>
      <c r="F91" s="138">
        <f t="shared" si="6"/>
        <v>43800</v>
      </c>
      <c r="G91" s="136" t="s">
        <v>319</v>
      </c>
    </row>
    <row r="92" spans="1:7">
      <c r="A92" s="135">
        <v>23</v>
      </c>
      <c r="B92" s="136" t="s">
        <v>325</v>
      </c>
      <c r="C92" s="135">
        <v>140</v>
      </c>
      <c r="D92" s="135">
        <v>8</v>
      </c>
      <c r="E92" s="137">
        <v>60</v>
      </c>
      <c r="F92" s="138">
        <f t="shared" si="6"/>
        <v>67200</v>
      </c>
      <c r="G92" s="136"/>
    </row>
    <row r="93" spans="1:7">
      <c r="A93" s="135">
        <v>24</v>
      </c>
      <c r="B93" s="136" t="s">
        <v>326</v>
      </c>
      <c r="C93" s="135">
        <v>140</v>
      </c>
      <c r="D93" s="135">
        <v>8</v>
      </c>
      <c r="E93" s="137">
        <v>80</v>
      </c>
      <c r="F93" s="138">
        <f t="shared" si="6"/>
        <v>89600</v>
      </c>
      <c r="G93" s="136"/>
    </row>
    <row r="94" spans="1:7">
      <c r="A94" s="135">
        <v>25</v>
      </c>
      <c r="B94" s="136" t="s">
        <v>327</v>
      </c>
      <c r="C94" s="135">
        <v>175</v>
      </c>
      <c r="D94" s="135">
        <v>8</v>
      </c>
      <c r="E94" s="137">
        <v>4</v>
      </c>
      <c r="F94" s="138">
        <f t="shared" si="6"/>
        <v>5600</v>
      </c>
      <c r="G94" s="136"/>
    </row>
    <row r="95" spans="1:7">
      <c r="A95" s="135">
        <v>26</v>
      </c>
      <c r="B95" s="136" t="s">
        <v>328</v>
      </c>
      <c r="C95" s="135">
        <v>80</v>
      </c>
      <c r="D95" s="135">
        <v>1</v>
      </c>
      <c r="E95" s="137">
        <v>300</v>
      </c>
      <c r="F95" s="138">
        <f t="shared" si="6"/>
        <v>24000</v>
      </c>
      <c r="G95" s="136"/>
    </row>
    <row r="96" spans="1:7">
      <c r="A96" s="135">
        <v>27</v>
      </c>
      <c r="B96" s="136" t="s">
        <v>329</v>
      </c>
      <c r="C96" s="135">
        <v>80</v>
      </c>
      <c r="D96" s="135">
        <v>6</v>
      </c>
      <c r="E96" s="137">
        <v>80</v>
      </c>
      <c r="F96" s="138">
        <f t="shared" si="6"/>
        <v>38400</v>
      </c>
      <c r="G96" s="136"/>
    </row>
    <row r="97" spans="1:7">
      <c r="A97" s="141" t="s">
        <v>235</v>
      </c>
      <c r="B97" s="141"/>
      <c r="C97" s="141"/>
      <c r="D97" s="141"/>
      <c r="E97" s="141"/>
      <c r="F97" s="142" t="e">
        <f>SUM(F77:F96)</f>
        <v>#REF!</v>
      </c>
      <c r="G97" s="143"/>
    </row>
    <row r="98" spans="1:7">
      <c r="A98" s="133"/>
      <c r="B98" s="132" t="s">
        <v>330</v>
      </c>
      <c r="C98" s="133"/>
      <c r="D98" s="133"/>
      <c r="E98" s="133"/>
      <c r="F98" s="133"/>
      <c r="G98" s="134"/>
    </row>
    <row r="99" spans="1:7">
      <c r="A99" s="135">
        <v>1</v>
      </c>
      <c r="B99" s="136" t="s">
        <v>145</v>
      </c>
      <c r="C99" s="135">
        <v>18</v>
      </c>
      <c r="D99" s="135">
        <v>1</v>
      </c>
      <c r="E99" s="137">
        <v>80</v>
      </c>
      <c r="F99" s="138">
        <f t="shared" ref="F99:F138" si="7">C99*D99*E99</f>
        <v>1440</v>
      </c>
      <c r="G99" s="136"/>
    </row>
    <row r="100" spans="1:7">
      <c r="A100" s="135">
        <v>2</v>
      </c>
      <c r="B100" s="136" t="s">
        <v>146</v>
      </c>
      <c r="C100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00" s="135">
        <v>1</v>
      </c>
      <c r="E100" s="137">
        <v>150</v>
      </c>
      <c r="F100" s="138" t="e">
        <f t="shared" si="7"/>
        <v>#REF!</v>
      </c>
      <c r="G100" s="136"/>
    </row>
    <row r="101" spans="1:7">
      <c r="A101" s="135">
        <v>3</v>
      </c>
      <c r="B101" s="136" t="s">
        <v>147</v>
      </c>
      <c r="C101" s="135">
        <v>1</v>
      </c>
      <c r="D101" s="135">
        <v>1</v>
      </c>
      <c r="E101" s="137">
        <v>2000</v>
      </c>
      <c r="F101" s="138">
        <f t="shared" si="7"/>
        <v>2000</v>
      </c>
      <c r="G101" s="136" t="s">
        <v>331</v>
      </c>
    </row>
    <row r="102" spans="1:7">
      <c r="A102" s="135">
        <v>4</v>
      </c>
      <c r="B102" s="136" t="s">
        <v>148</v>
      </c>
      <c r="C102" s="135">
        <v>76</v>
      </c>
      <c r="D102" s="135">
        <v>1</v>
      </c>
      <c r="E102" s="137">
        <v>30</v>
      </c>
      <c r="F102" s="138">
        <f t="shared" si="7"/>
        <v>2280</v>
      </c>
      <c r="G102" s="136"/>
    </row>
    <row r="103" ht="22.5" spans="1:7">
      <c r="A103" s="135">
        <v>5</v>
      </c>
      <c r="B103" s="136" t="s">
        <v>332</v>
      </c>
      <c r="C103" s="135">
        <v>2</v>
      </c>
      <c r="D103" s="135">
        <v>6</v>
      </c>
      <c r="E103" s="137">
        <v>200</v>
      </c>
      <c r="F103" s="138">
        <f t="shared" si="7"/>
        <v>2400</v>
      </c>
      <c r="G103" s="136" t="s">
        <v>333</v>
      </c>
    </row>
    <row r="104" spans="1:7">
      <c r="A104" s="135">
        <v>6</v>
      </c>
      <c r="B104" s="152" t="s">
        <v>334</v>
      </c>
      <c r="C104" s="135">
        <v>2</v>
      </c>
      <c r="D104" s="135">
        <v>1</v>
      </c>
      <c r="E104" s="137">
        <v>3000</v>
      </c>
      <c r="F104" s="138">
        <f t="shared" si="7"/>
        <v>6000</v>
      </c>
      <c r="G104" s="136"/>
    </row>
    <row r="105" ht="22.5" spans="1:7">
      <c r="A105" s="135">
        <v>7</v>
      </c>
      <c r="B105" s="136" t="s">
        <v>335</v>
      </c>
      <c r="C105" s="135">
        <v>32</v>
      </c>
      <c r="D105" s="135">
        <v>8.5</v>
      </c>
      <c r="E105" s="137">
        <v>100</v>
      </c>
      <c r="F105" s="138">
        <f t="shared" si="7"/>
        <v>27200</v>
      </c>
      <c r="G105" s="136" t="s">
        <v>333</v>
      </c>
    </row>
    <row r="106" spans="1:7">
      <c r="A106" s="135">
        <v>8</v>
      </c>
      <c r="B106" s="152" t="s">
        <v>336</v>
      </c>
      <c r="C106" s="135">
        <v>32</v>
      </c>
      <c r="D106" s="135">
        <v>1</v>
      </c>
      <c r="E106" s="137">
        <v>500</v>
      </c>
      <c r="F106" s="138">
        <f t="shared" si="7"/>
        <v>16000</v>
      </c>
      <c r="G106" s="136"/>
    </row>
    <row r="107" ht="22.5" spans="1:7">
      <c r="A107" s="135">
        <v>9</v>
      </c>
      <c r="B107" s="136" t="s">
        <v>337</v>
      </c>
      <c r="C107" s="135">
        <v>40</v>
      </c>
      <c r="D107" s="135">
        <v>1</v>
      </c>
      <c r="E107" s="137">
        <v>100</v>
      </c>
      <c r="F107" s="138">
        <f t="shared" si="7"/>
        <v>4000</v>
      </c>
      <c r="G107" s="136" t="s">
        <v>338</v>
      </c>
    </row>
    <row r="108" spans="1:7">
      <c r="A108" s="135">
        <v>10</v>
      </c>
      <c r="B108" s="136" t="s">
        <v>339</v>
      </c>
      <c r="C108" s="135">
        <v>15</v>
      </c>
      <c r="D108" s="135">
        <v>1</v>
      </c>
      <c r="E108" s="137">
        <v>100</v>
      </c>
      <c r="F108" s="138">
        <f t="shared" si="7"/>
        <v>1500</v>
      </c>
      <c r="G108" s="136" t="s">
        <v>340</v>
      </c>
    </row>
    <row r="109" spans="1:7">
      <c r="A109" s="135">
        <v>11</v>
      </c>
      <c r="B109" s="152" t="s">
        <v>341</v>
      </c>
      <c r="C109" s="135">
        <v>40</v>
      </c>
      <c r="D109" s="135">
        <v>1</v>
      </c>
      <c r="E109" s="137">
        <v>500</v>
      </c>
      <c r="F109" s="138">
        <f t="shared" si="7"/>
        <v>20000</v>
      </c>
      <c r="G109" s="136"/>
    </row>
    <row r="110" spans="1:7">
      <c r="A110" s="135">
        <v>12</v>
      </c>
      <c r="B110" s="152" t="s">
        <v>342</v>
      </c>
      <c r="C110" s="135">
        <v>10</v>
      </c>
      <c r="D110" s="135">
        <v>1</v>
      </c>
      <c r="E110" s="137">
        <v>1500</v>
      </c>
      <c r="F110" s="138">
        <f t="shared" si="7"/>
        <v>15000</v>
      </c>
      <c r="G110" s="136"/>
    </row>
    <row r="111" ht="22.5" spans="1:7">
      <c r="A111" s="135">
        <v>13</v>
      </c>
      <c r="B111" s="136" t="s">
        <v>156</v>
      </c>
      <c r="C111" s="135">
        <v>10</v>
      </c>
      <c r="D111" s="135">
        <v>2</v>
      </c>
      <c r="E111" s="137">
        <v>600</v>
      </c>
      <c r="F111" s="138">
        <f t="shared" si="7"/>
        <v>12000</v>
      </c>
      <c r="G111" s="136" t="s">
        <v>343</v>
      </c>
    </row>
    <row r="112" ht="22.5" spans="1:7">
      <c r="A112" s="135">
        <v>14</v>
      </c>
      <c r="B112" s="136" t="s">
        <v>157</v>
      </c>
      <c r="C112" s="135">
        <v>8</v>
      </c>
      <c r="D112" s="135">
        <v>2</v>
      </c>
      <c r="E112" s="137">
        <v>800</v>
      </c>
      <c r="F112" s="138">
        <f t="shared" si="7"/>
        <v>12800</v>
      </c>
      <c r="G112" s="136" t="s">
        <v>344</v>
      </c>
    </row>
    <row r="113" ht="33.75" spans="1:7">
      <c r="A113" s="135">
        <v>15</v>
      </c>
      <c r="B113" s="136" t="s">
        <v>158</v>
      </c>
      <c r="C113" s="135">
        <v>5</v>
      </c>
      <c r="D113" s="135">
        <v>2</v>
      </c>
      <c r="E113" s="137">
        <v>30</v>
      </c>
      <c r="F113" s="138">
        <f t="shared" si="7"/>
        <v>300</v>
      </c>
      <c r="G113" s="136" t="s">
        <v>345</v>
      </c>
    </row>
    <row r="114" ht="22.5" spans="1:7">
      <c r="A114" s="135">
        <v>16</v>
      </c>
      <c r="B114" s="136" t="s">
        <v>159</v>
      </c>
      <c r="C114" s="135">
        <v>1</v>
      </c>
      <c r="D114" s="135">
        <v>2</v>
      </c>
      <c r="E114" s="137">
        <v>1000</v>
      </c>
      <c r="F114" s="138">
        <f t="shared" si="7"/>
        <v>2000</v>
      </c>
      <c r="G114" s="136" t="s">
        <v>346</v>
      </c>
    </row>
    <row r="115" ht="23.25" spans="1:7">
      <c r="A115" s="135">
        <v>17</v>
      </c>
      <c r="B115" s="136" t="s">
        <v>160</v>
      </c>
      <c r="C115" s="135" t="e">
        <f>SUM([1]各人群统表!C2:C18)</f>
        <v>#REF!</v>
      </c>
      <c r="D115" s="135">
        <v>14</v>
      </c>
      <c r="E115" s="137">
        <v>5</v>
      </c>
      <c r="F115" s="138" t="e">
        <f t="shared" si="7"/>
        <v>#REF!</v>
      </c>
      <c r="G115" s="160" t="s">
        <v>347</v>
      </c>
    </row>
    <row r="116" spans="1:7">
      <c r="A116" s="135">
        <v>18</v>
      </c>
      <c r="B116" s="136" t="s">
        <v>161</v>
      </c>
      <c r="C116" s="135" t="e">
        <f>SUM([1]各人群统表!C2:C18)</f>
        <v>#REF!</v>
      </c>
      <c r="D116" s="135">
        <v>1</v>
      </c>
      <c r="E116" s="137">
        <v>10</v>
      </c>
      <c r="F116" s="138" t="e">
        <f t="shared" si="7"/>
        <v>#REF!</v>
      </c>
      <c r="G116" s="160"/>
    </row>
    <row r="117" spans="1:7">
      <c r="A117" s="135">
        <v>19</v>
      </c>
      <c r="B117" s="136" t="s">
        <v>162</v>
      </c>
      <c r="C117" s="135" t="e">
        <f>SUM([1]各人群统表!C2:C18)</f>
        <v>#REF!</v>
      </c>
      <c r="D117" s="135">
        <v>1</v>
      </c>
      <c r="E117" s="137">
        <v>10</v>
      </c>
      <c r="F117" s="138" t="e">
        <f t="shared" si="7"/>
        <v>#REF!</v>
      </c>
      <c r="G117" s="160"/>
    </row>
    <row r="118" spans="1:7">
      <c r="A118" s="135">
        <v>20</v>
      </c>
      <c r="B118" s="136" t="s">
        <v>163</v>
      </c>
      <c r="C118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18" s="135">
        <v>1</v>
      </c>
      <c r="E118" s="137">
        <v>10</v>
      </c>
      <c r="F118" s="138" t="e">
        <f t="shared" si="7"/>
        <v>#REF!</v>
      </c>
      <c r="G118" s="160"/>
    </row>
    <row r="119" spans="1:7">
      <c r="A119" s="135">
        <v>21</v>
      </c>
      <c r="B119" s="136" t="s">
        <v>164</v>
      </c>
      <c r="C119" s="135" t="e">
        <f>SUM([1]各人群统表!C2:C18)</f>
        <v>#REF!</v>
      </c>
      <c r="D119" s="135">
        <v>1</v>
      </c>
      <c r="E119" s="137">
        <v>20</v>
      </c>
      <c r="F119" s="138" t="e">
        <f t="shared" si="7"/>
        <v>#REF!</v>
      </c>
      <c r="G119" s="160"/>
    </row>
    <row r="120" spans="1:7">
      <c r="A120" s="135">
        <v>22</v>
      </c>
      <c r="B120" s="136" t="s">
        <v>165</v>
      </c>
      <c r="C120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0" s="135">
        <v>1</v>
      </c>
      <c r="E120" s="137">
        <v>10</v>
      </c>
      <c r="F120" s="138" t="e">
        <f t="shared" si="7"/>
        <v>#REF!</v>
      </c>
      <c r="G120" s="160"/>
    </row>
    <row r="121" spans="1:7">
      <c r="A121" s="135">
        <v>23</v>
      </c>
      <c r="B121" s="136" t="s">
        <v>166</v>
      </c>
      <c r="C121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1" s="135">
        <v>1</v>
      </c>
      <c r="E121" s="137">
        <v>300</v>
      </c>
      <c r="F121" s="138" t="e">
        <f t="shared" si="7"/>
        <v>#REF!</v>
      </c>
      <c r="G121" s="160"/>
    </row>
    <row r="122" spans="1:7">
      <c r="A122" s="135">
        <v>24</v>
      </c>
      <c r="B122" s="136" t="s">
        <v>167</v>
      </c>
      <c r="C122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2" s="135">
        <v>1</v>
      </c>
      <c r="E122" s="137">
        <v>100</v>
      </c>
      <c r="F122" s="138" t="e">
        <f t="shared" si="7"/>
        <v>#REF!</v>
      </c>
      <c r="G122" s="160"/>
    </row>
    <row r="123" spans="1:7">
      <c r="A123" s="135">
        <v>25</v>
      </c>
      <c r="B123" s="136" t="s">
        <v>168</v>
      </c>
      <c r="C123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3" s="135">
        <v>1</v>
      </c>
      <c r="E123" s="137">
        <v>150</v>
      </c>
      <c r="F123" s="138" t="e">
        <f t="shared" si="7"/>
        <v>#REF!</v>
      </c>
      <c r="G123" s="160"/>
    </row>
    <row r="124" spans="1:7">
      <c r="A124" s="135">
        <v>26</v>
      </c>
      <c r="B124" s="136" t="s">
        <v>169</v>
      </c>
      <c r="C124" s="135">
        <v>0</v>
      </c>
      <c r="D124" s="135">
        <v>1</v>
      </c>
      <c r="E124" s="137">
        <v>5000</v>
      </c>
      <c r="F124" s="138">
        <f t="shared" si="7"/>
        <v>0</v>
      </c>
      <c r="G124" s="160"/>
    </row>
    <row r="125" ht="22.9" spans="1:7">
      <c r="A125" s="135">
        <v>27</v>
      </c>
      <c r="B125" s="136" t="s">
        <v>170</v>
      </c>
      <c r="C125" s="135">
        <v>1000</v>
      </c>
      <c r="D125" s="135">
        <v>5</v>
      </c>
      <c r="E125" s="137">
        <v>5</v>
      </c>
      <c r="F125" s="138">
        <f t="shared" si="7"/>
        <v>25000</v>
      </c>
      <c r="G125" s="136" t="s">
        <v>348</v>
      </c>
    </row>
    <row r="126" spans="1:7">
      <c r="A126" s="135">
        <v>28</v>
      </c>
      <c r="B126" s="136" t="s">
        <v>171</v>
      </c>
      <c r="C126" s="135">
        <v>200</v>
      </c>
      <c r="D126" s="135">
        <v>1</v>
      </c>
      <c r="E126" s="137">
        <v>150</v>
      </c>
      <c r="F126" s="138">
        <f t="shared" si="7"/>
        <v>30000</v>
      </c>
      <c r="G126" s="136" t="s">
        <v>349</v>
      </c>
    </row>
    <row r="127" spans="1:7">
      <c r="A127" s="135">
        <v>29</v>
      </c>
      <c r="B127" s="136" t="s">
        <v>172</v>
      </c>
      <c r="C127" s="135">
        <v>4</v>
      </c>
      <c r="D127" s="135">
        <v>1</v>
      </c>
      <c r="E127" s="137">
        <v>600</v>
      </c>
      <c r="F127" s="138">
        <f t="shared" si="7"/>
        <v>2400</v>
      </c>
      <c r="G127" s="136" t="s">
        <v>350</v>
      </c>
    </row>
    <row r="128" spans="1:7">
      <c r="A128" s="135">
        <v>30</v>
      </c>
      <c r="B128" s="136" t="s">
        <v>173</v>
      </c>
      <c r="C128" s="135">
        <v>1</v>
      </c>
      <c r="D128" s="135">
        <v>1</v>
      </c>
      <c r="E128" s="137">
        <v>10000</v>
      </c>
      <c r="F128" s="138">
        <f t="shared" si="7"/>
        <v>10000</v>
      </c>
      <c r="G128" s="160"/>
    </row>
    <row r="129" spans="1:7">
      <c r="A129" s="135">
        <v>31</v>
      </c>
      <c r="B129" s="136" t="s">
        <v>174</v>
      </c>
      <c r="C129" s="135">
        <v>1</v>
      </c>
      <c r="D129" s="135">
        <v>1</v>
      </c>
      <c r="E129" s="137">
        <v>5000</v>
      </c>
      <c r="F129" s="138">
        <f t="shared" si="7"/>
        <v>5000</v>
      </c>
      <c r="G129" s="160"/>
    </row>
    <row r="130" spans="1:7">
      <c r="A130" s="141" t="s">
        <v>235</v>
      </c>
      <c r="B130" s="141"/>
      <c r="C130" s="141"/>
      <c r="D130" s="141"/>
      <c r="E130" s="141"/>
      <c r="F130" s="142" t="e">
        <f>SUM(F99:F129)</f>
        <v>#REF!</v>
      </c>
      <c r="G130" s="143"/>
    </row>
    <row r="131" spans="1:7">
      <c r="A131" s="133"/>
      <c r="B131" s="132" t="s">
        <v>351</v>
      </c>
      <c r="C131" s="133"/>
      <c r="D131" s="133"/>
      <c r="E131" s="133"/>
      <c r="F131" s="133"/>
      <c r="G131" s="134"/>
    </row>
    <row r="132" spans="1:7">
      <c r="A132" s="135">
        <v>1</v>
      </c>
      <c r="B132" s="136" t="s">
        <v>177</v>
      </c>
      <c r="C132" s="135">
        <v>20</v>
      </c>
      <c r="D132" s="135">
        <v>1</v>
      </c>
      <c r="E132" s="137">
        <v>800</v>
      </c>
      <c r="F132" s="138">
        <f t="shared" si="7"/>
        <v>16000</v>
      </c>
      <c r="G132" s="136"/>
    </row>
    <row r="133" spans="1:7">
      <c r="A133" s="135">
        <v>3</v>
      </c>
      <c r="B133" s="136" t="s">
        <v>178</v>
      </c>
      <c r="C133" s="135">
        <v>1</v>
      </c>
      <c r="D133" s="135">
        <v>1</v>
      </c>
      <c r="E133" s="137">
        <v>38000</v>
      </c>
      <c r="F133" s="138">
        <f t="shared" si="7"/>
        <v>38000</v>
      </c>
      <c r="G133" s="136"/>
    </row>
    <row r="134" spans="1:7">
      <c r="A134" s="135">
        <v>4</v>
      </c>
      <c r="B134" s="136" t="s">
        <v>179</v>
      </c>
      <c r="C134" s="135">
        <v>1</v>
      </c>
      <c r="D134" s="135">
        <v>1</v>
      </c>
      <c r="E134" s="137">
        <v>26000</v>
      </c>
      <c r="F134" s="138">
        <f t="shared" si="7"/>
        <v>26000</v>
      </c>
      <c r="G134" s="136"/>
    </row>
    <row r="135" spans="1:7">
      <c r="A135" s="135">
        <v>6</v>
      </c>
      <c r="B135" s="136" t="s">
        <v>180</v>
      </c>
      <c r="C135" s="135">
        <v>1</v>
      </c>
      <c r="D135" s="135">
        <v>1</v>
      </c>
      <c r="E135" s="137">
        <v>20000</v>
      </c>
      <c r="F135" s="138">
        <f t="shared" si="7"/>
        <v>20000</v>
      </c>
      <c r="G135" s="136"/>
    </row>
    <row r="136" spans="1:7">
      <c r="A136" s="135">
        <v>7</v>
      </c>
      <c r="B136" s="136" t="s">
        <v>181</v>
      </c>
      <c r="C136" s="135">
        <v>1</v>
      </c>
      <c r="D136" s="135">
        <v>1</v>
      </c>
      <c r="E136" s="137">
        <v>26000</v>
      </c>
      <c r="F136" s="138">
        <f t="shared" si="7"/>
        <v>26000</v>
      </c>
      <c r="G136" s="136" t="s">
        <v>352</v>
      </c>
    </row>
    <row r="137" spans="1:7">
      <c r="A137" s="135">
        <v>8</v>
      </c>
      <c r="B137" s="136" t="s">
        <v>182</v>
      </c>
      <c r="C137" s="135">
        <v>1</v>
      </c>
      <c r="D137" s="135">
        <v>1</v>
      </c>
      <c r="E137" s="137">
        <v>20000</v>
      </c>
      <c r="F137" s="138">
        <f t="shared" si="7"/>
        <v>20000</v>
      </c>
      <c r="G137" s="136" t="s">
        <v>353</v>
      </c>
    </row>
    <row r="138" spans="1:7">
      <c r="A138" s="135">
        <v>11</v>
      </c>
      <c r="B138" s="136" t="s">
        <v>183</v>
      </c>
      <c r="C138" s="135">
        <v>1</v>
      </c>
      <c r="D138" s="135">
        <v>1</v>
      </c>
      <c r="E138" s="137">
        <v>24000</v>
      </c>
      <c r="F138" s="138">
        <f t="shared" si="7"/>
        <v>24000</v>
      </c>
      <c r="G138" s="136"/>
    </row>
    <row r="139" spans="1:7">
      <c r="A139" s="141" t="s">
        <v>235</v>
      </c>
      <c r="B139" s="141"/>
      <c r="C139" s="141"/>
      <c r="D139" s="141"/>
      <c r="E139" s="141"/>
      <c r="F139" s="142">
        <f>SUM(F132:F138)</f>
        <v>170000</v>
      </c>
      <c r="G139" s="143"/>
    </row>
    <row r="140" spans="1:7">
      <c r="A140" s="133"/>
      <c r="B140" s="132" t="s">
        <v>85</v>
      </c>
      <c r="C140" s="133"/>
      <c r="D140" s="133"/>
      <c r="E140" s="133"/>
      <c r="F140" s="133"/>
      <c r="G140" s="134"/>
    </row>
    <row r="141" spans="1:7">
      <c r="A141" s="135">
        <v>1</v>
      </c>
      <c r="B141" s="136" t="s">
        <v>354</v>
      </c>
      <c r="C141" s="135">
        <v>2</v>
      </c>
      <c r="D141" s="135">
        <v>10</v>
      </c>
      <c r="E141" s="137">
        <v>5000</v>
      </c>
      <c r="F141" s="138">
        <f t="shared" ref="F141:F146" si="8">C141*D141*E141</f>
        <v>100000</v>
      </c>
      <c r="G141" s="160" t="s">
        <v>355</v>
      </c>
    </row>
    <row r="142" spans="1:7">
      <c r="A142" s="135">
        <v>2</v>
      </c>
      <c r="B142" s="136" t="s">
        <v>356</v>
      </c>
      <c r="C142" s="135">
        <v>1</v>
      </c>
      <c r="D142" s="135">
        <v>1</v>
      </c>
      <c r="E142" s="137">
        <v>5000</v>
      </c>
      <c r="F142" s="138">
        <f t="shared" si="8"/>
        <v>5000</v>
      </c>
      <c r="G142" s="160" t="s">
        <v>355</v>
      </c>
    </row>
    <row r="143" spans="1:7">
      <c r="A143" s="135">
        <v>3</v>
      </c>
      <c r="B143" s="136" t="s">
        <v>175</v>
      </c>
      <c r="C143" s="135">
        <v>1</v>
      </c>
      <c r="D143" s="135">
        <v>1</v>
      </c>
      <c r="E143" s="137">
        <v>30000</v>
      </c>
      <c r="F143" s="138">
        <f t="shared" si="8"/>
        <v>30000</v>
      </c>
      <c r="G143" s="160"/>
    </row>
    <row r="144" spans="1:7">
      <c r="A144" s="135">
        <v>4</v>
      </c>
      <c r="B144" s="136" t="s">
        <v>176</v>
      </c>
      <c r="C144" s="135">
        <v>1</v>
      </c>
      <c r="D144" s="135">
        <v>1</v>
      </c>
      <c r="E144" s="137">
        <v>25000</v>
      </c>
      <c r="F144" s="138">
        <f t="shared" si="8"/>
        <v>25000</v>
      </c>
      <c r="G144" s="160"/>
    </row>
    <row r="145" spans="1:7">
      <c r="A145" s="135">
        <v>5</v>
      </c>
      <c r="B145" s="136" t="s">
        <v>357</v>
      </c>
      <c r="C145" s="135">
        <v>1</v>
      </c>
      <c r="D145" s="135">
        <v>1</v>
      </c>
      <c r="E145" s="137">
        <v>2000</v>
      </c>
      <c r="F145" s="138">
        <f t="shared" si="8"/>
        <v>2000</v>
      </c>
      <c r="G145" s="160"/>
    </row>
    <row r="146" spans="1:7">
      <c r="A146" s="135">
        <v>6</v>
      </c>
      <c r="B146" s="136" t="s">
        <v>358</v>
      </c>
      <c r="C146" s="135">
        <v>1</v>
      </c>
      <c r="D146" s="135">
        <v>1</v>
      </c>
      <c r="E146" s="137">
        <v>2000</v>
      </c>
      <c r="F146" s="138">
        <f t="shared" si="8"/>
        <v>2000</v>
      </c>
      <c r="G146" s="160" t="s">
        <v>355</v>
      </c>
    </row>
    <row r="147" spans="1:7">
      <c r="A147" s="141" t="s">
        <v>235</v>
      </c>
      <c r="B147" s="141"/>
      <c r="C147" s="141"/>
      <c r="D147" s="141"/>
      <c r="E147" s="141"/>
      <c r="F147" s="142">
        <f>SUM(F141:F146)</f>
        <v>164000</v>
      </c>
      <c r="G147" s="143"/>
    </row>
    <row r="148" spans="1:7">
      <c r="A148" s="133"/>
      <c r="B148" s="132" t="s">
        <v>359</v>
      </c>
      <c r="C148" s="133"/>
      <c r="D148" s="133"/>
      <c r="E148" s="133"/>
      <c r="F148" s="133"/>
      <c r="G148" s="134"/>
    </row>
    <row r="149" spans="1:7">
      <c r="A149" s="135">
        <v>1</v>
      </c>
      <c r="B149" s="136" t="s">
        <v>360</v>
      </c>
      <c r="C149" s="135">
        <v>1</v>
      </c>
      <c r="D149" s="135">
        <v>1</v>
      </c>
      <c r="E149" s="137">
        <v>10000</v>
      </c>
      <c r="F149" s="138">
        <f>C149*D149*E149</f>
        <v>10000</v>
      </c>
      <c r="G149" s="136"/>
    </row>
    <row r="150" spans="1:7">
      <c r="A150" s="135">
        <v>2</v>
      </c>
      <c r="B150" s="136" t="s">
        <v>361</v>
      </c>
      <c r="C150" s="135">
        <v>1</v>
      </c>
      <c r="D150" s="135">
        <v>1</v>
      </c>
      <c r="E150" s="137">
        <v>10000</v>
      </c>
      <c r="F150" s="138">
        <f>C150*D150*E150</f>
        <v>10000</v>
      </c>
      <c r="G150" s="139"/>
    </row>
    <row r="151" spans="1:7">
      <c r="A151" s="141" t="s">
        <v>235</v>
      </c>
      <c r="B151" s="141"/>
      <c r="C151" s="141"/>
      <c r="D151" s="141"/>
      <c r="E151" s="141"/>
      <c r="F151" s="142">
        <f>SUM(F149:F150)</f>
        <v>20000</v>
      </c>
      <c r="G151" s="143"/>
    </row>
    <row r="152" spans="1:7">
      <c r="A152" s="162" t="s">
        <v>362</v>
      </c>
      <c r="B152" s="163"/>
      <c r="C152" s="164"/>
      <c r="D152" s="164"/>
      <c r="E152" s="164"/>
      <c r="F152" s="165" t="e">
        <f>SUM(F151,F147,F130,F97,F75,F64,F57,F43,F28,F11,F139)</f>
        <v>#REF!</v>
      </c>
      <c r="G152" s="166"/>
    </row>
    <row r="153" spans="1:7">
      <c r="A153" s="167"/>
      <c r="B153" s="168"/>
      <c r="C153" s="167"/>
      <c r="D153" s="167"/>
      <c r="E153" s="169" t="s">
        <v>363</v>
      </c>
      <c r="F153" s="170" t="e">
        <f>F152*4%</f>
        <v>#REF!</v>
      </c>
      <c r="G153" s="171"/>
    </row>
    <row r="154" spans="1:7">
      <c r="A154" s="135"/>
      <c r="B154" s="152"/>
      <c r="C154" s="135"/>
      <c r="D154" s="135"/>
      <c r="E154" s="169" t="s">
        <v>364</v>
      </c>
      <c r="F154" s="170" t="e">
        <f>(F152+F153)*6%</f>
        <v>#REF!</v>
      </c>
      <c r="G154" s="171"/>
    </row>
    <row r="155" spans="1:7">
      <c r="A155" s="172"/>
      <c r="B155" s="108"/>
      <c r="C155" s="173"/>
      <c r="D155" s="173"/>
      <c r="E155" s="174" t="s">
        <v>186</v>
      </c>
      <c r="F155" s="175" t="e">
        <f>SUM(F152:F154)</f>
        <v>#REF!</v>
      </c>
      <c r="G155" s="176"/>
    </row>
  </sheetData>
  <autoFilter xmlns:etc="http://www.wps.cn/officeDocument/2017/etCustomData" ref="A2:G155" etc:filterBottomFollowUsedRange="0">
    <extLst/>
  </autoFilter>
  <mergeCells count="13">
    <mergeCell ref="A1:G1"/>
    <mergeCell ref="A11:E11"/>
    <mergeCell ref="A28:E28"/>
    <mergeCell ref="A43:E43"/>
    <mergeCell ref="A57:E57"/>
    <mergeCell ref="A64:E64"/>
    <mergeCell ref="A75:E75"/>
    <mergeCell ref="A97:E97"/>
    <mergeCell ref="A130:E130"/>
    <mergeCell ref="A139:E139"/>
    <mergeCell ref="A147:E147"/>
    <mergeCell ref="A151:E151"/>
    <mergeCell ref="A152:E15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杨天真</cp:lastModifiedBy>
  <dcterms:created xsi:type="dcterms:W3CDTF">2023-08-15T04:51:00Z</dcterms:created>
  <dcterms:modified xsi:type="dcterms:W3CDTF">2024-08-20T09:40:22Z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71EF812DFD794740953D3EF1E89AA487_13</vt:lpwstr>
  </property>
  <property fmtid="{D5CDD505-2E9C-101B-9397-08002B2CF9AE}" pid="3" name="KSOProductBuildVer">
    <vt:lpwstr>2052-12.1.0.17827</vt:lpwstr>
  </property>
</Properties>
</file>